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7" documentId="8_{197DA00B-63D6-40E3-BEFB-5B43EF49FA94}" xr6:coauthVersionLast="45" xr6:coauthVersionMax="45" xr10:uidLastSave="{A193208C-544E-4CE5-BDE3-30EDED46330C}"/>
  <workbookProtection workbookAlgorithmName="SHA-512" workbookHashValue="cdIFQaHXyjW1IPEvEVGAS5gsyhXj4Gg1IA7RXcRWC/3jMKrxI9koLiGqDCmHx2GOOFqrVoGE5ZcuHh/MBAUh0Q==" workbookSaltValue="Rh5GC1bZAuOmxOffk9E0GA==" workbookSpinCount="100000" lockStructure="1"/>
  <bookViews>
    <workbookView xWindow="32970" yWindow="915"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E364" i="16"/>
  <c r="D365" i="16"/>
  <c r="E365" i="16"/>
  <c r="D366" i="16"/>
  <c r="E366" i="16"/>
  <c r="D367" i="16"/>
  <c r="E367" i="16"/>
  <c r="D368" i="16"/>
  <c r="H368" i="16" s="1"/>
  <c r="I368" i="16" s="1"/>
  <c r="E368" i="16"/>
  <c r="A368" i="16"/>
  <c r="A367" i="16"/>
  <c r="A366" i="16"/>
  <c r="A365" i="16"/>
  <c r="A364" i="16"/>
  <c r="E108" i="8" l="1"/>
  <c r="B92" i="8"/>
  <c r="U91" i="8"/>
  <c r="E91" i="8"/>
  <c r="B91" i="8"/>
  <c r="B8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H362" i="16" s="1"/>
  <c r="I362" i="16" s="1"/>
  <c r="A362" i="16"/>
  <c r="E361" i="16"/>
  <c r="D361" i="16"/>
  <c r="A361" i="16"/>
  <c r="E360" i="16"/>
  <c r="D360" i="16"/>
  <c r="H360" i="16" s="1"/>
  <c r="I360" i="16" s="1"/>
  <c r="A360" i="16"/>
  <c r="E359" i="16"/>
  <c r="D359" i="16"/>
  <c r="H359" i="16" s="1"/>
  <c r="I359" i="16" s="1"/>
  <c r="A359" i="16"/>
  <c r="E358" i="16"/>
  <c r="D358" i="16"/>
  <c r="A358" i="16"/>
  <c r="E357" i="16"/>
  <c r="D357" i="16"/>
  <c r="H357" i="16" s="1"/>
  <c r="I357" i="16" s="1"/>
  <c r="A357" i="16"/>
  <c r="E356" i="16"/>
  <c r="D356" i="16"/>
  <c r="H356" i="16" s="1"/>
  <c r="I356" i="16" s="1"/>
  <c r="A356" i="16"/>
  <c r="E355" i="16"/>
  <c r="D355" i="16"/>
  <c r="A355" i="16"/>
  <c r="E354" i="16"/>
  <c r="D354" i="16"/>
  <c r="H354" i="16" s="1"/>
  <c r="I354" i="16" s="1"/>
  <c r="A354" i="16"/>
  <c r="E353" i="16"/>
  <c r="D353" i="16"/>
  <c r="H353" i="16" s="1"/>
  <c r="I353" i="16" s="1"/>
  <c r="A353" i="16"/>
  <c r="E352" i="16"/>
  <c r="D352" i="16"/>
  <c r="A352" i="16"/>
  <c r="E351" i="16"/>
  <c r="D351" i="16"/>
  <c r="H351" i="16" s="1"/>
  <c r="I351" i="16" s="1"/>
  <c r="A351" i="16"/>
  <c r="E350" i="16"/>
  <c r="D350" i="16"/>
  <c r="H350" i="16" s="1"/>
  <c r="I350" i="16" s="1"/>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H342" i="16" s="1"/>
  <c r="I342" i="16" s="1"/>
  <c r="A342" i="16"/>
  <c r="E341" i="16"/>
  <c r="D341" i="16"/>
  <c r="A341" i="16"/>
  <c r="E340" i="16"/>
  <c r="D340" i="16"/>
  <c r="A340" i="16"/>
  <c r="E339" i="16"/>
  <c r="D339" i="16"/>
  <c r="A339" i="16"/>
  <c r="E338" i="16"/>
  <c r="D338" i="16"/>
  <c r="A338" i="16"/>
  <c r="E337" i="16"/>
  <c r="D337" i="16"/>
  <c r="A337" i="16"/>
  <c r="E336" i="16"/>
  <c r="D336" i="16"/>
  <c r="A336" i="16"/>
  <c r="E335" i="16"/>
  <c r="D335" i="16"/>
  <c r="H335" i="16" s="1"/>
  <c r="I335" i="16" s="1"/>
  <c r="A335" i="16"/>
  <c r="E334" i="16"/>
  <c r="D334" i="16"/>
  <c r="A334" i="16"/>
  <c r="E333" i="16"/>
  <c r="D333" i="16"/>
  <c r="H333" i="16" s="1"/>
  <c r="I333" i="16" s="1"/>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A328" i="16"/>
  <c r="E327" i="16"/>
  <c r="D327" i="16"/>
  <c r="A327" i="16"/>
  <c r="E326" i="16"/>
  <c r="D326" i="16"/>
  <c r="A326" i="16"/>
  <c r="E325" i="16"/>
  <c r="D325" i="16"/>
  <c r="H325" i="16" s="1"/>
  <c r="I325" i="16" s="1"/>
  <c r="A325" i="16"/>
  <c r="E324" i="16"/>
  <c r="D324" i="16"/>
  <c r="H324" i="16" s="1"/>
  <c r="I324" i="16" s="1"/>
  <c r="A324" i="16"/>
  <c r="E323" i="16"/>
  <c r="D323" i="16"/>
  <c r="A323" i="16"/>
  <c r="E322" i="16"/>
  <c r="D322" i="16"/>
  <c r="H322" i="16" s="1"/>
  <c r="I322" i="16" s="1"/>
  <c r="A322" i="16"/>
  <c r="E321" i="16"/>
  <c r="D321" i="16"/>
  <c r="A321" i="16"/>
  <c r="E320" i="16"/>
  <c r="D320" i="16"/>
  <c r="H320" i="16" s="1"/>
  <c r="I320" i="16" s="1"/>
  <c r="A320" i="16"/>
  <c r="E319" i="16"/>
  <c r="D319" i="16"/>
  <c r="A319" i="16"/>
  <c r="E318" i="16"/>
  <c r="D318" i="16"/>
  <c r="A318" i="16"/>
  <c r="E317" i="16"/>
  <c r="D317" i="16"/>
  <c r="A317" i="16"/>
  <c r="E316" i="16"/>
  <c r="D316" i="16"/>
  <c r="A316" i="16"/>
  <c r="E315" i="16"/>
  <c r="D315" i="16"/>
  <c r="A315" i="16"/>
  <c r="E314" i="16"/>
  <c r="D314" i="16"/>
  <c r="H314" i="16" s="1"/>
  <c r="I314" i="16" s="1"/>
  <c r="A314" i="16"/>
  <c r="E313" i="16"/>
  <c r="D313" i="16"/>
  <c r="A313" i="16"/>
  <c r="E312" i="16"/>
  <c r="D312" i="16"/>
  <c r="A312" i="16"/>
  <c r="E311" i="16"/>
  <c r="D311" i="16"/>
  <c r="A311" i="16"/>
  <c r="E310" i="16"/>
  <c r="D310" i="16"/>
  <c r="A310" i="16"/>
  <c r="E309" i="16"/>
  <c r="D309" i="16"/>
  <c r="H309" i="16" s="1"/>
  <c r="I309" i="16" s="1"/>
  <c r="A309" i="16"/>
  <c r="E308" i="16"/>
  <c r="D308" i="16"/>
  <c r="H308" i="16" s="1"/>
  <c r="I308" i="16" s="1"/>
  <c r="A308" i="16"/>
  <c r="E307" i="16"/>
  <c r="D307" i="16"/>
  <c r="A307" i="16"/>
  <c r="E306" i="16"/>
  <c r="D306" i="16"/>
  <c r="H306" i="16" s="1"/>
  <c r="I306" i="16" s="1"/>
  <c r="A306" i="16"/>
  <c r="E305" i="16"/>
  <c r="D305" i="16"/>
  <c r="A305" i="16"/>
  <c r="E304" i="16"/>
  <c r="D304" i="16"/>
  <c r="H304" i="16" s="1"/>
  <c r="I304" i="16" s="1"/>
  <c r="A304" i="16"/>
  <c r="E303" i="16"/>
  <c r="D303" i="16"/>
  <c r="H303" i="16" s="1"/>
  <c r="I303" i="16" s="1"/>
  <c r="A303" i="16"/>
  <c r="E302" i="16"/>
  <c r="D302" i="16"/>
  <c r="A302" i="16"/>
  <c r="E301" i="16"/>
  <c r="D301" i="16"/>
  <c r="H301" i="16" s="1"/>
  <c r="I301" i="16" s="1"/>
  <c r="A301" i="16"/>
  <c r="E300" i="16"/>
  <c r="D300" i="16"/>
  <c r="A300" i="16"/>
  <c r="E299" i="16"/>
  <c r="D299" i="16"/>
  <c r="A299" i="16"/>
  <c r="E298" i="16"/>
  <c r="D298" i="16"/>
  <c r="H298" i="16" s="1"/>
  <c r="I298" i="16" s="1"/>
  <c r="A298" i="16"/>
  <c r="E297" i="16"/>
  <c r="D297" i="16"/>
  <c r="H297" i="16" s="1"/>
  <c r="I297" i="16" s="1"/>
  <c r="A297" i="16"/>
  <c r="E296" i="16"/>
  <c r="D296" i="16"/>
  <c r="H296" i="16" s="1"/>
  <c r="I296" i="16" s="1"/>
  <c r="A296" i="16"/>
  <c r="E295" i="16"/>
  <c r="D295" i="16"/>
  <c r="A295" i="16"/>
  <c r="E294" i="16"/>
  <c r="D294" i="16"/>
  <c r="A294" i="16"/>
  <c r="E293" i="16"/>
  <c r="D293" i="16"/>
  <c r="H293" i="16" s="1"/>
  <c r="I293" i="16" s="1"/>
  <c r="A293" i="16"/>
  <c r="E292" i="16"/>
  <c r="D292" i="16"/>
  <c r="A292" i="16"/>
  <c r="E291" i="16"/>
  <c r="D291" i="16"/>
  <c r="H291" i="16" s="1"/>
  <c r="I291" i="16" s="1"/>
  <c r="A291" i="16"/>
  <c r="E290" i="16"/>
  <c r="D290" i="16"/>
  <c r="A290" i="16"/>
  <c r="E289" i="16"/>
  <c r="D289" i="16"/>
  <c r="A289" i="16"/>
  <c r="E288" i="16"/>
  <c r="D288" i="16"/>
  <c r="A288" i="16"/>
  <c r="E287" i="16"/>
  <c r="D287" i="16"/>
  <c r="H287" i="16" s="1"/>
  <c r="I287" i="16" s="1"/>
  <c r="A287" i="16"/>
  <c r="E286" i="16"/>
  <c r="D286" i="16"/>
  <c r="H286" i="16" s="1"/>
  <c r="I286" i="16" s="1"/>
  <c r="A286" i="16"/>
  <c r="E285" i="16"/>
  <c r="D285" i="16"/>
  <c r="H285" i="16" s="1"/>
  <c r="I285" i="16" s="1"/>
  <c r="A285" i="16"/>
  <c r="E284" i="16"/>
  <c r="D284" i="16"/>
  <c r="H284" i="16" s="1"/>
  <c r="I284" i="16" s="1"/>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H273" i="16" s="1"/>
  <c r="I273" i="16" s="1"/>
  <c r="A273" i="16"/>
  <c r="E272" i="16"/>
  <c r="D272" i="16"/>
  <c r="A272" i="16"/>
  <c r="E271" i="16"/>
  <c r="D271" i="16"/>
  <c r="A271" i="16"/>
  <c r="E270" i="16"/>
  <c r="D270" i="16"/>
  <c r="A270" i="16"/>
  <c r="E269" i="16"/>
  <c r="D269" i="16"/>
  <c r="A269" i="16"/>
  <c r="E268" i="16"/>
  <c r="D268" i="16"/>
  <c r="H268" i="16" s="1"/>
  <c r="I268" i="16" s="1"/>
  <c r="A268" i="16"/>
  <c r="E267" i="16"/>
  <c r="D267" i="16"/>
  <c r="H267" i="16" s="1"/>
  <c r="I267" i="16" s="1"/>
  <c r="A267" i="16"/>
  <c r="E266" i="16"/>
  <c r="D266" i="16"/>
  <c r="H266" i="16" s="1"/>
  <c r="I266" i="16" s="1"/>
  <c r="A266" i="16"/>
  <c r="E265" i="16"/>
  <c r="D265" i="16"/>
  <c r="H265" i="16" s="1"/>
  <c r="I265" i="16" s="1"/>
  <c r="A265" i="16"/>
  <c r="E264" i="16"/>
  <c r="D264" i="16"/>
  <c r="A264" i="16"/>
  <c r="E263" i="16"/>
  <c r="D263" i="16"/>
  <c r="H263" i="16" s="1"/>
  <c r="I263" i="16" s="1"/>
  <c r="A263" i="16"/>
  <c r="E262" i="16"/>
  <c r="D262" i="16"/>
  <c r="A262" i="16"/>
  <c r="E261" i="16"/>
  <c r="D261" i="16"/>
  <c r="A261" i="16"/>
  <c r="E260" i="16"/>
  <c r="D260" i="16"/>
  <c r="H260" i="16" s="1"/>
  <c r="I260" i="16" s="1"/>
  <c r="A260" i="16"/>
  <c r="E259" i="16"/>
  <c r="D259" i="16"/>
  <c r="A259" i="16"/>
  <c r="E258" i="16"/>
  <c r="D258" i="16"/>
  <c r="A258" i="16"/>
  <c r="E257" i="16"/>
  <c r="D257" i="16"/>
  <c r="H257" i="16" s="1"/>
  <c r="I257" i="16" s="1"/>
  <c r="A257" i="16"/>
  <c r="E256" i="16"/>
  <c r="D256" i="16"/>
  <c r="H256" i="16" s="1"/>
  <c r="I256" i="16" s="1"/>
  <c r="A256" i="16"/>
  <c r="E255" i="16"/>
  <c r="D255" i="16"/>
  <c r="A255" i="16"/>
  <c r="E254" i="16"/>
  <c r="D254" i="16"/>
  <c r="H254" i="16" s="1"/>
  <c r="I254" i="16" s="1"/>
  <c r="A254" i="16"/>
  <c r="E253" i="16"/>
  <c r="D253" i="16"/>
  <c r="A253" i="16"/>
  <c r="E252" i="16"/>
  <c r="D252" i="16"/>
  <c r="A252" i="16"/>
  <c r="E251" i="16"/>
  <c r="D251" i="16"/>
  <c r="A251" i="16"/>
  <c r="E250" i="16"/>
  <c r="D250" i="16"/>
  <c r="A250" i="16"/>
  <c r="E249" i="16"/>
  <c r="D249" i="16"/>
  <c r="H249" i="16" s="1"/>
  <c r="I249" i="16" s="1"/>
  <c r="A249" i="16"/>
  <c r="E248" i="16"/>
  <c r="D248" i="16"/>
  <c r="A248" i="16"/>
  <c r="E247" i="16"/>
  <c r="D247" i="16"/>
  <c r="A247" i="16"/>
  <c r="E246" i="16"/>
  <c r="D246" i="16"/>
  <c r="A246" i="16"/>
  <c r="E245" i="16"/>
  <c r="D245" i="16"/>
  <c r="H245" i="16" s="1"/>
  <c r="I245" i="16" s="1"/>
  <c r="A245" i="16"/>
  <c r="E244" i="16"/>
  <c r="D244" i="16"/>
  <c r="A244" i="16"/>
  <c r="E243" i="16"/>
  <c r="D243" i="16"/>
  <c r="H243" i="16" s="1"/>
  <c r="I243" i="16" s="1"/>
  <c r="A243" i="16"/>
  <c r="E242" i="16"/>
  <c r="D242" i="16"/>
  <c r="A242" i="16"/>
  <c r="E241" i="16"/>
  <c r="D241" i="16"/>
  <c r="A241" i="16"/>
  <c r="E240" i="16"/>
  <c r="D240" i="16"/>
  <c r="A240" i="16"/>
  <c r="E239" i="16"/>
  <c r="D239" i="16"/>
  <c r="H239" i="16" s="1"/>
  <c r="I239" i="16" s="1"/>
  <c r="A239" i="16"/>
  <c r="E238" i="16"/>
  <c r="D238" i="16"/>
  <c r="H238" i="16" s="1"/>
  <c r="I238" i="16" s="1"/>
  <c r="A238" i="16"/>
  <c r="E237" i="16"/>
  <c r="D237" i="16"/>
  <c r="H237" i="16" s="1"/>
  <c r="I237" i="16" s="1"/>
  <c r="A237" i="16"/>
  <c r="E236" i="16"/>
  <c r="D236" i="16"/>
  <c r="A236" i="16"/>
  <c r="E235" i="16"/>
  <c r="D235" i="16"/>
  <c r="A235" i="16"/>
  <c r="E234" i="16"/>
  <c r="D234" i="16"/>
  <c r="H234" i="16" s="1"/>
  <c r="I234" i="16" s="1"/>
  <c r="A234" i="16"/>
  <c r="E233" i="16"/>
  <c r="D233" i="16"/>
  <c r="H233" i="16" s="1"/>
  <c r="I233" i="16" s="1"/>
  <c r="A233" i="16"/>
  <c r="E232" i="16"/>
  <c r="D232" i="16"/>
  <c r="H232" i="16" s="1"/>
  <c r="I232" i="16" s="1"/>
  <c r="A232" i="16"/>
  <c r="E231" i="16"/>
  <c r="D231" i="16"/>
  <c r="H231" i="16" s="1"/>
  <c r="I231" i="16" s="1"/>
  <c r="A231" i="16"/>
  <c r="E230" i="16"/>
  <c r="D230" i="16"/>
  <c r="A230" i="16"/>
  <c r="E229" i="16"/>
  <c r="D229" i="16"/>
  <c r="H229" i="16" s="1"/>
  <c r="I229" i="16" s="1"/>
  <c r="A229" i="16"/>
  <c r="E228" i="16"/>
  <c r="D228" i="16"/>
  <c r="A228" i="16"/>
  <c r="E227" i="16"/>
  <c r="D227" i="16"/>
  <c r="H227" i="16" s="1"/>
  <c r="I227" i="16" s="1"/>
  <c r="A227" i="16"/>
  <c r="E226" i="16"/>
  <c r="D226" i="16"/>
  <c r="A226" i="16"/>
  <c r="E225" i="16"/>
  <c r="D225" i="16"/>
  <c r="A225" i="16"/>
  <c r="E224" i="16"/>
  <c r="D224" i="16"/>
  <c r="H224" i="16" s="1"/>
  <c r="I224" i="16" s="1"/>
  <c r="A224" i="16"/>
  <c r="E223" i="16"/>
  <c r="D223" i="16"/>
  <c r="H223" i="16" s="1"/>
  <c r="I223" i="16" s="1"/>
  <c r="A223" i="16"/>
  <c r="E222" i="16"/>
  <c r="D222" i="16"/>
  <c r="A222" i="16"/>
  <c r="E221" i="16"/>
  <c r="D221" i="16"/>
  <c r="H221" i="16" s="1"/>
  <c r="I221" i="16" s="1"/>
  <c r="A221" i="16"/>
  <c r="E220" i="16"/>
  <c r="D220" i="16"/>
  <c r="H220" i="16" s="1"/>
  <c r="I220" i="16" s="1"/>
  <c r="A220" i="16"/>
  <c r="E219" i="16"/>
  <c r="D219" i="16"/>
  <c r="A219" i="16"/>
  <c r="E218" i="16"/>
  <c r="D218" i="16"/>
  <c r="H218" i="16" s="1"/>
  <c r="I218" i="16" s="1"/>
  <c r="A218" i="16"/>
  <c r="E217" i="16"/>
  <c r="D217" i="16"/>
  <c r="A217" i="16"/>
  <c r="E216" i="16"/>
  <c r="D216" i="16"/>
  <c r="A216" i="16"/>
  <c r="E215" i="16"/>
  <c r="D215" i="16"/>
  <c r="H215" i="16" s="1"/>
  <c r="I215" i="16" s="1"/>
  <c r="A215" i="16"/>
  <c r="E214" i="16"/>
  <c r="D214" i="16"/>
  <c r="H214" i="16" s="1"/>
  <c r="I214" i="16" s="1"/>
  <c r="A214" i="16"/>
  <c r="E213" i="16"/>
  <c r="D213" i="16"/>
  <c r="A213" i="16"/>
  <c r="E212" i="16"/>
  <c r="D212" i="16"/>
  <c r="H212" i="16" s="1"/>
  <c r="I212" i="16" s="1"/>
  <c r="A212" i="16"/>
  <c r="E211" i="16"/>
  <c r="D211" i="16"/>
  <c r="A211" i="16"/>
  <c r="E210" i="16"/>
  <c r="D210" i="16"/>
  <c r="A210" i="16"/>
  <c r="E209" i="16"/>
  <c r="D209" i="16"/>
  <c r="H209" i="16" s="1"/>
  <c r="I209" i="16" s="1"/>
  <c r="A209" i="16"/>
  <c r="E208" i="16"/>
  <c r="D208" i="16"/>
  <c r="A208" i="16"/>
  <c r="E207" i="16"/>
  <c r="D207" i="16"/>
  <c r="A207" i="16"/>
  <c r="E206" i="16"/>
  <c r="D206" i="16"/>
  <c r="A206" i="16"/>
  <c r="E205" i="16"/>
  <c r="D205" i="16"/>
  <c r="H205" i="16" s="1"/>
  <c r="I205" i="16" s="1"/>
  <c r="A205" i="16"/>
  <c r="E204" i="16"/>
  <c r="D204" i="16"/>
  <c r="H204" i="16" s="1"/>
  <c r="I204" i="16" s="1"/>
  <c r="A204" i="16"/>
  <c r="E203" i="16"/>
  <c r="D203" i="16"/>
  <c r="A203" i="16"/>
  <c r="E202" i="16"/>
  <c r="D202" i="16"/>
  <c r="H202" i="16" s="1"/>
  <c r="I202" i="16" s="1"/>
  <c r="A202" i="16"/>
  <c r="E201" i="16"/>
  <c r="D201" i="16"/>
  <c r="A201" i="16"/>
  <c r="E200" i="16"/>
  <c r="D200" i="16"/>
  <c r="A200" i="16"/>
  <c r="E199" i="16"/>
  <c r="D199" i="16"/>
  <c r="A199" i="16"/>
  <c r="E198" i="16"/>
  <c r="D198" i="16"/>
  <c r="H198" i="16" s="1"/>
  <c r="I198" i="16" s="1"/>
  <c r="A198" i="16"/>
  <c r="E197" i="16"/>
  <c r="D197" i="16"/>
  <c r="H197" i="16" s="1"/>
  <c r="I197" i="16" s="1"/>
  <c r="A197" i="16"/>
  <c r="E196" i="16"/>
  <c r="D196" i="16"/>
  <c r="A196" i="16"/>
  <c r="E195" i="16"/>
  <c r="D195" i="16"/>
  <c r="A195" i="16"/>
  <c r="E194" i="16"/>
  <c r="D194" i="16"/>
  <c r="A194" i="16"/>
  <c r="E193" i="16"/>
  <c r="D193" i="16"/>
  <c r="H193" i="16" s="1"/>
  <c r="I193" i="16" s="1"/>
  <c r="A193" i="16"/>
  <c r="E192" i="16"/>
  <c r="D192" i="16"/>
  <c r="A192" i="16"/>
  <c r="E191" i="16"/>
  <c r="D191" i="16"/>
  <c r="A191" i="16"/>
  <c r="E190" i="16"/>
  <c r="D190" i="16"/>
  <c r="H190" i="16" s="1"/>
  <c r="I190" i="16" s="1"/>
  <c r="A190" i="16"/>
  <c r="E189" i="16"/>
  <c r="D189" i="16"/>
  <c r="A189" i="16"/>
  <c r="E188" i="16"/>
  <c r="D188" i="16"/>
  <c r="H188" i="16" s="1"/>
  <c r="I188" i="16" s="1"/>
  <c r="A188" i="16"/>
  <c r="E187" i="16"/>
  <c r="D187" i="16"/>
  <c r="A187" i="16"/>
  <c r="E186" i="16"/>
  <c r="D186" i="16"/>
  <c r="A186" i="16"/>
  <c r="E185" i="16"/>
  <c r="D185" i="16"/>
  <c r="A185" i="16"/>
  <c r="E184" i="16"/>
  <c r="D184" i="16"/>
  <c r="H184" i="16" s="1"/>
  <c r="I184" i="16" s="1"/>
  <c r="A184" i="16"/>
  <c r="E183" i="16"/>
  <c r="D183" i="16"/>
  <c r="H183" i="16" s="1"/>
  <c r="I183" i="16" s="1"/>
  <c r="A183" i="16"/>
  <c r="E182" i="16"/>
  <c r="D182" i="16"/>
  <c r="H182" i="16" s="1"/>
  <c r="I182" i="16" s="1"/>
  <c r="A182" i="16"/>
  <c r="E181" i="16"/>
  <c r="D181" i="16"/>
  <c r="A181" i="16"/>
  <c r="E180" i="16"/>
  <c r="D180" i="16"/>
  <c r="A180" i="16"/>
  <c r="E179" i="16"/>
  <c r="D179" i="16"/>
  <c r="H179" i="16" s="1"/>
  <c r="I179" i="16" s="1"/>
  <c r="A179" i="16"/>
  <c r="E178" i="16"/>
  <c r="D178" i="16"/>
  <c r="A178" i="16"/>
  <c r="E177" i="16"/>
  <c r="D177" i="16"/>
  <c r="H177" i="16" s="1"/>
  <c r="I177" i="16" s="1"/>
  <c r="A177" i="16"/>
  <c r="E176" i="16"/>
  <c r="D176" i="16"/>
  <c r="H176" i="16" s="1"/>
  <c r="I176" i="16" s="1"/>
  <c r="A176" i="16"/>
  <c r="E175" i="16"/>
  <c r="D175" i="16"/>
  <c r="H175" i="16" s="1"/>
  <c r="I175" i="16" s="1"/>
  <c r="A175" i="16"/>
  <c r="E174" i="16"/>
  <c r="D174" i="16"/>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H168" i="16" s="1"/>
  <c r="I168" i="16" s="1"/>
  <c r="A168" i="16"/>
  <c r="E167" i="16"/>
  <c r="D167" i="16"/>
  <c r="A167" i="16"/>
  <c r="E166" i="16"/>
  <c r="D166" i="16"/>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H161" i="16" s="1"/>
  <c r="I161" i="16" s="1"/>
  <c r="A161" i="16"/>
  <c r="E160" i="16"/>
  <c r="D160" i="16"/>
  <c r="A160" i="16"/>
  <c r="E159" i="16"/>
  <c r="D159" i="16"/>
  <c r="A159" i="16"/>
  <c r="E158" i="16"/>
  <c r="D158" i="16"/>
  <c r="A158" i="16"/>
  <c r="E157" i="16"/>
  <c r="D157" i="16"/>
  <c r="H157" i="16" s="1"/>
  <c r="I157" i="16" s="1"/>
  <c r="A157" i="16"/>
  <c r="E156" i="16"/>
  <c r="D156" i="16"/>
  <c r="A156" i="16"/>
  <c r="E155" i="16"/>
  <c r="D155" i="16"/>
  <c r="A155" i="16"/>
  <c r="E154" i="16"/>
  <c r="D154" i="16"/>
  <c r="H154" i="16" s="1"/>
  <c r="I154" i="16" s="1"/>
  <c r="A154" i="16"/>
  <c r="E153" i="16"/>
  <c r="D153" i="16"/>
  <c r="A153" i="16"/>
  <c r="E152" i="16"/>
  <c r="D152" i="16"/>
  <c r="A152" i="16"/>
  <c r="E151" i="16"/>
  <c r="D151" i="16"/>
  <c r="H151" i="16" s="1"/>
  <c r="I151" i="16" s="1"/>
  <c r="A151" i="16"/>
  <c r="E150" i="16"/>
  <c r="D150" i="16"/>
  <c r="H150" i="16" s="1"/>
  <c r="I150" i="16" s="1"/>
  <c r="A150" i="16"/>
  <c r="E149" i="16"/>
  <c r="D149" i="16"/>
  <c r="H149" i="16" s="1"/>
  <c r="I149" i="16" s="1"/>
  <c r="A149" i="16"/>
  <c r="E148" i="16"/>
  <c r="D148" i="16"/>
  <c r="A148" i="16"/>
  <c r="E147" i="16"/>
  <c r="D147" i="16"/>
  <c r="A147" i="16"/>
  <c r="E146" i="16"/>
  <c r="D146" i="16"/>
  <c r="H146" i="16" s="1"/>
  <c r="I146" i="16" s="1"/>
  <c r="A146" i="16"/>
  <c r="E145" i="16"/>
  <c r="D145" i="16"/>
  <c r="A145" i="16"/>
  <c r="E144" i="16"/>
  <c r="D144" i="16"/>
  <c r="H144" i="16" s="1"/>
  <c r="I144" i="16" s="1"/>
  <c r="A144" i="16"/>
  <c r="E143" i="16"/>
  <c r="D143" i="16"/>
  <c r="A143" i="16"/>
  <c r="E142" i="16"/>
  <c r="D142" i="16"/>
  <c r="A142" i="16"/>
  <c r="E141" i="16"/>
  <c r="D141" i="16"/>
  <c r="H141" i="16" s="1"/>
  <c r="I141" i="16" s="1"/>
  <c r="A141" i="16"/>
  <c r="E140" i="16"/>
  <c r="D140" i="16"/>
  <c r="A140" i="16"/>
  <c r="E139" i="16"/>
  <c r="D139" i="16"/>
  <c r="H139" i="16" s="1"/>
  <c r="I139" i="16" s="1"/>
  <c r="A139" i="16"/>
  <c r="E138" i="16"/>
  <c r="D138" i="16"/>
  <c r="H138" i="16" s="1"/>
  <c r="I138" i="16" s="1"/>
  <c r="A138" i="16"/>
  <c r="E137" i="16"/>
  <c r="D137" i="16"/>
  <c r="A137" i="16"/>
  <c r="E136" i="16"/>
  <c r="D136" i="16"/>
  <c r="H136" i="16" s="1"/>
  <c r="I136" i="16" s="1"/>
  <c r="A136" i="16"/>
  <c r="E135" i="16"/>
  <c r="D135" i="16"/>
  <c r="H135" i="16" s="1"/>
  <c r="I135" i="16" s="1"/>
  <c r="A135" i="16"/>
  <c r="E134" i="16"/>
  <c r="D134" i="16"/>
  <c r="A134" i="16"/>
  <c r="E133" i="16"/>
  <c r="D133" i="16"/>
  <c r="H133" i="16" s="1"/>
  <c r="I133" i="16" s="1"/>
  <c r="A133" i="16"/>
  <c r="E132" i="16"/>
  <c r="D132" i="16"/>
  <c r="A132" i="16"/>
  <c r="E131" i="16"/>
  <c r="D131" i="16"/>
  <c r="A131" i="16"/>
  <c r="E130" i="16"/>
  <c r="D130" i="16"/>
  <c r="A130" i="16"/>
  <c r="E129" i="16"/>
  <c r="D129" i="16"/>
  <c r="H129" i="16" s="1"/>
  <c r="I129" i="16" s="1"/>
  <c r="A129" i="16"/>
  <c r="E128" i="16"/>
  <c r="D128" i="16"/>
  <c r="A128" i="16"/>
  <c r="E127" i="16"/>
  <c r="D127" i="16"/>
  <c r="A127" i="16"/>
  <c r="E126" i="16"/>
  <c r="D126" i="16"/>
  <c r="H126" i="16" s="1"/>
  <c r="I126" i="16" s="1"/>
  <c r="A126" i="16"/>
  <c r="E125" i="16"/>
  <c r="D125" i="16"/>
  <c r="A125" i="16"/>
  <c r="E124" i="16"/>
  <c r="D124" i="16"/>
  <c r="A124" i="16"/>
  <c r="E123" i="16"/>
  <c r="D123" i="16"/>
  <c r="A123" i="16"/>
  <c r="E122" i="16"/>
  <c r="D122" i="16"/>
  <c r="A122" i="16"/>
  <c r="E121" i="16"/>
  <c r="D121" i="16"/>
  <c r="A121" i="16"/>
  <c r="E120" i="16"/>
  <c r="D120" i="16"/>
  <c r="A120" i="16"/>
  <c r="E119" i="16"/>
  <c r="D119" i="16"/>
  <c r="H119" i="16" s="1"/>
  <c r="I119" i="16" s="1"/>
  <c r="A119" i="16"/>
  <c r="E118" i="16"/>
  <c r="D118" i="16"/>
  <c r="A118" i="16"/>
  <c r="E117" i="16"/>
  <c r="D117" i="16"/>
  <c r="A117" i="16"/>
  <c r="E116" i="16"/>
  <c r="D116" i="16"/>
  <c r="A116" i="16"/>
  <c r="E115" i="16"/>
  <c r="D115" i="16"/>
  <c r="H115" i="16" s="1"/>
  <c r="I115" i="16" s="1"/>
  <c r="A115" i="16"/>
  <c r="E114" i="16"/>
  <c r="D114" i="16"/>
  <c r="A114" i="16"/>
  <c r="E113" i="16"/>
  <c r="D113" i="16"/>
  <c r="A113" i="16"/>
  <c r="E112" i="16"/>
  <c r="D112" i="16"/>
  <c r="A112" i="16"/>
  <c r="E111" i="16"/>
  <c r="D111" i="16"/>
  <c r="A111" i="16"/>
  <c r="E110" i="16"/>
  <c r="D110" i="16"/>
  <c r="H110" i="16" s="1"/>
  <c r="I110" i="16" s="1"/>
  <c r="A110" i="16"/>
  <c r="E109" i="16"/>
  <c r="D109" i="16"/>
  <c r="A109" i="16"/>
  <c r="E108" i="16"/>
  <c r="D108" i="16"/>
  <c r="A108" i="16"/>
  <c r="E107" i="16"/>
  <c r="D107" i="16"/>
  <c r="H107" i="16" s="1"/>
  <c r="I107" i="16" s="1"/>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H99" i="16" s="1"/>
  <c r="I99" i="16" s="1"/>
  <c r="A99" i="16"/>
  <c r="E98" i="16"/>
  <c r="D98" i="16"/>
  <c r="H98" i="16" s="1"/>
  <c r="I98" i="16" s="1"/>
  <c r="A98" i="16"/>
  <c r="E97" i="16"/>
  <c r="D97" i="16"/>
  <c r="H97" i="16" s="1"/>
  <c r="I97" i="16" s="1"/>
  <c r="A97" i="16"/>
  <c r="E96" i="16"/>
  <c r="D96" i="16"/>
  <c r="A96" i="16"/>
  <c r="E95" i="16"/>
  <c r="D95" i="16"/>
  <c r="H95" i="16" s="1"/>
  <c r="I95" i="16" s="1"/>
  <c r="A95" i="16"/>
  <c r="E94" i="16"/>
  <c r="D94" i="16"/>
  <c r="H94" i="16" s="1"/>
  <c r="I94" i="16" s="1"/>
  <c r="A94" i="16"/>
  <c r="E93" i="16"/>
  <c r="D93" i="16"/>
  <c r="H93" i="16" s="1"/>
  <c r="I93" i="16" s="1"/>
  <c r="A93" i="16"/>
  <c r="E92" i="16"/>
  <c r="D92" i="16"/>
  <c r="H92" i="16" s="1"/>
  <c r="I92" i="16" s="1"/>
  <c r="A92" i="16"/>
  <c r="E91" i="16"/>
  <c r="D91" i="16"/>
  <c r="A91" i="16"/>
  <c r="E90" i="16"/>
  <c r="D90" i="16"/>
  <c r="H90" i="16" s="1"/>
  <c r="I90" i="16" s="1"/>
  <c r="A90" i="16"/>
  <c r="E89" i="16"/>
  <c r="D89" i="16"/>
  <c r="H89" i="16" s="1"/>
  <c r="I89" i="16" s="1"/>
  <c r="A89" i="16"/>
  <c r="E88" i="16"/>
  <c r="D88" i="16"/>
  <c r="A88" i="16"/>
  <c r="E87" i="16"/>
  <c r="D87" i="16"/>
  <c r="A87" i="16"/>
  <c r="E86" i="16"/>
  <c r="D86" i="16"/>
  <c r="H86" i="16" s="1"/>
  <c r="I86" i="16" s="1"/>
  <c r="A86" i="16"/>
  <c r="E85" i="16"/>
  <c r="D85" i="16"/>
  <c r="A85" i="16"/>
  <c r="E84" i="16"/>
  <c r="D84" i="16"/>
  <c r="H84" i="16" s="1"/>
  <c r="I84" i="16" s="1"/>
  <c r="A84" i="16"/>
  <c r="E83" i="16"/>
  <c r="D83" i="16"/>
  <c r="H83" i="16" s="1"/>
  <c r="I83" i="16" s="1"/>
  <c r="A83" i="16"/>
  <c r="E82" i="16"/>
  <c r="D82" i="16"/>
  <c r="A82" i="16"/>
  <c r="E81" i="16"/>
  <c r="D81" i="16"/>
  <c r="A81" i="16"/>
  <c r="E80" i="16"/>
  <c r="D80" i="16"/>
  <c r="H80" i="16" s="1"/>
  <c r="I80" i="16" s="1"/>
  <c r="A80" i="16"/>
  <c r="E79" i="16"/>
  <c r="D79" i="16"/>
  <c r="A79" i="16"/>
  <c r="E78" i="16"/>
  <c r="D78" i="16"/>
  <c r="H78" i="16" s="1"/>
  <c r="I78" i="16" s="1"/>
  <c r="A78" i="16"/>
  <c r="E77" i="16"/>
  <c r="D77" i="16"/>
  <c r="A77" i="16"/>
  <c r="E76" i="16"/>
  <c r="D76" i="16"/>
  <c r="A76" i="16"/>
  <c r="E75" i="16"/>
  <c r="D75" i="16"/>
  <c r="A75" i="16"/>
  <c r="E74" i="16"/>
  <c r="D74" i="16"/>
  <c r="H74" i="16" s="1"/>
  <c r="I74" i="16" s="1"/>
  <c r="A74" i="16"/>
  <c r="E73" i="16"/>
  <c r="D73" i="16"/>
  <c r="A73" i="16"/>
  <c r="E72" i="16"/>
  <c r="D72" i="16"/>
  <c r="A72" i="16"/>
  <c r="E71" i="16"/>
  <c r="D71" i="16"/>
  <c r="A71" i="16"/>
  <c r="E70" i="16"/>
  <c r="D70" i="16"/>
  <c r="A70" i="16"/>
  <c r="E69" i="16"/>
  <c r="D69" i="16"/>
  <c r="A69" i="16"/>
  <c r="E68" i="16"/>
  <c r="D68" i="16"/>
  <c r="H68" i="16" s="1"/>
  <c r="I68" i="16" s="1"/>
  <c r="A68" i="16"/>
  <c r="E67" i="16"/>
  <c r="D67" i="16"/>
  <c r="H67" i="16" s="1"/>
  <c r="I67" i="16" s="1"/>
  <c r="A67" i="16"/>
  <c r="E66" i="16"/>
  <c r="D66" i="16"/>
  <c r="A66" i="16"/>
  <c r="E65" i="16"/>
  <c r="D65" i="16"/>
  <c r="A65" i="16"/>
  <c r="E64" i="16"/>
  <c r="D64" i="16"/>
  <c r="A64" i="16"/>
  <c r="E63" i="16"/>
  <c r="D63" i="16"/>
  <c r="A63" i="16"/>
  <c r="E62" i="16"/>
  <c r="D62" i="16"/>
  <c r="H62" i="16" s="1"/>
  <c r="I62" i="16" s="1"/>
  <c r="A62" i="16"/>
  <c r="E61" i="16"/>
  <c r="D61" i="16"/>
  <c r="A61" i="16"/>
  <c r="E60" i="16"/>
  <c r="D60" i="16"/>
  <c r="A60" i="16"/>
  <c r="E59" i="16"/>
  <c r="D59" i="16"/>
  <c r="A59" i="16"/>
  <c r="E58" i="16"/>
  <c r="D58" i="16"/>
  <c r="A58" i="16"/>
  <c r="E57" i="16"/>
  <c r="D57" i="16"/>
  <c r="H57" i="16" s="1"/>
  <c r="I57" i="16" s="1"/>
  <c r="A57" i="16"/>
  <c r="E56" i="16"/>
  <c r="D56" i="16"/>
  <c r="H56" i="16" s="1"/>
  <c r="I56" i="16" s="1"/>
  <c r="A56" i="16"/>
  <c r="E55" i="16"/>
  <c r="D55" i="16"/>
  <c r="A55" i="16"/>
  <c r="E54" i="16"/>
  <c r="D54" i="16"/>
  <c r="H54" i="16" s="1"/>
  <c r="I54" i="16" s="1"/>
  <c r="A54" i="16"/>
  <c r="E53" i="16"/>
  <c r="D53" i="16"/>
  <c r="H53" i="16" s="1"/>
  <c r="I53" i="16" s="1"/>
  <c r="A53" i="16"/>
  <c r="E52" i="16"/>
  <c r="D52" i="16"/>
  <c r="A52" i="16"/>
  <c r="E51" i="16"/>
  <c r="D51" i="16"/>
  <c r="H51" i="16" s="1"/>
  <c r="I51" i="16" s="1"/>
  <c r="A51" i="16"/>
  <c r="E50" i="16"/>
  <c r="D50" i="16"/>
  <c r="A50" i="16"/>
  <c r="E49" i="16"/>
  <c r="D49" i="16"/>
  <c r="A49" i="16"/>
  <c r="E48" i="16"/>
  <c r="D48" i="16"/>
  <c r="A48" i="16"/>
  <c r="E47" i="16"/>
  <c r="D47" i="16"/>
  <c r="H47" i="16" s="1"/>
  <c r="I47" i="16" s="1"/>
  <c r="A47" i="16"/>
  <c r="E46" i="16"/>
  <c r="D46" i="16"/>
  <c r="A46" i="16"/>
  <c r="E45" i="16"/>
  <c r="D45" i="16"/>
  <c r="H45" i="16" s="1"/>
  <c r="I45" i="16" s="1"/>
  <c r="A45" i="16"/>
  <c r="E44" i="16"/>
  <c r="D44" i="16"/>
  <c r="H44" i="16" s="1"/>
  <c r="I44" i="16" s="1"/>
  <c r="A44" i="16"/>
  <c r="E43" i="16"/>
  <c r="D43" i="16"/>
  <c r="A43" i="16"/>
  <c r="E42" i="16"/>
  <c r="D42" i="16"/>
  <c r="H42" i="16" s="1"/>
  <c r="I42" i="16" s="1"/>
  <c r="A42" i="16"/>
  <c r="E41" i="16"/>
  <c r="D41" i="16"/>
  <c r="A41" i="16"/>
  <c r="E40" i="16"/>
  <c r="D40" i="16"/>
  <c r="A40" i="16"/>
  <c r="E39" i="16"/>
  <c r="D39" i="16"/>
  <c r="H39" i="16" s="1"/>
  <c r="I39" i="16" s="1"/>
  <c r="A39" i="16"/>
  <c r="E38" i="16"/>
  <c r="D38" i="16"/>
  <c r="H38" i="16" s="1"/>
  <c r="I38" i="16" s="1"/>
  <c r="A38" i="16"/>
  <c r="E37" i="16"/>
  <c r="D37" i="16"/>
  <c r="H37" i="16" s="1"/>
  <c r="I37" i="16" s="1"/>
  <c r="A37" i="16"/>
  <c r="E36" i="16"/>
  <c r="D36" i="16"/>
  <c r="H36" i="16" s="1"/>
  <c r="I36" i="16" s="1"/>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H34" i="16" s="1"/>
  <c r="I34" i="16" s="1"/>
  <c r="A34" i="16"/>
  <c r="E33" i="16"/>
  <c r="D33" i="16"/>
  <c r="A33" i="16"/>
  <c r="E32" i="16"/>
  <c r="D32" i="16"/>
  <c r="H32" i="16" s="1"/>
  <c r="I32" i="16" s="1"/>
  <c r="A32" i="16"/>
  <c r="E31" i="16"/>
  <c r="D31" i="16"/>
  <c r="H31" i="16" s="1"/>
  <c r="I31" i="16" s="1"/>
  <c r="A31" i="16"/>
  <c r="E30" i="16"/>
  <c r="D30" i="16"/>
  <c r="A30" i="16"/>
  <c r="E29" i="16"/>
  <c r="D29" i="16"/>
  <c r="H29" i="16" s="1"/>
  <c r="I29" i="16" s="1"/>
  <c r="A29" i="16"/>
  <c r="E28" i="16"/>
  <c r="D28" i="16"/>
  <c r="H28" i="16" s="1"/>
  <c r="I28" i="16" s="1"/>
  <c r="A28" i="16"/>
  <c r="E27" i="16"/>
  <c r="D27" i="16"/>
  <c r="H27" i="16" s="1"/>
  <c r="I27" i="16" s="1"/>
  <c r="A27" i="16"/>
  <c r="AF26" i="16"/>
  <c r="E26" i="16"/>
  <c r="D26" i="16"/>
  <c r="H26" i="16" s="1"/>
  <c r="I26" i="16" s="1"/>
  <c r="A26" i="16"/>
  <c r="AF25" i="16"/>
  <c r="E25" i="16"/>
  <c r="D25" i="16"/>
  <c r="A25" i="16"/>
  <c r="AF24" i="16"/>
  <c r="E24" i="16"/>
  <c r="D24" i="16"/>
  <c r="A24" i="16"/>
  <c r="AF23" i="16"/>
  <c r="E23" i="16"/>
  <c r="D23" i="16"/>
  <c r="A23" i="16"/>
  <c r="AF22" i="16"/>
  <c r="E22" i="16"/>
  <c r="D22" i="16"/>
  <c r="A22" i="16"/>
  <c r="AF21" i="16"/>
  <c r="E21" i="16"/>
  <c r="D21" i="16"/>
  <c r="H21" i="16" s="1"/>
  <c r="I21" i="16" s="1"/>
  <c r="A21" i="16"/>
  <c r="AF20" i="16"/>
  <c r="E20" i="16"/>
  <c r="D20" i="16"/>
  <c r="H20" i="16" s="1"/>
  <c r="I20" i="16" s="1"/>
  <c r="A20" i="16"/>
  <c r="AF19" i="16"/>
  <c r="E19" i="16"/>
  <c r="D19" i="16"/>
  <c r="H19" i="16" s="1"/>
  <c r="I19" i="16" s="1"/>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AX10" i="16" l="1"/>
  <c r="B368" i="16"/>
  <c r="B367" i="16"/>
  <c r="B364" i="16"/>
  <c r="B365" i="16"/>
  <c r="B366" i="16"/>
  <c r="B13" i="16"/>
  <c r="B11" i="16"/>
  <c r="B12" i="16"/>
  <c r="B14"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3"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6" i="16"/>
  <c r="B17" i="16"/>
  <c r="B18" i="16"/>
  <c r="B19" i="16"/>
  <c r="B20" i="16"/>
  <c r="B21" i="16"/>
  <c r="B24" i="16"/>
  <c r="B25" i="16"/>
  <c r="B26" i="16"/>
  <c r="B31" i="16"/>
  <c r="B35" i="16"/>
  <c r="B40" i="16"/>
  <c r="B48" i="16"/>
  <c r="B52" i="16"/>
  <c r="B56" i="16"/>
  <c r="B60" i="16"/>
  <c r="B64" i="16"/>
  <c r="B68" i="16"/>
  <c r="B72" i="16"/>
  <c r="B76" i="16"/>
  <c r="B84" i="16"/>
  <c r="B88" i="16"/>
  <c r="B92" i="16"/>
  <c r="B100" i="16"/>
  <c r="B104" i="16"/>
  <c r="B108" i="16"/>
  <c r="B116" i="16"/>
  <c r="B124" i="16"/>
  <c r="B128" i="16"/>
  <c r="B132" i="16"/>
  <c r="B140" i="16"/>
  <c r="B148" i="16"/>
  <c r="B152" i="16"/>
  <c r="B156" i="16"/>
  <c r="B164" i="16"/>
  <c r="B168" i="16"/>
  <c r="B176" i="16"/>
  <c r="B180" i="16"/>
  <c r="B184" i="16"/>
  <c r="B188" i="16"/>
  <c r="B192" i="16"/>
  <c r="B204" i="16"/>
  <c r="B208" i="16"/>
  <c r="B2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7" i="16"/>
  <c r="B36" i="16"/>
  <c r="B44" i="16"/>
  <c r="B80" i="16"/>
  <c r="B96" i="16"/>
  <c r="B112" i="16"/>
  <c r="B120" i="16"/>
  <c r="B136" i="16"/>
  <c r="B144" i="16"/>
  <c r="B160" i="16"/>
  <c r="B172" i="16"/>
  <c r="B196" i="16"/>
  <c r="B200"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96" i="16"/>
  <c r="F96" i="16" s="1"/>
  <c r="AX120" i="16"/>
  <c r="F120" i="16" s="1"/>
  <c r="AX144" i="16"/>
  <c r="F144" i="16" s="1"/>
  <c r="AX168" i="16"/>
  <c r="F168" i="16" s="1"/>
  <c r="AX23" i="16"/>
  <c r="F23" i="16" s="1"/>
  <c r="AX47" i="16"/>
  <c r="F47" i="16" s="1"/>
  <c r="AX71" i="16"/>
  <c r="H71" i="16" s="1"/>
  <c r="AX95" i="16"/>
  <c r="F95" i="16" s="1"/>
  <c r="AX119" i="16"/>
  <c r="F119" i="16" s="1"/>
  <c r="AX143" i="16"/>
  <c r="F143" i="16" s="1"/>
  <c r="AX167" i="16"/>
  <c r="F167" i="16" s="1"/>
  <c r="AX190" i="16"/>
  <c r="F190" i="16" s="1"/>
  <c r="AX214" i="16"/>
  <c r="F214" i="16" s="1"/>
  <c r="AX238" i="16"/>
  <c r="F238" i="16" s="1"/>
  <c r="AX262" i="16"/>
  <c r="H262" i="16" s="1"/>
  <c r="AX286" i="16"/>
  <c r="F286" i="16" s="1"/>
  <c r="AX310" i="16"/>
  <c r="F310" i="16" s="1"/>
  <c r="AX334" i="16"/>
  <c r="F334" i="16" s="1"/>
  <c r="AX187" i="16"/>
  <c r="H187" i="16" s="1"/>
  <c r="AX211" i="16"/>
  <c r="F211" i="16" s="1"/>
  <c r="AX235" i="16"/>
  <c r="F235" i="16" s="1"/>
  <c r="AX259" i="16"/>
  <c r="F259" i="16" s="1"/>
  <c r="AX283" i="16"/>
  <c r="F283" i="16" s="1"/>
  <c r="AX307" i="16"/>
  <c r="F307" i="16" s="1"/>
  <c r="AX331" i="16"/>
  <c r="F331" i="16" s="1"/>
  <c r="AX355" i="16"/>
  <c r="F355"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G3" i="16"/>
  <c r="J9" i="8" s="1"/>
  <c r="I3" i="16"/>
  <c r="P8" i="16"/>
  <c r="AF11" i="16"/>
  <c r="F3" i="16"/>
  <c r="H3" i="16"/>
  <c r="J11" i="8" s="1"/>
  <c r="AX353" i="16" l="1"/>
  <c r="F353" i="16" s="1"/>
  <c r="AX329" i="16"/>
  <c r="F329" i="16" s="1"/>
  <c r="AX305" i="16"/>
  <c r="H305" i="16" s="1"/>
  <c r="AX281" i="16"/>
  <c r="H281" i="16" s="1"/>
  <c r="AX257" i="16"/>
  <c r="F257" i="16" s="1"/>
  <c r="AX233" i="16"/>
  <c r="F233" i="16" s="1"/>
  <c r="AX209" i="16"/>
  <c r="F209" i="16" s="1"/>
  <c r="AX185" i="16"/>
  <c r="H185" i="16" s="1"/>
  <c r="AX332" i="16"/>
  <c r="F332" i="16" s="1"/>
  <c r="AX308" i="16"/>
  <c r="F308" i="16" s="1"/>
  <c r="AX284" i="16"/>
  <c r="F284" i="16" s="1"/>
  <c r="AX260" i="16"/>
  <c r="F260" i="16" s="1"/>
  <c r="AX236" i="16"/>
  <c r="H236" i="16" s="1"/>
  <c r="AX212" i="16"/>
  <c r="AX188" i="16"/>
  <c r="F188" i="16" s="1"/>
  <c r="AX165" i="16"/>
  <c r="F165" i="16" s="1"/>
  <c r="AX141" i="16"/>
  <c r="F141" i="16" s="1"/>
  <c r="AX117" i="16"/>
  <c r="F117" i="16" s="1"/>
  <c r="AX93" i="16"/>
  <c r="F93" i="16" s="1"/>
  <c r="AX69" i="16"/>
  <c r="F69" i="16" s="1"/>
  <c r="AX45" i="16"/>
  <c r="F45" i="16" s="1"/>
  <c r="AX21" i="16"/>
  <c r="F21" i="16" s="1"/>
  <c r="AX166" i="16"/>
  <c r="F166" i="16" s="1"/>
  <c r="AX142" i="16"/>
  <c r="F142" i="16" s="1"/>
  <c r="AX118" i="16"/>
  <c r="F118" i="16" s="1"/>
  <c r="AX94" i="16"/>
  <c r="AX70" i="16"/>
  <c r="F70" i="16" s="1"/>
  <c r="AX46" i="16"/>
  <c r="F46" i="16" s="1"/>
  <c r="AX22" i="16"/>
  <c r="H22" i="16" s="1"/>
  <c r="AX48" i="16"/>
  <c r="F48" i="16" s="1"/>
  <c r="AX362" i="16"/>
  <c r="F362" i="16" s="1"/>
  <c r="AX351" i="16"/>
  <c r="F351" i="16" s="1"/>
  <c r="AX327" i="16"/>
  <c r="H327" i="16" s="1"/>
  <c r="AX303" i="16"/>
  <c r="F303" i="16" s="1"/>
  <c r="AX279" i="16"/>
  <c r="F279" i="16" s="1"/>
  <c r="AX255" i="16"/>
  <c r="H255" i="16" s="1"/>
  <c r="AX231" i="16"/>
  <c r="F231" i="16" s="1"/>
  <c r="AX207" i="16"/>
  <c r="H207" i="16" s="1"/>
  <c r="AX183" i="16"/>
  <c r="F183" i="16" s="1"/>
  <c r="AX330" i="16"/>
  <c r="F330" i="16" s="1"/>
  <c r="AX306" i="16"/>
  <c r="AX282" i="16"/>
  <c r="F282" i="16" s="1"/>
  <c r="AX258" i="16"/>
  <c r="F258" i="16" s="1"/>
  <c r="AX234" i="16"/>
  <c r="F234" i="16" s="1"/>
  <c r="AX210" i="16"/>
  <c r="F210" i="16" s="1"/>
  <c r="AX186" i="16"/>
  <c r="F186" i="16" s="1"/>
  <c r="AX163" i="16"/>
  <c r="F163" i="16" s="1"/>
  <c r="AX139" i="16"/>
  <c r="F139" i="16" s="1"/>
  <c r="AX115" i="16"/>
  <c r="AX91" i="16"/>
  <c r="F91" i="16" s="1"/>
  <c r="AX67" i="16"/>
  <c r="F67" i="16" s="1"/>
  <c r="AX43" i="16"/>
  <c r="H43" i="16" s="1"/>
  <c r="AX19" i="16"/>
  <c r="F19" i="16" s="1"/>
  <c r="AX164" i="16"/>
  <c r="F164" i="16" s="1"/>
  <c r="AX140" i="16"/>
  <c r="H140" i="16" s="1"/>
  <c r="AX116" i="16"/>
  <c r="F116" i="16" s="1"/>
  <c r="AX92" i="16"/>
  <c r="F92" i="16" s="1"/>
  <c r="AX68" i="16"/>
  <c r="F68" i="16" s="1"/>
  <c r="AX44" i="16"/>
  <c r="F44" i="16" s="1"/>
  <c r="AX20" i="16"/>
  <c r="F20" i="16" s="1"/>
  <c r="AX24" i="16"/>
  <c r="F24" i="16" s="1"/>
  <c r="AX360" i="16"/>
  <c r="F360" i="16" s="1"/>
  <c r="AX349" i="16"/>
  <c r="F349" i="16" s="1"/>
  <c r="AX325" i="16"/>
  <c r="AX301" i="16"/>
  <c r="F301" i="16" s="1"/>
  <c r="AX277" i="16"/>
  <c r="F277" i="16" s="1"/>
  <c r="AX253" i="16"/>
  <c r="F253" i="16" s="1"/>
  <c r="AX229" i="16"/>
  <c r="F229" i="16" s="1"/>
  <c r="AX205" i="16"/>
  <c r="F205" i="16" s="1"/>
  <c r="AX352" i="16"/>
  <c r="F352" i="16" s="1"/>
  <c r="AX328" i="16"/>
  <c r="H328" i="16" s="1"/>
  <c r="AX304" i="16"/>
  <c r="F304" i="16" s="1"/>
  <c r="AX280" i="16"/>
  <c r="F280" i="16" s="1"/>
  <c r="AX256" i="16"/>
  <c r="F256" i="16" s="1"/>
  <c r="AX232" i="16"/>
  <c r="F232" i="16" s="1"/>
  <c r="AX208" i="16"/>
  <c r="H208" i="16" s="1"/>
  <c r="AX184" i="16"/>
  <c r="F184" i="16" s="1"/>
  <c r="AX161" i="16"/>
  <c r="F161" i="16" s="1"/>
  <c r="AX137" i="16"/>
  <c r="H137" i="16" s="1"/>
  <c r="AX113" i="16"/>
  <c r="F113" i="16" s="1"/>
  <c r="AX89" i="16"/>
  <c r="F89" i="16" s="1"/>
  <c r="AX65" i="16"/>
  <c r="F65" i="16" s="1"/>
  <c r="AX41" i="16"/>
  <c r="H41" i="16" s="1"/>
  <c r="AX17" i="16"/>
  <c r="H17" i="16" s="1"/>
  <c r="AX162" i="16"/>
  <c r="F162" i="16" s="1"/>
  <c r="AX138" i="16"/>
  <c r="F138" i="16" s="1"/>
  <c r="AX114" i="16"/>
  <c r="F114" i="16" s="1"/>
  <c r="AX90" i="16"/>
  <c r="F90" i="16" s="1"/>
  <c r="AX66" i="16"/>
  <c r="H66" i="16" s="1"/>
  <c r="AX42" i="16"/>
  <c r="F42" i="16" s="1"/>
  <c r="AX18" i="16"/>
  <c r="F18" i="16" s="1"/>
  <c r="AX347" i="16"/>
  <c r="H347" i="16" s="1"/>
  <c r="AX275" i="16"/>
  <c r="F275" i="16" s="1"/>
  <c r="AX227" i="16"/>
  <c r="F227" i="16" s="1"/>
  <c r="AX203" i="16"/>
  <c r="H203" i="16" s="1"/>
  <c r="AX302" i="16"/>
  <c r="F302" i="16" s="1"/>
  <c r="AX278" i="16"/>
  <c r="AX254" i="16"/>
  <c r="F254" i="16" s="1"/>
  <c r="AX230" i="16"/>
  <c r="F230" i="16" s="1"/>
  <c r="AX206" i="16"/>
  <c r="F206" i="16" s="1"/>
  <c r="AX182" i="16"/>
  <c r="F182" i="16" s="1"/>
  <c r="AX159" i="16"/>
  <c r="H159" i="16" s="1"/>
  <c r="AX135" i="16"/>
  <c r="F135" i="16" s="1"/>
  <c r="AX111" i="16"/>
  <c r="F111" i="16" s="1"/>
  <c r="AX87" i="16"/>
  <c r="H87" i="16" s="1"/>
  <c r="AX63" i="16"/>
  <c r="H63" i="16" s="1"/>
  <c r="AX39" i="16"/>
  <c r="F39" i="16" s="1"/>
  <c r="AX15" i="16"/>
  <c r="AX160" i="16"/>
  <c r="H160" i="16" s="1"/>
  <c r="AX136" i="16"/>
  <c r="F136" i="16" s="1"/>
  <c r="AX112" i="16"/>
  <c r="H112" i="16" s="1"/>
  <c r="AX88" i="16"/>
  <c r="F88" i="16" s="1"/>
  <c r="AX64" i="16"/>
  <c r="H64" i="16" s="1"/>
  <c r="AX40" i="16"/>
  <c r="F40" i="16" s="1"/>
  <c r="AX16" i="16"/>
  <c r="F16" i="16" s="1"/>
  <c r="F212" i="16"/>
  <c r="F115" i="16"/>
  <c r="AX358" i="16"/>
  <c r="F358" i="16" s="1"/>
  <c r="AX299" i="16"/>
  <c r="F299" i="16" s="1"/>
  <c r="AX326" i="16"/>
  <c r="F326" i="16" s="1"/>
  <c r="AX356" i="16"/>
  <c r="F356" i="16" s="1"/>
  <c r="AX345" i="16"/>
  <c r="F345" i="16" s="1"/>
  <c r="AX321" i="16"/>
  <c r="H321" i="16" s="1"/>
  <c r="AX297" i="16"/>
  <c r="AX273" i="16"/>
  <c r="F273" i="16" s="1"/>
  <c r="AX249" i="16"/>
  <c r="F249" i="16" s="1"/>
  <c r="AX225" i="16"/>
  <c r="F225" i="16" s="1"/>
  <c r="AX201" i="16"/>
  <c r="H201" i="16" s="1"/>
  <c r="AX348" i="16"/>
  <c r="F348" i="16" s="1"/>
  <c r="AX324" i="16"/>
  <c r="F324" i="16" s="1"/>
  <c r="AX300" i="16"/>
  <c r="H300" i="16" s="1"/>
  <c r="AX276" i="16"/>
  <c r="F276" i="16" s="1"/>
  <c r="AX252" i="16"/>
  <c r="F252" i="16" s="1"/>
  <c r="AX228" i="16"/>
  <c r="H228" i="16" s="1"/>
  <c r="AX204" i="16"/>
  <c r="F204" i="16" s="1"/>
  <c r="AX181" i="16"/>
  <c r="H181" i="16" s="1"/>
  <c r="AX157" i="16"/>
  <c r="F157" i="16" s="1"/>
  <c r="AX133" i="16"/>
  <c r="F133" i="16" s="1"/>
  <c r="AX109" i="16"/>
  <c r="F109" i="16" s="1"/>
  <c r="AX85" i="16"/>
  <c r="F85" i="16" s="1"/>
  <c r="AX61" i="16"/>
  <c r="F61" i="16" s="1"/>
  <c r="AX37" i="16"/>
  <c r="F37" i="16" s="1"/>
  <c r="AX13" i="16"/>
  <c r="F13" i="16" s="1"/>
  <c r="AX158" i="16"/>
  <c r="F158" i="16" s="1"/>
  <c r="AX134" i="16"/>
  <c r="H134" i="16" s="1"/>
  <c r="AX110" i="16"/>
  <c r="F110" i="16" s="1"/>
  <c r="AX86" i="16"/>
  <c r="F86" i="16" s="1"/>
  <c r="AX62" i="16"/>
  <c r="F62" i="16" s="1"/>
  <c r="AX38" i="16"/>
  <c r="F38" i="16" s="1"/>
  <c r="AX14" i="16"/>
  <c r="F14" i="16" s="1"/>
  <c r="H40" i="16"/>
  <c r="AX323" i="16"/>
  <c r="H323" i="16" s="1"/>
  <c r="AX251" i="16"/>
  <c r="H251" i="16" s="1"/>
  <c r="AX350" i="16"/>
  <c r="F350" i="16" s="1"/>
  <c r="AX354" i="16"/>
  <c r="F354" i="16" s="1"/>
  <c r="AX343" i="16"/>
  <c r="F343" i="16" s="1"/>
  <c r="AX319" i="16"/>
  <c r="H319" i="16" s="1"/>
  <c r="AX295" i="16"/>
  <c r="F295" i="16" s="1"/>
  <c r="AX271" i="16"/>
  <c r="F271" i="16" s="1"/>
  <c r="AX247" i="16"/>
  <c r="H247" i="16" s="1"/>
  <c r="AX223" i="16"/>
  <c r="F223" i="16" s="1"/>
  <c r="AX199" i="16"/>
  <c r="F199" i="16" s="1"/>
  <c r="AX346" i="16"/>
  <c r="F346" i="16" s="1"/>
  <c r="AX322" i="16"/>
  <c r="F322" i="16" s="1"/>
  <c r="AX298" i="16"/>
  <c r="F298" i="16" s="1"/>
  <c r="AX274" i="16"/>
  <c r="F274" i="16" s="1"/>
  <c r="AX250" i="16"/>
  <c r="F250" i="16" s="1"/>
  <c r="AX226" i="16"/>
  <c r="H226" i="16" s="1"/>
  <c r="AX202" i="16"/>
  <c r="F202" i="16" s="1"/>
  <c r="AX179" i="16"/>
  <c r="F179" i="16" s="1"/>
  <c r="AX155" i="16"/>
  <c r="F155" i="16" s="1"/>
  <c r="AX131" i="16"/>
  <c r="F131" i="16" s="1"/>
  <c r="AX107" i="16"/>
  <c r="F107" i="16" s="1"/>
  <c r="AX83" i="16"/>
  <c r="F83" i="16" s="1"/>
  <c r="AX59" i="16"/>
  <c r="F59" i="16" s="1"/>
  <c r="AX35" i="16"/>
  <c r="H35" i="16" s="1"/>
  <c r="AX180" i="16"/>
  <c r="F180" i="16" s="1"/>
  <c r="AX156" i="16"/>
  <c r="H156" i="16" s="1"/>
  <c r="AX132" i="16"/>
  <c r="H132" i="16" s="1"/>
  <c r="AX108" i="16"/>
  <c r="F108" i="16" s="1"/>
  <c r="AX84" i="16"/>
  <c r="F84" i="16" s="1"/>
  <c r="AX60" i="16"/>
  <c r="H60" i="16" s="1"/>
  <c r="AX36" i="16"/>
  <c r="F36" i="16" s="1"/>
  <c r="AX12" i="16"/>
  <c r="F12" i="16" s="1"/>
  <c r="AG11" i="16" s="1"/>
  <c r="F325" i="16"/>
  <c r="AX11" i="16"/>
  <c r="F11" i="16" s="1"/>
  <c r="AX341" i="16"/>
  <c r="F341" i="16" s="1"/>
  <c r="AX317" i="16"/>
  <c r="H317" i="16" s="1"/>
  <c r="AX293" i="16"/>
  <c r="F293" i="16" s="1"/>
  <c r="AX269" i="16"/>
  <c r="F269" i="16" s="1"/>
  <c r="AX245" i="16"/>
  <c r="F245" i="16" s="1"/>
  <c r="AX221" i="16"/>
  <c r="F221" i="16" s="1"/>
  <c r="AX197" i="16"/>
  <c r="F197" i="16" s="1"/>
  <c r="AX344" i="16"/>
  <c r="H344" i="16" s="1"/>
  <c r="AX320" i="16"/>
  <c r="F320" i="16" s="1"/>
  <c r="AX296" i="16"/>
  <c r="F296" i="16" s="1"/>
  <c r="AX272" i="16"/>
  <c r="F272" i="16" s="1"/>
  <c r="AX248" i="16"/>
  <c r="H248" i="16" s="1"/>
  <c r="AX224" i="16"/>
  <c r="F224" i="16" s="1"/>
  <c r="AX200" i="16"/>
  <c r="F200" i="16" s="1"/>
  <c r="AX177" i="16"/>
  <c r="F177" i="16" s="1"/>
  <c r="AX153" i="16"/>
  <c r="H153" i="16" s="1"/>
  <c r="AX129" i="16"/>
  <c r="F129" i="16" s="1"/>
  <c r="AX105" i="16"/>
  <c r="F105" i="16" s="1"/>
  <c r="AX81" i="16"/>
  <c r="H81" i="16" s="1"/>
  <c r="AX57" i="16"/>
  <c r="F57" i="16" s="1"/>
  <c r="AX33" i="16"/>
  <c r="H33" i="16" s="1"/>
  <c r="AX178" i="16"/>
  <c r="F178" i="16" s="1"/>
  <c r="AX154" i="16"/>
  <c r="F154" i="16" s="1"/>
  <c r="AX130" i="16"/>
  <c r="H130" i="16" s="1"/>
  <c r="AX106" i="16"/>
  <c r="H106" i="16" s="1"/>
  <c r="AX82" i="16"/>
  <c r="H82" i="16" s="1"/>
  <c r="AX58" i="16"/>
  <c r="H58" i="16" s="1"/>
  <c r="AX34" i="16"/>
  <c r="F34" i="16" s="1"/>
  <c r="F297" i="16"/>
  <c r="AX363" i="16"/>
  <c r="H363" i="16" s="1"/>
  <c r="AX339" i="16"/>
  <c r="F339" i="16" s="1"/>
  <c r="AX315" i="16"/>
  <c r="H315" i="16" s="1"/>
  <c r="AX291" i="16"/>
  <c r="F291" i="16" s="1"/>
  <c r="AX267" i="16"/>
  <c r="F267" i="16" s="1"/>
  <c r="AX243" i="16"/>
  <c r="F243" i="16" s="1"/>
  <c r="AX219" i="16"/>
  <c r="F219" i="16" s="1"/>
  <c r="AX195" i="16"/>
  <c r="F195" i="16" s="1"/>
  <c r="AX342" i="16"/>
  <c r="F342" i="16" s="1"/>
  <c r="AX318" i="16"/>
  <c r="F318" i="16" s="1"/>
  <c r="AX294" i="16"/>
  <c r="H294" i="16" s="1"/>
  <c r="AX270" i="16"/>
  <c r="F270" i="16" s="1"/>
  <c r="AX246" i="16"/>
  <c r="F246" i="16" s="1"/>
  <c r="AX222" i="16"/>
  <c r="H222" i="16" s="1"/>
  <c r="AX198" i="16"/>
  <c r="F198" i="16" s="1"/>
  <c r="AX175" i="16"/>
  <c r="F175" i="16" s="1"/>
  <c r="AX151" i="16"/>
  <c r="F151" i="16" s="1"/>
  <c r="AX127" i="16"/>
  <c r="H127" i="16" s="1"/>
  <c r="AX103" i="16"/>
  <c r="F103" i="16" s="1"/>
  <c r="AX79" i="16"/>
  <c r="F79" i="16" s="1"/>
  <c r="AX55" i="16"/>
  <c r="F55" i="16" s="1"/>
  <c r="AX31" i="16"/>
  <c r="F31" i="16" s="1"/>
  <c r="AX176" i="16"/>
  <c r="F176" i="16" s="1"/>
  <c r="AX152" i="16"/>
  <c r="F152" i="16" s="1"/>
  <c r="AX128" i="16"/>
  <c r="H128" i="16" s="1"/>
  <c r="AX104" i="16"/>
  <c r="H104" i="16" s="1"/>
  <c r="AX80" i="16"/>
  <c r="F80" i="16" s="1"/>
  <c r="AX56" i="16"/>
  <c r="F56" i="16" s="1"/>
  <c r="AX32" i="16"/>
  <c r="F32" i="16" s="1"/>
  <c r="F134" i="16"/>
  <c r="AX72" i="16"/>
  <c r="H72" i="16" s="1"/>
  <c r="AX337" i="16"/>
  <c r="H337" i="16" s="1"/>
  <c r="AX265" i="16"/>
  <c r="F265" i="16" s="1"/>
  <c r="AX193" i="16"/>
  <c r="F193" i="16" s="1"/>
  <c r="AX340" i="16"/>
  <c r="F340" i="16" s="1"/>
  <c r="AX316" i="16"/>
  <c r="F316" i="16" s="1"/>
  <c r="AX292" i="16"/>
  <c r="H292" i="16" s="1"/>
  <c r="AX268" i="16"/>
  <c r="F268" i="16" s="1"/>
  <c r="AX244" i="16"/>
  <c r="F244" i="16" s="1"/>
  <c r="AX220" i="16"/>
  <c r="F220" i="16" s="1"/>
  <c r="AX196" i="16"/>
  <c r="F196" i="16" s="1"/>
  <c r="AX173" i="16"/>
  <c r="F173" i="16" s="1"/>
  <c r="AX149" i="16"/>
  <c r="F149" i="16" s="1"/>
  <c r="AX125" i="16"/>
  <c r="F125" i="16" s="1"/>
  <c r="AX101" i="16"/>
  <c r="F101" i="16" s="1"/>
  <c r="AX77" i="16"/>
  <c r="F77" i="16" s="1"/>
  <c r="AX53" i="16"/>
  <c r="F53" i="16" s="1"/>
  <c r="AX29" i="16"/>
  <c r="F29" i="16" s="1"/>
  <c r="AX174" i="16"/>
  <c r="F174" i="16" s="1"/>
  <c r="AX150" i="16"/>
  <c r="AX126" i="16"/>
  <c r="F126" i="16" s="1"/>
  <c r="AX102" i="16"/>
  <c r="F102" i="16" s="1"/>
  <c r="AX78" i="16"/>
  <c r="F78" i="16" s="1"/>
  <c r="AX54" i="16"/>
  <c r="F54" i="16" s="1"/>
  <c r="AX30" i="16"/>
  <c r="F30" i="16" s="1"/>
  <c r="F94" i="16"/>
  <c r="F278" i="16"/>
  <c r="F22" i="16"/>
  <c r="H358" i="16"/>
  <c r="AX361" i="16"/>
  <c r="F361" i="16" s="1"/>
  <c r="AX313" i="16"/>
  <c r="H313" i="16" s="1"/>
  <c r="AX217" i="16"/>
  <c r="H217" i="16" s="1"/>
  <c r="AX359" i="16"/>
  <c r="F359" i="16" s="1"/>
  <c r="AX335" i="16"/>
  <c r="AX311" i="16"/>
  <c r="F311" i="16" s="1"/>
  <c r="AX287" i="16"/>
  <c r="F287" i="16" s="1"/>
  <c r="AX263" i="16"/>
  <c r="F263" i="16" s="1"/>
  <c r="AX239" i="16"/>
  <c r="F239" i="16" s="1"/>
  <c r="AX215" i="16"/>
  <c r="F215" i="16" s="1"/>
  <c r="AX191" i="16"/>
  <c r="F191" i="16" s="1"/>
  <c r="AX338" i="16"/>
  <c r="F338" i="16" s="1"/>
  <c r="AX314" i="16"/>
  <c r="F314" i="16" s="1"/>
  <c r="AX290" i="16"/>
  <c r="H290" i="16" s="1"/>
  <c r="AX266" i="16"/>
  <c r="F266" i="16" s="1"/>
  <c r="AX242" i="16"/>
  <c r="F242" i="16" s="1"/>
  <c r="AX218" i="16"/>
  <c r="F218" i="16" s="1"/>
  <c r="AX194" i="16"/>
  <c r="F194" i="16" s="1"/>
  <c r="AX171" i="16"/>
  <c r="F171" i="16" s="1"/>
  <c r="AX147" i="16"/>
  <c r="F147" i="16" s="1"/>
  <c r="AX123" i="16"/>
  <c r="F123" i="16" s="1"/>
  <c r="AX99" i="16"/>
  <c r="F99" i="16" s="1"/>
  <c r="AX75" i="16"/>
  <c r="F75" i="16" s="1"/>
  <c r="AG17" i="16" s="1"/>
  <c r="AX51" i="16"/>
  <c r="AX27" i="16"/>
  <c r="F27" i="16" s="1"/>
  <c r="AX172" i="16"/>
  <c r="F172" i="16" s="1"/>
  <c r="AX148" i="16"/>
  <c r="F148" i="16" s="1"/>
  <c r="AX124" i="16"/>
  <c r="H124" i="16" s="1"/>
  <c r="AX100" i="16"/>
  <c r="F100" i="16" s="1"/>
  <c r="AX76" i="16"/>
  <c r="F76" i="16" s="1"/>
  <c r="AX52" i="16"/>
  <c r="H52" i="16" s="1"/>
  <c r="AX28" i="16"/>
  <c r="F28" i="16" s="1"/>
  <c r="H274" i="16"/>
  <c r="F335" i="16"/>
  <c r="AX289" i="16"/>
  <c r="F289" i="16" s="1"/>
  <c r="AX241" i="16"/>
  <c r="F241" i="16" s="1"/>
  <c r="AX357" i="16"/>
  <c r="F357" i="16" s="1"/>
  <c r="AX333" i="16"/>
  <c r="F333" i="16" s="1"/>
  <c r="AX309" i="16"/>
  <c r="F309" i="16" s="1"/>
  <c r="AX285" i="16"/>
  <c r="F285" i="16" s="1"/>
  <c r="AX261" i="16"/>
  <c r="F261" i="16" s="1"/>
  <c r="AX237" i="16"/>
  <c r="F237" i="16" s="1"/>
  <c r="AX213" i="16"/>
  <c r="H213" i="16" s="1"/>
  <c r="AX189" i="16"/>
  <c r="H189" i="16" s="1"/>
  <c r="AX336" i="16"/>
  <c r="F336" i="16" s="1"/>
  <c r="AX312" i="16"/>
  <c r="H312" i="16" s="1"/>
  <c r="AX288" i="16"/>
  <c r="H288" i="16" s="1"/>
  <c r="AX264" i="16"/>
  <c r="H264" i="16" s="1"/>
  <c r="AX240" i="16"/>
  <c r="F240" i="16" s="1"/>
  <c r="AX216" i="16"/>
  <c r="H216" i="16" s="1"/>
  <c r="AX192" i="16"/>
  <c r="F192" i="16" s="1"/>
  <c r="AX169" i="16"/>
  <c r="F169" i="16" s="1"/>
  <c r="AX145" i="16"/>
  <c r="F145" i="16" s="1"/>
  <c r="AX121" i="16"/>
  <c r="F121" i="16" s="1"/>
  <c r="AX97" i="16"/>
  <c r="F97" i="16" s="1"/>
  <c r="AX73" i="16"/>
  <c r="H73" i="16" s="1"/>
  <c r="AX49" i="16"/>
  <c r="F49" i="16" s="1"/>
  <c r="AX25" i="16"/>
  <c r="F25" i="16" s="1"/>
  <c r="AX170" i="16"/>
  <c r="F170" i="16" s="1"/>
  <c r="AX146" i="16"/>
  <c r="F146" i="16" s="1"/>
  <c r="AX122" i="16"/>
  <c r="H122" i="16" s="1"/>
  <c r="AX98" i="16"/>
  <c r="F98" i="16" s="1"/>
  <c r="AX74" i="16"/>
  <c r="F74" i="16" s="1"/>
  <c r="AX50" i="16"/>
  <c r="F50" i="16" s="1"/>
  <c r="AX26" i="16"/>
  <c r="F26" i="16" s="1"/>
  <c r="F51" i="16"/>
  <c r="F306" i="16"/>
  <c r="H194" i="16"/>
  <c r="H277" i="16"/>
  <c r="H65" i="16"/>
  <c r="F344" i="16"/>
  <c r="F82" i="16"/>
  <c r="F226" i="16"/>
  <c r="F327" i="16"/>
  <c r="F112" i="16"/>
  <c r="F137" i="16"/>
  <c r="F281" i="16"/>
  <c r="F15" i="16"/>
  <c r="F150" i="16"/>
  <c r="H46" i="16"/>
  <c r="H280" i="16"/>
  <c r="H200" i="16"/>
  <c r="H120" i="16"/>
  <c r="H48" i="16"/>
  <c r="H59" i="16"/>
  <c r="H311" i="16"/>
  <c r="H235" i="16"/>
  <c r="H158" i="16"/>
  <c r="H278" i="16"/>
  <c r="H206" i="16"/>
  <c r="H307" i="16"/>
  <c r="H143" i="16"/>
  <c r="H261" i="16"/>
  <c r="H118" i="16"/>
  <c r="F347" i="16"/>
  <c r="F290" i="16"/>
  <c r="F63" i="16"/>
  <c r="F207" i="16"/>
  <c r="F305" i="16"/>
  <c r="H272" i="16"/>
  <c r="H25" i="16"/>
  <c r="H102" i="16"/>
  <c r="H211" i="16"/>
  <c r="H346" i="16"/>
  <c r="H270" i="16"/>
  <c r="H23" i="16"/>
  <c r="H345" i="16"/>
  <c r="H253" i="16"/>
  <c r="H70" i="16"/>
  <c r="F236" i="16"/>
  <c r="F33" i="16"/>
  <c r="AG25" i="16" s="1"/>
  <c r="F321" i="16"/>
  <c r="F262" i="16"/>
  <c r="F71" i="16"/>
  <c r="F363" i="16"/>
  <c r="F292" i="16"/>
  <c r="F317" i="16"/>
  <c r="F187" i="16"/>
  <c r="H180" i="16"/>
  <c r="H108" i="16"/>
  <c r="H24" i="16"/>
  <c r="H338" i="16"/>
  <c r="F104" i="16"/>
  <c r="F248" i="16"/>
  <c r="F130" i="16"/>
  <c r="F312" i="16"/>
  <c r="F217" i="16"/>
  <c r="F160" i="16"/>
  <c r="F41" i="16"/>
  <c r="F185" i="16"/>
  <c r="H340" i="16"/>
  <c r="H252" i="16"/>
  <c r="H16" i="16"/>
  <c r="H355" i="16"/>
  <c r="H283" i="16"/>
  <c r="H18" i="16"/>
  <c r="H334" i="16"/>
  <c r="H225" i="16"/>
  <c r="H117" i="16"/>
  <c r="F66" i="16"/>
  <c r="AG12" i="16" s="1"/>
  <c r="H100" i="16"/>
  <c r="H13" i="16"/>
  <c r="H279" i="16"/>
  <c r="H199" i="16"/>
  <c r="H111" i="16"/>
  <c r="H15" i="16"/>
  <c r="H326" i="16"/>
  <c r="H250" i="16"/>
  <c r="H113" i="16"/>
  <c r="F128" i="16"/>
  <c r="F251" i="16"/>
  <c r="F328" i="16"/>
  <c r="F222" i="16"/>
  <c r="H244" i="16"/>
  <c r="H152" i="16"/>
  <c r="H96" i="16"/>
  <c r="H79" i="16"/>
  <c r="H343" i="16"/>
  <c r="H275" i="16"/>
  <c r="H103" i="16"/>
  <c r="H178" i="16"/>
  <c r="H246" i="16"/>
  <c r="H109" i="16"/>
  <c r="AX365" i="16"/>
  <c r="AX367" i="16"/>
  <c r="AX364" i="16"/>
  <c r="AX368" i="16"/>
  <c r="F368" i="16" s="1"/>
  <c r="AX366" i="16"/>
  <c r="H240" i="16"/>
  <c r="H148" i="16"/>
  <c r="H88" i="16"/>
  <c r="H339" i="16"/>
  <c r="H271" i="16"/>
  <c r="H191" i="16"/>
  <c r="H91" i="16"/>
  <c r="H174" i="16"/>
  <c r="H310" i="16"/>
  <c r="H242" i="16"/>
  <c r="H69" i="16"/>
  <c r="H105" i="16"/>
  <c r="F216" i="16"/>
  <c r="F64" i="16"/>
  <c r="F208" i="16"/>
  <c r="AG24" i="16" s="1"/>
  <c r="F319" i="16"/>
  <c r="H76" i="16"/>
  <c r="H259" i="16"/>
  <c r="H75" i="16"/>
  <c r="H302" i="16"/>
  <c r="H230" i="16"/>
  <c r="H61" i="16"/>
  <c r="F228" i="16"/>
  <c r="H167" i="16"/>
  <c r="F159" i="16"/>
  <c r="F43" i="16"/>
  <c r="H155" i="16"/>
  <c r="H186" i="16"/>
  <c r="H282" i="16"/>
  <c r="H210" i="16"/>
  <c r="H11" i="16"/>
  <c r="H8" i="16"/>
  <c r="D22" i="8"/>
  <c r="D21" i="8"/>
  <c r="X9" i="16"/>
  <c r="AI9" i="16"/>
  <c r="AP9" i="16"/>
  <c r="J10" i="8"/>
  <c r="H348" i="16" l="1"/>
  <c r="F106" i="16"/>
  <c r="F17" i="16"/>
  <c r="H336" i="16"/>
  <c r="F58" i="16"/>
  <c r="H142" i="16"/>
  <c r="F181" i="16"/>
  <c r="H195" i="16"/>
  <c r="F122" i="16"/>
  <c r="F300" i="16"/>
  <c r="F323" i="16"/>
  <c r="AG18" i="16" s="1"/>
  <c r="F156" i="16"/>
  <c r="F35" i="16"/>
  <c r="H299" i="16"/>
  <c r="H341" i="16"/>
  <c r="F255" i="16"/>
  <c r="H101" i="16"/>
  <c r="H192" i="16"/>
  <c r="H318" i="16"/>
  <c r="F213" i="16"/>
  <c r="F72" i="16"/>
  <c r="H147" i="16"/>
  <c r="AG15" i="16"/>
  <c r="H316" i="16"/>
  <c r="F73" i="16"/>
  <c r="AG16" i="16"/>
  <c r="H352" i="16"/>
  <c r="H361" i="16"/>
  <c r="H30" i="16"/>
  <c r="AG20" i="16"/>
  <c r="F264" i="16"/>
  <c r="AG21" i="16"/>
  <c r="F127" i="16"/>
  <c r="H241" i="16"/>
  <c r="H116" i="16"/>
  <c r="F315" i="16"/>
  <c r="H12" i="16"/>
  <c r="F201" i="16"/>
  <c r="AG19" i="16" s="1"/>
  <c r="F294" i="16"/>
  <c r="F247" i="16"/>
  <c r="H85" i="16"/>
  <c r="H276" i="16"/>
  <c r="H289" i="16"/>
  <c r="F52" i="16"/>
  <c r="H131" i="16"/>
  <c r="F337" i="16"/>
  <c r="AG14" i="16" s="1"/>
  <c r="H50" i="16"/>
  <c r="H77" i="16"/>
  <c r="F124" i="16"/>
  <c r="H55" i="16"/>
  <c r="I343" i="16" s="1"/>
  <c r="F60" i="16"/>
  <c r="AG13" i="16" s="1"/>
  <c r="H14" i="16"/>
  <c r="F288" i="16"/>
  <c r="F132" i="16"/>
  <c r="H145" i="16"/>
  <c r="F81" i="16"/>
  <c r="H258" i="16"/>
  <c r="F87" i="16"/>
  <c r="H49" i="16"/>
  <c r="H121" i="16"/>
  <c r="H295" i="16"/>
  <c r="F203" i="16"/>
  <c r="AG22" i="16" s="1"/>
  <c r="H123" i="16"/>
  <c r="H114" i="16"/>
  <c r="H166" i="16"/>
  <c r="F140" i="16"/>
  <c r="H125" i="16"/>
  <c r="H349" i="16"/>
  <c r="F189" i="16"/>
  <c r="F313" i="16"/>
  <c r="H219" i="16"/>
  <c r="F153" i="16"/>
  <c r="H269" i="16"/>
  <c r="H196" i="16"/>
  <c r="H366" i="16"/>
  <c r="F366" i="16"/>
  <c r="AG26" i="16" s="1"/>
  <c r="F364" i="16"/>
  <c r="H364" i="16"/>
  <c r="F367" i="16"/>
  <c r="AG23" i="16" s="1"/>
  <c r="H367" i="16"/>
  <c r="F365" i="16"/>
  <c r="H365" i="16"/>
  <c r="I166" i="16"/>
  <c r="I225" i="16"/>
  <c r="I101" i="16"/>
  <c r="I111" i="16"/>
  <c r="I295" i="16"/>
  <c r="I43" i="16"/>
  <c r="B39" i="8"/>
  <c r="K89" i="8"/>
  <c r="L35" i="8"/>
  <c r="I71" i="16" l="1"/>
  <c r="I219" i="16"/>
  <c r="I270" i="16"/>
  <c r="I311" i="16"/>
  <c r="I134" i="16"/>
  <c r="I347" i="16"/>
  <c r="I152" i="16"/>
  <c r="I348" i="16"/>
  <c r="I290" i="16"/>
  <c r="I289" i="16"/>
  <c r="I156" i="16"/>
  <c r="I288" i="16"/>
  <c r="I73" i="16"/>
  <c r="I106" i="16"/>
  <c r="I213" i="16"/>
  <c r="I116" i="16"/>
  <c r="I334" i="16"/>
  <c r="I201" i="16"/>
  <c r="I88" i="16"/>
  <c r="I30" i="16"/>
  <c r="I279" i="16"/>
  <c r="I339" i="16"/>
  <c r="I271" i="16"/>
  <c r="I91" i="16"/>
  <c r="I69" i="16"/>
  <c r="I185" i="16"/>
  <c r="I244" i="16"/>
  <c r="I130" i="16"/>
  <c r="I11" i="16"/>
  <c r="I147" i="16"/>
  <c r="I236" i="16"/>
  <c r="I124" i="16"/>
  <c r="I113" i="16"/>
  <c r="I217" i="16"/>
  <c r="I125" i="16"/>
  <c r="I104" i="16"/>
  <c r="I361" i="16"/>
  <c r="I211" i="16"/>
  <c r="I228" i="16"/>
  <c r="I145" i="16"/>
  <c r="I365" i="16"/>
  <c r="I274" i="16"/>
  <c r="I60" i="16"/>
  <c r="I159" i="16"/>
  <c r="AE23" i="16"/>
  <c r="I35" i="16"/>
  <c r="I12" i="16"/>
  <c r="I49" i="16"/>
  <c r="I14" i="16"/>
  <c r="I82" i="16"/>
  <c r="I181" i="16"/>
  <c r="I48" i="16"/>
  <c r="I137" i="16"/>
  <c r="I207" i="16"/>
  <c r="I148" i="16"/>
  <c r="I338" i="16"/>
  <c r="I128" i="16"/>
  <c r="I114" i="16"/>
  <c r="I235" i="16"/>
  <c r="I316" i="16"/>
  <c r="I326" i="16"/>
  <c r="I352" i="16"/>
  <c r="I58" i="16"/>
  <c r="I72" i="16"/>
  <c r="I103" i="16"/>
  <c r="I127" i="16"/>
  <c r="K12" i="16"/>
  <c r="I65" i="16"/>
  <c r="I52" i="16"/>
  <c r="I122" i="16"/>
  <c r="I299" i="16"/>
  <c r="I276" i="16"/>
  <c r="I96" i="16"/>
  <c r="I189" i="16"/>
  <c r="I337" i="16"/>
  <c r="I142" i="16"/>
  <c r="I105" i="16"/>
  <c r="I230" i="16"/>
  <c r="I123" i="16"/>
  <c r="I321" i="16"/>
  <c r="I210" i="16"/>
  <c r="I33" i="16"/>
  <c r="I277" i="16"/>
  <c r="I180" i="16"/>
  <c r="I24" i="16"/>
  <c r="I203" i="16"/>
  <c r="I55" i="16"/>
  <c r="I50" i="16"/>
  <c r="I312" i="16"/>
  <c r="I302" i="16"/>
  <c r="I187" i="16"/>
  <c r="I258" i="16"/>
  <c r="I300" i="16"/>
  <c r="I250" i="16"/>
  <c r="I131" i="16"/>
  <c r="I346" i="16"/>
  <c r="I313" i="16"/>
  <c r="I344" i="16"/>
  <c r="I102" i="16"/>
  <c r="I140" i="16"/>
  <c r="I15" i="16"/>
  <c r="I132" i="16"/>
  <c r="I242" i="16"/>
  <c r="I341" i="16"/>
  <c r="I85" i="16"/>
  <c r="AE11" i="16"/>
  <c r="AE20" i="16"/>
  <c r="AE12" i="16"/>
  <c r="AE13" i="16"/>
  <c r="AE17" i="16"/>
  <c r="AE24" i="16"/>
  <c r="AE19" i="16"/>
  <c r="AE22" i="16"/>
  <c r="AE25" i="16"/>
  <c r="AE14" i="16"/>
  <c r="I158" i="16"/>
  <c r="I186" i="16"/>
  <c r="I340" i="16"/>
  <c r="I22" i="16"/>
  <c r="I77" i="16"/>
  <c r="I336" i="16"/>
  <c r="I251" i="16"/>
  <c r="I153" i="16"/>
  <c r="I272" i="16"/>
  <c r="I81" i="16"/>
  <c r="K13" i="16"/>
  <c r="I241" i="16"/>
  <c r="I328" i="16"/>
  <c r="I275" i="16"/>
  <c r="I264" i="16"/>
  <c r="I160" i="16"/>
  <c r="I364" i="16"/>
  <c r="I315" i="16"/>
  <c r="I327" i="16"/>
  <c r="I283" i="16"/>
  <c r="AE21" i="16"/>
  <c r="I282" i="16"/>
  <c r="I192" i="16"/>
  <c r="I117" i="16"/>
  <c r="I87" i="16"/>
  <c r="I191" i="16"/>
  <c r="AE18" i="16"/>
  <c r="I40" i="16"/>
  <c r="I358" i="16"/>
  <c r="I17" i="16"/>
  <c r="I13" i="16"/>
  <c r="I194" i="16"/>
  <c r="I61" i="16"/>
  <c r="I76" i="16"/>
  <c r="I46" i="16"/>
  <c r="I317" i="16"/>
  <c r="I174" i="16"/>
  <c r="I64" i="16"/>
  <c r="I318" i="16"/>
  <c r="I59" i="16"/>
  <c r="I79" i="16"/>
  <c r="I206" i="16"/>
  <c r="I363" i="16"/>
  <c r="I259" i="16"/>
  <c r="I200" i="16"/>
  <c r="I319" i="16"/>
  <c r="AE26" i="16"/>
  <c r="I118" i="16"/>
  <c r="I167" i="16"/>
  <c r="I75" i="16"/>
  <c r="I23" i="16"/>
  <c r="I292" i="16"/>
  <c r="I310" i="16"/>
  <c r="I143" i="16"/>
  <c r="I248" i="16"/>
  <c r="I366" i="16"/>
  <c r="I25" i="16"/>
  <c r="I155" i="16"/>
  <c r="I269" i="16"/>
  <c r="I252" i="16"/>
  <c r="I216" i="16"/>
  <c r="I255" i="16"/>
  <c r="I294" i="16"/>
  <c r="I222" i="16"/>
  <c r="I108" i="16"/>
  <c r="I247" i="16"/>
  <c r="I208" i="16"/>
  <c r="I195" i="16"/>
  <c r="I280" i="16"/>
  <c r="I70" i="16"/>
  <c r="I253" i="16"/>
  <c r="I18" i="16"/>
  <c r="I246" i="16"/>
  <c r="I278" i="16"/>
  <c r="I63" i="16"/>
  <c r="I367" i="16"/>
  <c r="I307" i="16"/>
  <c r="I305" i="16"/>
  <c r="I355" i="16"/>
  <c r="AE15" i="16"/>
  <c r="I196" i="16"/>
  <c r="I199" i="16"/>
  <c r="I262" i="16"/>
  <c r="I345" i="16"/>
  <c r="I41" i="16"/>
  <c r="I100" i="16"/>
  <c r="I120" i="16"/>
  <c r="I323" i="16"/>
  <c r="I109" i="16"/>
  <c r="AE16" i="16"/>
  <c r="I121" i="16"/>
  <c r="I281" i="16"/>
  <c r="I261" i="16"/>
  <c r="I16" i="16"/>
  <c r="I112" i="16"/>
  <c r="I178" i="16"/>
  <c r="I349" i="16"/>
  <c r="I226" i="16"/>
  <c r="I240" i="16"/>
  <c r="I66" i="16"/>
  <c r="T39" i="8"/>
  <c r="D50" i="8"/>
  <c r="AG9" i="16"/>
  <c r="G118" i="8"/>
  <c r="E48" i="8"/>
  <c r="Q37" i="8"/>
  <c r="L11" i="16" l="1"/>
  <c r="AA11" i="16" s="1"/>
  <c r="V37" i="8"/>
  <c r="B33" i="8" s="1"/>
  <c r="L13" i="16"/>
  <c r="X13" i="16" s="1"/>
  <c r="K14" i="16"/>
  <c r="L12" i="16"/>
  <c r="X12" i="16" s="1"/>
  <c r="B86" i="8"/>
  <c r="U86" i="8" s="1"/>
  <c r="AH18" i="16"/>
  <c r="AH12" i="16"/>
  <c r="AH20" i="16"/>
  <c r="AH26" i="16"/>
  <c r="AH23" i="16"/>
  <c r="AH17" i="16"/>
  <c r="AH19" i="16"/>
  <c r="AH16" i="16"/>
  <c r="AH21" i="16"/>
  <c r="AH13" i="16"/>
  <c r="AH14" i="16"/>
  <c r="AH15" i="16"/>
  <c r="AH24" i="16"/>
  <c r="AH22" i="16"/>
  <c r="AH25" i="16"/>
  <c r="AH11" i="16"/>
  <c r="E66" i="8"/>
  <c r="Y66" i="8" s="1"/>
  <c r="M11" i="16" l="1"/>
  <c r="N11" i="16" s="1"/>
  <c r="T11" i="16"/>
  <c r="U11" i="16" s="1"/>
  <c r="V11" i="16" s="1"/>
  <c r="X11" i="16"/>
  <c r="Y11" i="16" s="1"/>
  <c r="Z11" i="16" s="1"/>
  <c r="AP11" i="16"/>
  <c r="S11" i="16"/>
  <c r="AI11" i="16"/>
  <c r="AJ11" i="16" s="1"/>
  <c r="AP12" i="16"/>
  <c r="AI12" i="16"/>
  <c r="AA12" i="16"/>
  <c r="T12" i="16"/>
  <c r="U12" i="16" s="1"/>
  <c r="V12" i="16" s="1"/>
  <c r="S12" i="16"/>
  <c r="M12" i="16"/>
  <c r="N12" i="16" s="1"/>
  <c r="L14" i="16"/>
  <c r="K15" i="16"/>
  <c r="AQ11" i="16"/>
  <c r="AB11" i="16"/>
  <c r="AC11" i="16" s="1"/>
  <c r="AP13" i="16"/>
  <c r="M13" i="16"/>
  <c r="N13" i="16" s="1"/>
  <c r="T13" i="16"/>
  <c r="AI13" i="16"/>
  <c r="S13" i="16"/>
  <c r="AA13" i="16"/>
  <c r="AJ12" i="16" l="1"/>
  <c r="AQ12" i="16"/>
  <c r="U66" i="8"/>
  <c r="Y12" i="16"/>
  <c r="AB12" i="16"/>
  <c r="K16" i="16"/>
  <c r="L15" i="16"/>
  <c r="Y13" i="16"/>
  <c r="Z13" i="16" s="1"/>
  <c r="AB13" i="16"/>
  <c r="AC13" i="16" s="1"/>
  <c r="AJ13" i="16"/>
  <c r="AK13" i="16" s="1"/>
  <c r="AQ13" i="16"/>
  <c r="AR13" i="16" s="1"/>
  <c r="U13" i="16"/>
  <c r="V13" i="16" s="1"/>
  <c r="AI14" i="16"/>
  <c r="S14" i="16"/>
  <c r="AA14" i="16"/>
  <c r="AP14" i="16"/>
  <c r="X14" i="16"/>
  <c r="T14" i="16"/>
  <c r="M14" i="16"/>
  <c r="N14" i="16" s="1"/>
  <c r="K17" i="16" l="1"/>
  <c r="L16" i="16"/>
  <c r="Y14" i="16"/>
  <c r="AQ14" i="16"/>
  <c r="U14" i="16"/>
  <c r="AB14" i="16"/>
  <c r="AJ14" i="16"/>
  <c r="AK14" i="16" s="1"/>
  <c r="AI15" i="16"/>
  <c r="S15" i="16"/>
  <c r="AA15" i="16"/>
  <c r="AP15" i="16"/>
  <c r="X15" i="16"/>
  <c r="M15" i="16"/>
  <c r="N15" i="16" s="1"/>
  <c r="T15" i="16"/>
  <c r="L17" i="16" l="1"/>
  <c r="K18" i="16"/>
  <c r="Y15" i="16"/>
  <c r="Z15" i="16" s="1"/>
  <c r="AQ15" i="16"/>
  <c r="AB15" i="16"/>
  <c r="U15" i="16"/>
  <c r="AJ15" i="16"/>
  <c r="AK15" i="16" s="1"/>
  <c r="AP16" i="16"/>
  <c r="X16" i="16"/>
  <c r="M16" i="16"/>
  <c r="N16" i="16" s="1"/>
  <c r="T16" i="16"/>
  <c r="AI16" i="16"/>
  <c r="S16" i="16"/>
  <c r="AA16" i="16"/>
  <c r="K19" i="16" l="1"/>
  <c r="L18" i="16"/>
  <c r="Y16" i="16"/>
  <c r="AQ16" i="16"/>
  <c r="AB16" i="16"/>
  <c r="U16" i="16"/>
  <c r="AJ16" i="16"/>
  <c r="AK16" i="16" s="1"/>
  <c r="AI17" i="16"/>
  <c r="S17" i="16"/>
  <c r="AA17" i="16"/>
  <c r="AP17" i="16"/>
  <c r="X17" i="16"/>
  <c r="M17" i="16"/>
  <c r="N17" i="16" s="1"/>
  <c r="T17" i="16"/>
  <c r="Z16" i="16" l="1"/>
  <c r="K20" i="16"/>
  <c r="L19" i="16"/>
  <c r="Y17" i="16"/>
  <c r="AQ17" i="16"/>
  <c r="U17" i="16"/>
  <c r="AB17" i="16"/>
  <c r="AJ17" i="16"/>
  <c r="AK17" i="16" s="1"/>
  <c r="AP18" i="16"/>
  <c r="X18" i="16"/>
  <c r="M18" i="16"/>
  <c r="N18" i="16" s="1"/>
  <c r="T18" i="16"/>
  <c r="AI18" i="16"/>
  <c r="S18" i="16"/>
  <c r="AA18" i="16"/>
  <c r="K21" i="16" l="1"/>
  <c r="L20" i="16"/>
  <c r="Y18" i="16"/>
  <c r="U18" i="16"/>
  <c r="V18" i="16" s="1"/>
  <c r="AB18" i="16"/>
  <c r="AJ18" i="16"/>
  <c r="AK18" i="16" s="1"/>
  <c r="AQ18" i="16"/>
  <c r="AI19" i="16"/>
  <c r="AP19" i="16"/>
  <c r="X19" i="16"/>
  <c r="M19" i="16"/>
  <c r="N19" i="16" s="1"/>
  <c r="T19" i="16"/>
  <c r="S19" i="16"/>
  <c r="AA19" i="16"/>
  <c r="Z18" i="16" l="1"/>
  <c r="K22" i="16"/>
  <c r="L21" i="16"/>
  <c r="Y19" i="16"/>
  <c r="AQ19" i="16"/>
  <c r="AB19" i="16"/>
  <c r="U19" i="16"/>
  <c r="AJ19" i="16"/>
  <c r="AK19" i="16" s="1"/>
  <c r="AI20" i="16"/>
  <c r="S20" i="16"/>
  <c r="AA20" i="16"/>
  <c r="AP20" i="16"/>
  <c r="X20" i="16"/>
  <c r="M20" i="16"/>
  <c r="N20" i="16" s="1"/>
  <c r="T20" i="16"/>
  <c r="AR19" i="16" l="1"/>
  <c r="K23" i="16"/>
  <c r="L22" i="16"/>
  <c r="Y20" i="16"/>
  <c r="U20" i="16"/>
  <c r="AB20" i="16"/>
  <c r="AQ20" i="16"/>
  <c r="AJ20" i="16"/>
  <c r="AK20" i="16" s="1"/>
  <c r="AP21" i="16"/>
  <c r="X21" i="16"/>
  <c r="M21" i="16"/>
  <c r="N21" i="16" s="1"/>
  <c r="T21" i="16"/>
  <c r="AI21" i="16"/>
  <c r="S21" i="16"/>
  <c r="AA21" i="16"/>
  <c r="K24" i="16" l="1"/>
  <c r="L23" i="16"/>
  <c r="Y21" i="16"/>
  <c r="AB21" i="16"/>
  <c r="U21" i="16"/>
  <c r="AJ21" i="16"/>
  <c r="AK21" i="16" s="1"/>
  <c r="AQ21" i="16"/>
  <c r="AP22" i="16"/>
  <c r="X22" i="16"/>
  <c r="M22" i="16"/>
  <c r="N22" i="16" s="1"/>
  <c r="T22" i="16"/>
  <c r="AI22" i="16"/>
  <c r="S22" i="16"/>
  <c r="AA22" i="16"/>
  <c r="AR21" i="16" l="1"/>
  <c r="K25" i="16"/>
  <c r="L24" i="16"/>
  <c r="Y22" i="16"/>
  <c r="AB22" i="16"/>
  <c r="U22" i="16"/>
  <c r="AQ22" i="16"/>
  <c r="AJ22" i="16"/>
  <c r="AI23" i="16"/>
  <c r="S23" i="16"/>
  <c r="AA23" i="16"/>
  <c r="AP23" i="16"/>
  <c r="X23" i="16"/>
  <c r="M23" i="16"/>
  <c r="N23" i="16" s="1"/>
  <c r="T23" i="16"/>
  <c r="K26" i="16" l="1"/>
  <c r="L25" i="16"/>
  <c r="Y23" i="16"/>
  <c r="U23" i="16"/>
  <c r="AB23" i="16"/>
  <c r="AJ23" i="16"/>
  <c r="AQ23" i="16"/>
  <c r="AI24" i="16"/>
  <c r="S24" i="16"/>
  <c r="AA24" i="16"/>
  <c r="AP24" i="16"/>
  <c r="X24" i="16"/>
  <c r="M24" i="16"/>
  <c r="N24" i="16" s="1"/>
  <c r="T24" i="16"/>
  <c r="K27" i="16" l="1"/>
  <c r="L26" i="16"/>
  <c r="Y24" i="16"/>
  <c r="U24" i="16"/>
  <c r="AQ24" i="16"/>
  <c r="AB24" i="16"/>
  <c r="AJ24" i="16"/>
  <c r="AI25" i="16"/>
  <c r="S25" i="16"/>
  <c r="AA25" i="16"/>
  <c r="AP25" i="16"/>
  <c r="M25" i="16"/>
  <c r="N25" i="16" s="1"/>
  <c r="X25" i="16"/>
  <c r="T25" i="16"/>
  <c r="AK24" i="16" l="1"/>
  <c r="K28" i="16"/>
  <c r="L27" i="16"/>
  <c r="Y25" i="16"/>
  <c r="AB25" i="16"/>
  <c r="AQ25" i="16"/>
  <c r="U25" i="16"/>
  <c r="AJ25" i="16"/>
  <c r="AK25" i="16" s="1"/>
  <c r="AP26" i="16"/>
  <c r="X26" i="16"/>
  <c r="M26" i="16"/>
  <c r="N26" i="16" s="1"/>
  <c r="T26" i="16"/>
  <c r="AI26" i="16"/>
  <c r="S26" i="16"/>
  <c r="AA26" i="16"/>
  <c r="L28" i="16" l="1"/>
  <c r="K29" i="16"/>
  <c r="Y26" i="16"/>
  <c r="AQ26" i="16"/>
  <c r="AB26" i="16"/>
  <c r="AJ26" i="16"/>
  <c r="U26" i="16"/>
  <c r="AP27" i="16"/>
  <c r="X27" i="16"/>
  <c r="M27" i="16"/>
  <c r="N27" i="16" s="1"/>
  <c r="T27" i="16"/>
  <c r="AI27" i="16"/>
  <c r="S27" i="16"/>
  <c r="AA27" i="16"/>
  <c r="AK26" i="16" l="1"/>
  <c r="K30" i="16"/>
  <c r="L29" i="16"/>
  <c r="Y27" i="16"/>
  <c r="AQ27" i="16"/>
  <c r="AB27" i="16"/>
  <c r="AJ27" i="16"/>
  <c r="AK27" i="16" s="1"/>
  <c r="U27" i="16"/>
  <c r="V27" i="16" s="1"/>
  <c r="AP28" i="16"/>
  <c r="X28" i="16"/>
  <c r="M28" i="16"/>
  <c r="N28" i="16" s="1"/>
  <c r="T28" i="16"/>
  <c r="AI28" i="16"/>
  <c r="S28" i="16"/>
  <c r="AA28" i="16"/>
  <c r="K31" i="16" l="1"/>
  <c r="L30" i="16"/>
  <c r="Y28" i="16"/>
  <c r="AQ28" i="16"/>
  <c r="U28" i="16"/>
  <c r="AJ28" i="16"/>
  <c r="AK28" i="16" s="1"/>
  <c r="AB28" i="16"/>
  <c r="AP29" i="16"/>
  <c r="X29" i="16"/>
  <c r="M29" i="16"/>
  <c r="N29" i="16" s="1"/>
  <c r="T29" i="16"/>
  <c r="AI29" i="16"/>
  <c r="S29" i="16"/>
  <c r="AA29" i="16"/>
  <c r="L31" i="16" l="1"/>
  <c r="K32" i="16"/>
  <c r="Y29" i="16"/>
  <c r="AB29" i="16"/>
  <c r="AQ29" i="16"/>
  <c r="AJ29" i="16"/>
  <c r="U29" i="16"/>
  <c r="AP30" i="16"/>
  <c r="X30" i="16"/>
  <c r="M30" i="16"/>
  <c r="N30" i="16" s="1"/>
  <c r="T30" i="16"/>
  <c r="AI30" i="16"/>
  <c r="S30" i="16"/>
  <c r="AA30" i="16"/>
  <c r="L32" i="16" l="1"/>
  <c r="K33" i="16"/>
  <c r="Y30" i="16"/>
  <c r="AQ30" i="16"/>
  <c r="U30" i="16"/>
  <c r="AB30" i="16"/>
  <c r="AJ30" i="16"/>
  <c r="AK30" i="16" s="1"/>
  <c r="AP31" i="16"/>
  <c r="X31" i="16"/>
  <c r="M31" i="16"/>
  <c r="N31" i="16" s="1"/>
  <c r="T31" i="16"/>
  <c r="AI31" i="16"/>
  <c r="S31" i="16"/>
  <c r="AA31" i="16"/>
  <c r="K34" i="16" l="1"/>
  <c r="L33" i="16"/>
  <c r="Y31" i="16"/>
  <c r="AB31" i="16"/>
  <c r="U31" i="16"/>
  <c r="AJ31" i="16"/>
  <c r="AK31" i="16" s="1"/>
  <c r="AQ31" i="16"/>
  <c r="AR31" i="16" s="1"/>
  <c r="AI32" i="16"/>
  <c r="AA32" i="16"/>
  <c r="AP32" i="16"/>
  <c r="X32" i="16"/>
  <c r="M32" i="16"/>
  <c r="N32" i="16" s="1"/>
  <c r="T32" i="16"/>
  <c r="S32" i="16"/>
  <c r="K35" i="16" l="1"/>
  <c r="L34" i="16"/>
  <c r="Y32" i="16"/>
  <c r="U32" i="16"/>
  <c r="AB32" i="16"/>
  <c r="AQ32" i="16"/>
  <c r="AJ32" i="16"/>
  <c r="AK32" i="16" s="1"/>
  <c r="AI33" i="16"/>
  <c r="S33" i="16"/>
  <c r="AA33" i="16"/>
  <c r="AP33" i="16"/>
  <c r="X33" i="16"/>
  <c r="M33" i="16"/>
  <c r="N33" i="16" s="1"/>
  <c r="T33" i="16"/>
  <c r="K36" i="16" l="1"/>
  <c r="L35" i="16"/>
  <c r="Y33" i="16"/>
  <c r="AQ33" i="16"/>
  <c r="U33" i="16"/>
  <c r="AB33" i="16"/>
  <c r="AJ33" i="16"/>
  <c r="AK33" i="16" s="1"/>
  <c r="T34" i="16"/>
  <c r="M34" i="16"/>
  <c r="N34" i="16" s="1"/>
  <c r="X34" i="16"/>
  <c r="AA34" i="16"/>
  <c r="AI34" i="16"/>
  <c r="AP34" i="16"/>
  <c r="S34" i="16"/>
  <c r="K37" i="16" l="1"/>
  <c r="L36" i="16"/>
  <c r="Y34" i="16"/>
  <c r="Z34" i="16" s="1"/>
  <c r="AB34" i="16"/>
  <c r="AQ34" i="16"/>
  <c r="AJ34" i="16"/>
  <c r="AK34" i="16" s="1"/>
  <c r="U34" i="16"/>
  <c r="AI35" i="16"/>
  <c r="T35" i="16"/>
  <c r="S35" i="16"/>
  <c r="AP35" i="16"/>
  <c r="AA35" i="16"/>
  <c r="X35" i="16"/>
  <c r="M35" i="16"/>
  <c r="N35" i="16" s="1"/>
  <c r="L37" i="16" l="1"/>
  <c r="K38" i="16"/>
  <c r="Y35" i="16"/>
  <c r="AQ35" i="16"/>
  <c r="AB35" i="16"/>
  <c r="U35" i="16"/>
  <c r="AJ35" i="16"/>
  <c r="AK35" i="16" s="1"/>
  <c r="X36" i="16"/>
  <c r="M36" i="16"/>
  <c r="N36" i="16" s="1"/>
  <c r="AI36" i="16"/>
  <c r="T36" i="16"/>
  <c r="S36" i="16"/>
  <c r="AP36" i="16"/>
  <c r="AA36" i="16"/>
  <c r="K39" i="16" l="1"/>
  <c r="L38" i="16"/>
  <c r="Y36" i="16"/>
  <c r="AQ36" i="16"/>
  <c r="U36" i="16"/>
  <c r="AB36" i="16"/>
  <c r="AJ36" i="16"/>
  <c r="AI37" i="16"/>
  <c r="T37" i="16"/>
  <c r="S37" i="16"/>
  <c r="AA37" i="16"/>
  <c r="X37" i="16"/>
  <c r="M37" i="16"/>
  <c r="N37" i="16" s="1"/>
  <c r="AP37" i="16"/>
  <c r="K40" i="16" l="1"/>
  <c r="L39" i="16"/>
  <c r="Y37" i="16"/>
  <c r="AQ37" i="16"/>
  <c r="U37" i="16"/>
  <c r="AB37" i="16"/>
  <c r="AJ37" i="16"/>
  <c r="AK37" i="16" s="1"/>
  <c r="S38" i="16"/>
  <c r="AP38" i="16"/>
  <c r="AA38" i="16"/>
  <c r="X38" i="16"/>
  <c r="M38" i="16"/>
  <c r="N38" i="16" s="1"/>
  <c r="AI38" i="16"/>
  <c r="T38" i="16"/>
  <c r="AR37" i="16" l="1"/>
  <c r="K41" i="16"/>
  <c r="L40" i="16"/>
  <c r="Y38" i="16"/>
  <c r="U38" i="16"/>
  <c r="AB38" i="16"/>
  <c r="AQ38" i="16"/>
  <c r="AJ38" i="16"/>
  <c r="AK38" i="16" s="1"/>
  <c r="AP39" i="16"/>
  <c r="AA39" i="16"/>
  <c r="X39" i="16"/>
  <c r="M39" i="16"/>
  <c r="N39" i="16" s="1"/>
  <c r="AI39" i="16"/>
  <c r="T39" i="16"/>
  <c r="S39" i="16"/>
  <c r="K42" i="16" l="1"/>
  <c r="L41" i="16"/>
  <c r="Y39" i="16"/>
  <c r="AB39" i="16"/>
  <c r="U39" i="16"/>
  <c r="AJ39" i="16"/>
  <c r="AQ39" i="16"/>
  <c r="S40" i="16"/>
  <c r="AP40" i="16"/>
  <c r="AA40" i="16"/>
  <c r="X40" i="16"/>
  <c r="M40" i="16"/>
  <c r="N40" i="16" s="1"/>
  <c r="T40" i="16"/>
  <c r="AI40" i="16"/>
  <c r="L42" i="16" l="1"/>
  <c r="K43" i="16"/>
  <c r="Y40" i="16"/>
  <c r="U40" i="16"/>
  <c r="AQ40" i="16"/>
  <c r="AJ40" i="16"/>
  <c r="AB40" i="16"/>
  <c r="AI41" i="16"/>
  <c r="T41" i="16"/>
  <c r="S41" i="16"/>
  <c r="AP41" i="16"/>
  <c r="AA41" i="16"/>
  <c r="X41" i="16"/>
  <c r="M41" i="16"/>
  <c r="N41" i="16" s="1"/>
  <c r="K44" i="16" l="1"/>
  <c r="L43" i="16"/>
  <c r="Y41" i="16"/>
  <c r="U41" i="16"/>
  <c r="AQ41" i="16"/>
  <c r="AB41" i="16"/>
  <c r="AJ41" i="16"/>
  <c r="S42" i="16"/>
  <c r="X42" i="16"/>
  <c r="M42" i="16"/>
  <c r="N42" i="16" s="1"/>
  <c r="AI42" i="16"/>
  <c r="T42" i="16"/>
  <c r="AP42" i="16"/>
  <c r="AA42" i="16"/>
  <c r="K45" i="16" l="1"/>
  <c r="L44" i="16"/>
  <c r="AK41" i="16"/>
  <c r="Y42" i="16"/>
  <c r="U42" i="16"/>
  <c r="AB42" i="16"/>
  <c r="AQ42" i="16"/>
  <c r="AJ42" i="16"/>
  <c r="AK42" i="16" s="1"/>
  <c r="AI43" i="16"/>
  <c r="T43" i="16"/>
  <c r="S43" i="16"/>
  <c r="AP43" i="16"/>
  <c r="AA43" i="16"/>
  <c r="X43" i="16"/>
  <c r="M43" i="16"/>
  <c r="N43" i="16" s="1"/>
  <c r="K46" i="16" l="1"/>
  <c r="L45" i="16"/>
  <c r="Y43" i="16"/>
  <c r="AQ43" i="16"/>
  <c r="AB43" i="16"/>
  <c r="U43" i="16"/>
  <c r="AJ43" i="16"/>
  <c r="AK43" i="16" s="1"/>
  <c r="S44" i="16"/>
  <c r="AP44" i="16"/>
  <c r="AA44" i="16"/>
  <c r="X44" i="16"/>
  <c r="M44" i="16"/>
  <c r="N44" i="16" s="1"/>
  <c r="AI44" i="16"/>
  <c r="T44" i="16"/>
  <c r="L46" i="16" l="1"/>
  <c r="K47" i="16"/>
  <c r="Y44" i="16"/>
  <c r="U44" i="16"/>
  <c r="AQ44" i="16"/>
  <c r="AR44" i="16" s="1"/>
  <c r="AJ44" i="16"/>
  <c r="AK44" i="16" s="1"/>
  <c r="AB44" i="16"/>
  <c r="AI45" i="16"/>
  <c r="T45" i="16"/>
  <c r="S45" i="16"/>
  <c r="AP45" i="16"/>
  <c r="X45" i="16"/>
  <c r="M45" i="16"/>
  <c r="N45" i="16" s="1"/>
  <c r="AA45" i="16"/>
  <c r="L47" i="16" l="1"/>
  <c r="K48" i="16"/>
  <c r="Y45" i="16"/>
  <c r="AQ45" i="16"/>
  <c r="U45" i="16"/>
  <c r="AB45" i="16"/>
  <c r="AJ45" i="16"/>
  <c r="X46" i="16"/>
  <c r="M46" i="16"/>
  <c r="N46" i="16" s="1"/>
  <c r="AI46" i="16"/>
  <c r="T46" i="16"/>
  <c r="S46" i="16"/>
  <c r="AP46" i="16"/>
  <c r="AA46" i="16"/>
  <c r="K49" i="16" l="1"/>
  <c r="L48" i="16"/>
  <c r="Y46" i="16"/>
  <c r="U46" i="16"/>
  <c r="AB46" i="16"/>
  <c r="AQ46" i="16"/>
  <c r="AJ46" i="16"/>
  <c r="AK46" i="16" s="1"/>
  <c r="AP47" i="16"/>
  <c r="AA47" i="16"/>
  <c r="X47" i="16"/>
  <c r="M47" i="16"/>
  <c r="N47" i="16" s="1"/>
  <c r="AI47" i="16"/>
  <c r="T47" i="16"/>
  <c r="S47" i="16"/>
  <c r="L49" i="16" l="1"/>
  <c r="K50" i="16"/>
  <c r="Y47" i="16"/>
  <c r="AQ47" i="16"/>
  <c r="AR47" i="16" s="1"/>
  <c r="U47" i="16"/>
  <c r="AJ47" i="16"/>
  <c r="AK47" i="16" s="1"/>
  <c r="AB47" i="16"/>
  <c r="S48" i="16"/>
  <c r="AP48" i="16"/>
  <c r="AA48" i="16"/>
  <c r="X48" i="16"/>
  <c r="M48" i="16"/>
  <c r="N48" i="16" s="1"/>
  <c r="AI48" i="16"/>
  <c r="T48" i="16"/>
  <c r="L50" i="16" l="1"/>
  <c r="K51" i="16"/>
  <c r="Y48" i="16"/>
  <c r="U48" i="16"/>
  <c r="AQ48" i="16"/>
  <c r="AB48" i="16"/>
  <c r="AJ48" i="16"/>
  <c r="AK48" i="16" s="1"/>
  <c r="AI49" i="16"/>
  <c r="T49" i="16"/>
  <c r="S49" i="16"/>
  <c r="AP49" i="16"/>
  <c r="AA49" i="16"/>
  <c r="X49" i="16"/>
  <c r="M49" i="16"/>
  <c r="N49" i="16" s="1"/>
  <c r="L51" i="16" l="1"/>
  <c r="K52" i="16"/>
  <c r="Y49" i="16"/>
  <c r="AQ49" i="16"/>
  <c r="AB49" i="16"/>
  <c r="AJ49" i="16"/>
  <c r="AK49" i="16" s="1"/>
  <c r="U49" i="16"/>
  <c r="S50" i="16"/>
  <c r="AP50" i="16"/>
  <c r="AA50" i="16"/>
  <c r="X50" i="16"/>
  <c r="M50" i="16"/>
  <c r="N50" i="16" s="1"/>
  <c r="AI50" i="16"/>
  <c r="T50" i="16"/>
  <c r="L52" i="16" l="1"/>
  <c r="K53" i="16"/>
  <c r="Y50" i="16"/>
  <c r="U50" i="16"/>
  <c r="AB50" i="16"/>
  <c r="AQ50" i="16"/>
  <c r="AJ50" i="16"/>
  <c r="AP51" i="16"/>
  <c r="AA51" i="16"/>
  <c r="X51" i="16"/>
  <c r="M51" i="16"/>
  <c r="N51" i="16" s="1"/>
  <c r="AI51" i="16"/>
  <c r="T51" i="16"/>
  <c r="S51" i="16"/>
  <c r="L53" i="16" l="1"/>
  <c r="K54" i="16"/>
  <c r="Y51" i="16"/>
  <c r="AQ51" i="16"/>
  <c r="AB51" i="16"/>
  <c r="U51" i="16"/>
  <c r="AJ51" i="16"/>
  <c r="AK51" i="16" s="1"/>
  <c r="S52" i="16"/>
  <c r="AP52" i="16"/>
  <c r="AA52" i="16"/>
  <c r="X52" i="16"/>
  <c r="M52" i="16"/>
  <c r="N52" i="16" s="1"/>
  <c r="AI52" i="16"/>
  <c r="T52" i="16"/>
  <c r="K55" i="16" l="1"/>
  <c r="L54" i="16"/>
  <c r="Y52" i="16"/>
  <c r="U52" i="16"/>
  <c r="AB52" i="16"/>
  <c r="AJ52" i="16"/>
  <c r="AQ52" i="16"/>
  <c r="AI53" i="16"/>
  <c r="T53" i="16"/>
  <c r="S53" i="16"/>
  <c r="AP53" i="16"/>
  <c r="AA53" i="16"/>
  <c r="X53" i="16"/>
  <c r="M53" i="16"/>
  <c r="N53" i="16" s="1"/>
  <c r="K56" i="16" l="1"/>
  <c r="L55" i="16"/>
  <c r="Y53" i="16"/>
  <c r="AQ53" i="16"/>
  <c r="AB53" i="16"/>
  <c r="U53" i="16"/>
  <c r="AJ53" i="16"/>
  <c r="AK53" i="16" s="1"/>
  <c r="X54" i="16"/>
  <c r="M54" i="16"/>
  <c r="N54" i="16" s="1"/>
  <c r="AI54" i="16"/>
  <c r="T54" i="16"/>
  <c r="S54" i="16"/>
  <c r="AP54" i="16"/>
  <c r="AA54" i="16"/>
  <c r="K57" i="16" l="1"/>
  <c r="L56" i="16"/>
  <c r="Y54" i="16"/>
  <c r="AB54" i="16"/>
  <c r="U54" i="16"/>
  <c r="AQ54" i="16"/>
  <c r="AJ54" i="16"/>
  <c r="AI55" i="16"/>
  <c r="T55" i="16"/>
  <c r="S55" i="16"/>
  <c r="AP55" i="16"/>
  <c r="AA55" i="16"/>
  <c r="X55" i="16"/>
  <c r="M55" i="16"/>
  <c r="N55" i="16" s="1"/>
  <c r="L57" i="16" l="1"/>
  <c r="K58" i="16"/>
  <c r="Y55" i="16"/>
  <c r="Z55" i="16" s="1"/>
  <c r="U55" i="16"/>
  <c r="AB55" i="16"/>
  <c r="AQ55" i="16"/>
  <c r="AJ55" i="16"/>
  <c r="AK55" i="16" s="1"/>
  <c r="X56" i="16"/>
  <c r="M56" i="16"/>
  <c r="N56" i="16" s="1"/>
  <c r="AI56" i="16"/>
  <c r="T56" i="16"/>
  <c r="S56" i="16"/>
  <c r="AP56" i="16"/>
  <c r="AA56" i="16"/>
  <c r="L58" i="16" l="1"/>
  <c r="K59" i="16"/>
  <c r="Y56" i="16"/>
  <c r="AQ56" i="16"/>
  <c r="U56" i="16"/>
  <c r="AB56" i="16"/>
  <c r="AJ56" i="16"/>
  <c r="AI57" i="16"/>
  <c r="T57" i="16"/>
  <c r="S57" i="16"/>
  <c r="AP57" i="16"/>
  <c r="AA57" i="16"/>
  <c r="X57" i="16"/>
  <c r="M57" i="16"/>
  <c r="N57" i="16" s="1"/>
  <c r="L59" i="16" l="1"/>
  <c r="K60" i="16"/>
  <c r="Y57" i="16"/>
  <c r="AB57" i="16"/>
  <c r="U57" i="16"/>
  <c r="AQ57" i="16"/>
  <c r="AJ57" i="16"/>
  <c r="AK57" i="16" s="1"/>
  <c r="X58" i="16"/>
  <c r="M58" i="16"/>
  <c r="N58" i="16" s="1"/>
  <c r="AI58" i="16"/>
  <c r="T58" i="16"/>
  <c r="S58" i="16"/>
  <c r="AA58" i="16"/>
  <c r="AP58" i="16"/>
  <c r="K61" i="16" l="1"/>
  <c r="L60" i="16"/>
  <c r="AR57" i="16"/>
  <c r="Y58" i="16"/>
  <c r="AB58" i="16"/>
  <c r="AQ58" i="16"/>
  <c r="U58" i="16"/>
  <c r="AJ58" i="16"/>
  <c r="AK58" i="16" s="1"/>
  <c r="AI59" i="16"/>
  <c r="T59" i="16"/>
  <c r="S59" i="16"/>
  <c r="AP59" i="16"/>
  <c r="AA59" i="16"/>
  <c r="M59" i="16"/>
  <c r="N59" i="16" s="1"/>
  <c r="X59" i="16"/>
  <c r="L61" i="16" l="1"/>
  <c r="K62" i="16"/>
  <c r="Y59" i="16"/>
  <c r="AB59" i="16"/>
  <c r="U59" i="16"/>
  <c r="AQ59" i="16"/>
  <c r="AJ59" i="16"/>
  <c r="AK59" i="16" s="1"/>
  <c r="S60" i="16"/>
  <c r="AP60" i="16"/>
  <c r="AA60" i="16"/>
  <c r="X60" i="16"/>
  <c r="M60" i="16"/>
  <c r="N60" i="16" s="1"/>
  <c r="AI60" i="16"/>
  <c r="T60" i="16"/>
  <c r="L62" i="16" l="1"/>
  <c r="K63" i="16"/>
  <c r="AR59" i="16"/>
  <c r="Y60" i="16"/>
  <c r="U60" i="16"/>
  <c r="AQ60" i="16"/>
  <c r="AR60" i="16" s="1"/>
  <c r="AJ60" i="16"/>
  <c r="AK60" i="16" s="1"/>
  <c r="AB60" i="16"/>
  <c r="AA61" i="16"/>
  <c r="AI61" i="16"/>
  <c r="T61" i="16"/>
  <c r="S61" i="16"/>
  <c r="AP61" i="16"/>
  <c r="X61" i="16"/>
  <c r="M61" i="16"/>
  <c r="N61" i="16" s="1"/>
  <c r="L63" i="16" l="1"/>
  <c r="K64" i="16"/>
  <c r="Y61" i="16"/>
  <c r="AQ61" i="16"/>
  <c r="AB61" i="16"/>
  <c r="U61" i="16"/>
  <c r="AJ61" i="16"/>
  <c r="X62" i="16"/>
  <c r="M62" i="16"/>
  <c r="N62" i="16" s="1"/>
  <c r="AI62" i="16"/>
  <c r="T62" i="16"/>
  <c r="S62" i="16"/>
  <c r="AP62" i="16"/>
  <c r="AA62" i="16"/>
  <c r="K65" i="16" l="1"/>
  <c r="L64" i="16"/>
  <c r="Y62" i="16"/>
  <c r="U62" i="16"/>
  <c r="AB62" i="16"/>
  <c r="AQ62" i="16"/>
  <c r="AJ62" i="16"/>
  <c r="AP63" i="16"/>
  <c r="AA63" i="16"/>
  <c r="X63" i="16"/>
  <c r="M63" i="16"/>
  <c r="N63" i="16" s="1"/>
  <c r="AI63" i="16"/>
  <c r="T63" i="16"/>
  <c r="S63" i="16"/>
  <c r="L65" i="16" l="1"/>
  <c r="K66" i="16"/>
  <c r="Y63" i="16"/>
  <c r="AB63" i="16"/>
  <c r="AQ63" i="16"/>
  <c r="U63" i="16"/>
  <c r="AJ63" i="16"/>
  <c r="AK63" i="16" s="1"/>
  <c r="S64" i="16"/>
  <c r="AP64" i="16"/>
  <c r="AA64" i="16"/>
  <c r="X64" i="16"/>
  <c r="M64" i="16"/>
  <c r="N64" i="16" s="1"/>
  <c r="AI64" i="16"/>
  <c r="T64" i="16"/>
  <c r="L66" i="16" l="1"/>
  <c r="K67" i="16"/>
  <c r="Y64" i="16"/>
  <c r="U64" i="16"/>
  <c r="AQ64" i="16"/>
  <c r="AJ64" i="16"/>
  <c r="AB64" i="16"/>
  <c r="AP65" i="16"/>
  <c r="AA65" i="16"/>
  <c r="X65" i="16"/>
  <c r="M65" i="16"/>
  <c r="N65" i="16" s="1"/>
  <c r="AI65" i="16"/>
  <c r="T65" i="16"/>
  <c r="S65" i="16"/>
  <c r="L67" i="16" l="1"/>
  <c r="K68" i="16"/>
  <c r="Y65" i="16"/>
  <c r="U65" i="16"/>
  <c r="AB65" i="16"/>
  <c r="AQ65" i="16"/>
  <c r="AJ65" i="16"/>
  <c r="AK65" i="16" s="1"/>
  <c r="S66" i="16"/>
  <c r="AP66" i="16"/>
  <c r="AA66" i="16"/>
  <c r="X66" i="16"/>
  <c r="M66" i="16"/>
  <c r="N66" i="16" s="1"/>
  <c r="AI66" i="16"/>
  <c r="T66" i="16"/>
  <c r="L68" i="16" l="1"/>
  <c r="K69" i="16"/>
  <c r="AR65" i="16"/>
  <c r="Y66" i="16"/>
  <c r="AJ66" i="16"/>
  <c r="AB66" i="16"/>
  <c r="AQ66" i="16"/>
  <c r="U66" i="16"/>
  <c r="AI67" i="16"/>
  <c r="T67" i="16"/>
  <c r="X67" i="16"/>
  <c r="M67" i="16"/>
  <c r="N67" i="16" s="1"/>
  <c r="AP67" i="16"/>
  <c r="AA67" i="16"/>
  <c r="S67" i="16"/>
  <c r="L69" i="16" l="1"/>
  <c r="K70" i="16"/>
  <c r="AK66" i="16"/>
  <c r="Y67" i="16"/>
  <c r="AJ67" i="16"/>
  <c r="AK67" i="16" s="1"/>
  <c r="AQ67" i="16"/>
  <c r="AB67" i="16"/>
  <c r="U67" i="16"/>
  <c r="S68" i="16"/>
  <c r="AP68" i="16"/>
  <c r="AA68" i="16"/>
  <c r="X68" i="16"/>
  <c r="M68" i="16"/>
  <c r="N68" i="16" s="1"/>
  <c r="AI68" i="16"/>
  <c r="T68" i="16"/>
  <c r="K71" i="16" l="1"/>
  <c r="L70" i="16"/>
  <c r="AC67" i="16"/>
  <c r="Z67" i="16"/>
  <c r="Y68" i="16"/>
  <c r="U68" i="16"/>
  <c r="AJ68" i="16"/>
  <c r="AK68" i="16" s="1"/>
  <c r="AQ68" i="16"/>
  <c r="AR68" i="16" s="1"/>
  <c r="AB68" i="16"/>
  <c r="AP69" i="16"/>
  <c r="AA69" i="16"/>
  <c r="S69" i="16"/>
  <c r="AI69" i="16"/>
  <c r="T69" i="16"/>
  <c r="X69" i="16"/>
  <c r="M69" i="16"/>
  <c r="N69" i="16" s="1"/>
  <c r="L71" i="16" l="1"/>
  <c r="K72" i="16"/>
  <c r="Y69" i="16"/>
  <c r="U69" i="16"/>
  <c r="AJ69" i="16"/>
  <c r="AK69" i="16" s="1"/>
  <c r="AB69" i="16"/>
  <c r="AQ69" i="16"/>
  <c r="S70" i="16"/>
  <c r="AP70" i="16"/>
  <c r="AA70" i="16"/>
  <c r="X70" i="16"/>
  <c r="M70" i="16"/>
  <c r="N70" i="16" s="1"/>
  <c r="AI70" i="16"/>
  <c r="T70" i="16"/>
  <c r="K73" i="16" l="1"/>
  <c r="L72" i="16"/>
  <c r="Z69" i="16"/>
  <c r="Y70" i="16"/>
  <c r="AJ70" i="16"/>
  <c r="AK70" i="16" s="1"/>
  <c r="U70" i="16"/>
  <c r="AB70" i="16"/>
  <c r="AQ70" i="16"/>
  <c r="AR70" i="16" s="1"/>
  <c r="AI71" i="16"/>
  <c r="T71" i="16"/>
  <c r="X71" i="16"/>
  <c r="M71" i="16"/>
  <c r="N71" i="16" s="1"/>
  <c r="AP71" i="16"/>
  <c r="AA71" i="16"/>
  <c r="S71" i="16"/>
  <c r="L73" i="16" l="1"/>
  <c r="K74" i="16"/>
  <c r="Y71" i="16"/>
  <c r="AJ71" i="16"/>
  <c r="U71" i="16"/>
  <c r="AB71" i="16"/>
  <c r="AQ71" i="16"/>
  <c r="X72" i="16"/>
  <c r="M72" i="16"/>
  <c r="N72" i="16" s="1"/>
  <c r="AI72" i="16"/>
  <c r="T72" i="16"/>
  <c r="S72" i="16"/>
  <c r="AP72" i="16"/>
  <c r="AA72" i="16"/>
  <c r="K75" i="16" l="1"/>
  <c r="L74" i="16"/>
  <c r="Y72" i="16"/>
  <c r="AJ72" i="16"/>
  <c r="AB72" i="16"/>
  <c r="U72" i="16"/>
  <c r="AQ72" i="16"/>
  <c r="AP73" i="16"/>
  <c r="AA73" i="16"/>
  <c r="S73" i="16"/>
  <c r="AI73" i="16"/>
  <c r="T73" i="16"/>
  <c r="X73" i="16"/>
  <c r="M73" i="16"/>
  <c r="N73" i="16" s="1"/>
  <c r="K76" i="16" l="1"/>
  <c r="L75" i="16"/>
  <c r="Y73" i="16"/>
  <c r="AJ73" i="16"/>
  <c r="AK73" i="16" s="1"/>
  <c r="AQ73" i="16"/>
  <c r="AB73" i="16"/>
  <c r="U73" i="16"/>
  <c r="X74" i="16"/>
  <c r="M74" i="16"/>
  <c r="N74" i="16" s="1"/>
  <c r="AI74" i="16"/>
  <c r="T74" i="16"/>
  <c r="AP74" i="16"/>
  <c r="AA74" i="16"/>
  <c r="S74" i="16"/>
  <c r="L76" i="16" l="1"/>
  <c r="K77" i="16"/>
  <c r="Y74" i="16"/>
  <c r="AJ74" i="16"/>
  <c r="AK74" i="16" s="1"/>
  <c r="AB74" i="16"/>
  <c r="U74" i="16"/>
  <c r="AQ74" i="16"/>
  <c r="AP75" i="16"/>
  <c r="AA75" i="16"/>
  <c r="S75" i="16"/>
  <c r="AI75" i="16"/>
  <c r="T75" i="16"/>
  <c r="X75" i="16"/>
  <c r="M75" i="16"/>
  <c r="N75" i="16" s="1"/>
  <c r="K78" i="16" l="1"/>
  <c r="L77" i="16"/>
  <c r="Y75" i="16"/>
  <c r="AJ75" i="16"/>
  <c r="AK75" i="16" s="1"/>
  <c r="AB75" i="16"/>
  <c r="U75" i="16"/>
  <c r="AQ75" i="16"/>
  <c r="X76" i="16"/>
  <c r="M76" i="16"/>
  <c r="N76" i="16" s="1"/>
  <c r="AI76" i="16"/>
  <c r="T76" i="16"/>
  <c r="S76" i="16"/>
  <c r="AP76" i="16"/>
  <c r="AA76" i="16"/>
  <c r="L78" i="16" l="1"/>
  <c r="K79" i="16"/>
  <c r="Y76" i="16"/>
  <c r="AQ76" i="16"/>
  <c r="AJ76" i="16"/>
  <c r="U76" i="16"/>
  <c r="V76" i="16" s="1"/>
  <c r="AB76" i="16"/>
  <c r="AP77" i="16"/>
  <c r="AA77" i="16"/>
  <c r="S77" i="16"/>
  <c r="AI77" i="16"/>
  <c r="T77" i="16"/>
  <c r="M77" i="16"/>
  <c r="N77" i="16" s="1"/>
  <c r="X77" i="16"/>
  <c r="L79" i="16" l="1"/>
  <c r="K80" i="16"/>
  <c r="AC76" i="16"/>
  <c r="Z76" i="16"/>
  <c r="Y77" i="16"/>
  <c r="AJ77" i="16"/>
  <c r="AK77" i="16" s="1"/>
  <c r="AB77" i="16"/>
  <c r="U77" i="16"/>
  <c r="AQ77" i="16"/>
  <c r="X78" i="16"/>
  <c r="M78" i="16"/>
  <c r="N78" i="16" s="1"/>
  <c r="AI78" i="16"/>
  <c r="T78" i="16"/>
  <c r="S78" i="16"/>
  <c r="AP78" i="16"/>
  <c r="AA78" i="16"/>
  <c r="L80" i="16" l="1"/>
  <c r="K81" i="16"/>
  <c r="Y78" i="16"/>
  <c r="AJ78" i="16"/>
  <c r="AK78" i="16" s="1"/>
  <c r="AQ78" i="16"/>
  <c r="AB78" i="16"/>
  <c r="U78" i="16"/>
  <c r="AP79" i="16"/>
  <c r="AA79" i="16"/>
  <c r="S79" i="16"/>
  <c r="AI79" i="16"/>
  <c r="T79" i="16"/>
  <c r="M79" i="16"/>
  <c r="N79" i="16" s="1"/>
  <c r="X79" i="16"/>
  <c r="K82" i="16" l="1"/>
  <c r="L81" i="16"/>
  <c r="V78" i="16"/>
  <c r="Y79" i="16"/>
  <c r="AQ79" i="16"/>
  <c r="AJ79" i="16"/>
  <c r="AK79" i="16" s="1"/>
  <c r="AB79" i="16"/>
  <c r="U79" i="16"/>
  <c r="X80" i="16"/>
  <c r="M80" i="16"/>
  <c r="N80" i="16" s="1"/>
  <c r="AI80" i="16"/>
  <c r="T80" i="16"/>
  <c r="S80" i="16"/>
  <c r="AP80" i="16"/>
  <c r="AA80" i="16"/>
  <c r="L82" i="16" l="1"/>
  <c r="K83" i="16"/>
  <c r="AC79" i="16"/>
  <c r="Z79" i="16"/>
  <c r="Y80" i="16"/>
  <c r="U80" i="16"/>
  <c r="AJ80" i="16"/>
  <c r="AK80" i="16" s="1"/>
  <c r="AQ80" i="16"/>
  <c r="AB80" i="16"/>
  <c r="AP81" i="16"/>
  <c r="AA81" i="16"/>
  <c r="S81" i="16"/>
  <c r="T81" i="16"/>
  <c r="X81" i="16"/>
  <c r="M81" i="16"/>
  <c r="N81" i="16" s="1"/>
  <c r="AI81" i="16"/>
  <c r="L83" i="16" l="1"/>
  <c r="K84" i="16"/>
  <c r="Z80" i="16"/>
  <c r="Y81" i="16"/>
  <c r="AJ81" i="16"/>
  <c r="AQ81" i="16"/>
  <c r="AB81" i="16"/>
  <c r="U81" i="16"/>
  <c r="X82" i="16"/>
  <c r="M82" i="16"/>
  <c r="N82" i="16" s="1"/>
  <c r="AI82" i="16"/>
  <c r="T82" i="16"/>
  <c r="S82" i="16"/>
  <c r="AP82" i="16"/>
  <c r="AA82" i="16"/>
  <c r="L84" i="16" l="1"/>
  <c r="K85" i="16"/>
  <c r="Y82" i="16"/>
  <c r="AJ82" i="16"/>
  <c r="AK82" i="16" s="1"/>
  <c r="AQ82" i="16"/>
  <c r="AB82" i="16"/>
  <c r="U82" i="16"/>
  <c r="AP83" i="16"/>
  <c r="AA83" i="16"/>
  <c r="S83" i="16"/>
  <c r="AI83" i="16"/>
  <c r="T83" i="16"/>
  <c r="X83" i="16"/>
  <c r="M83" i="16"/>
  <c r="N83" i="16" s="1"/>
  <c r="L85" i="16" l="1"/>
  <c r="K86" i="16"/>
  <c r="Y83" i="16"/>
  <c r="AJ83" i="16"/>
  <c r="AK83" i="16" s="1"/>
  <c r="AQ83" i="16"/>
  <c r="U83" i="16"/>
  <c r="AB83" i="16"/>
  <c r="S84" i="16"/>
  <c r="AP84" i="16"/>
  <c r="AA84" i="16"/>
  <c r="X84" i="16"/>
  <c r="M84" i="16"/>
  <c r="N84" i="16" s="1"/>
  <c r="AI84" i="16"/>
  <c r="T84" i="16"/>
  <c r="K87" i="16" l="1"/>
  <c r="L86" i="16"/>
  <c r="V83" i="16"/>
  <c r="Y84" i="16"/>
  <c r="U84" i="16"/>
  <c r="AJ84" i="16"/>
  <c r="AK84" i="16" s="1"/>
  <c r="AB84" i="16"/>
  <c r="AQ84" i="16"/>
  <c r="AR84" i="16" s="1"/>
  <c r="AP85" i="16"/>
  <c r="AA85" i="16"/>
  <c r="S85" i="16"/>
  <c r="AI85" i="16"/>
  <c r="T85" i="16"/>
  <c r="X85" i="16"/>
  <c r="M85" i="16"/>
  <c r="N85" i="16" s="1"/>
  <c r="K88" i="16" l="1"/>
  <c r="L87" i="16"/>
  <c r="Y85" i="16"/>
  <c r="U85" i="16"/>
  <c r="AJ85" i="16"/>
  <c r="AK85" i="16" s="1"/>
  <c r="AB85" i="16"/>
  <c r="AQ85" i="16"/>
  <c r="X86" i="16"/>
  <c r="M86" i="16"/>
  <c r="N86" i="16" s="1"/>
  <c r="AI86" i="16"/>
  <c r="T86" i="16"/>
  <c r="S86" i="16"/>
  <c r="AP86" i="16"/>
  <c r="AA86" i="16"/>
  <c r="L88" i="16" l="1"/>
  <c r="K89" i="16"/>
  <c r="Y86" i="16"/>
  <c r="AJ86" i="16"/>
  <c r="AK86" i="16" s="1"/>
  <c r="AQ86" i="16"/>
  <c r="U86" i="16"/>
  <c r="AB86" i="16"/>
  <c r="AP87" i="16"/>
  <c r="AA87" i="16"/>
  <c r="S87" i="16"/>
  <c r="AI87" i="16"/>
  <c r="T87" i="16"/>
  <c r="X87" i="16"/>
  <c r="M87" i="16"/>
  <c r="N87" i="16" s="1"/>
  <c r="K90" i="16" l="1"/>
  <c r="L89" i="16"/>
  <c r="Y87" i="16"/>
  <c r="AJ87" i="16"/>
  <c r="AK87" i="16" s="1"/>
  <c r="AQ87" i="16"/>
  <c r="AR87" i="16" s="1"/>
  <c r="U87" i="16"/>
  <c r="AB87" i="16"/>
  <c r="X88" i="16"/>
  <c r="M88" i="16"/>
  <c r="N88" i="16" s="1"/>
  <c r="AI88" i="16"/>
  <c r="T88" i="16"/>
  <c r="S88" i="16"/>
  <c r="AP88" i="16"/>
  <c r="AA88" i="16"/>
  <c r="L90" i="16" l="1"/>
  <c r="K91" i="16"/>
  <c r="Y88" i="16"/>
  <c r="AJ88" i="16"/>
  <c r="AK88" i="16" s="1"/>
  <c r="AQ88" i="16"/>
  <c r="U88" i="16"/>
  <c r="AB88" i="16"/>
  <c r="AP89" i="16"/>
  <c r="AA89" i="16"/>
  <c r="S89" i="16"/>
  <c r="AI89" i="16"/>
  <c r="T89" i="16"/>
  <c r="M89" i="16"/>
  <c r="N89" i="16" s="1"/>
  <c r="X89" i="16"/>
  <c r="L91" i="16" l="1"/>
  <c r="K92" i="16"/>
  <c r="Y89" i="16"/>
  <c r="AJ89" i="16"/>
  <c r="AB89" i="16"/>
  <c r="AQ89" i="16"/>
  <c r="U89" i="16"/>
  <c r="X90" i="16"/>
  <c r="M90" i="16"/>
  <c r="N90" i="16" s="1"/>
  <c r="AI90" i="16"/>
  <c r="T90" i="16"/>
  <c r="S90" i="16"/>
  <c r="AP90" i="16"/>
  <c r="AA90" i="16"/>
  <c r="L92" i="16" l="1"/>
  <c r="K93" i="16"/>
  <c r="Y90" i="16"/>
  <c r="U90" i="16"/>
  <c r="AQ90" i="16"/>
  <c r="AB90" i="16"/>
  <c r="AJ90" i="16"/>
  <c r="AP91" i="16"/>
  <c r="AA91" i="16"/>
  <c r="S91" i="16"/>
  <c r="AI91" i="16"/>
  <c r="X91" i="16"/>
  <c r="M91" i="16"/>
  <c r="N91" i="16" s="1"/>
  <c r="T91" i="16"/>
  <c r="K94" i="16" l="1"/>
  <c r="L93" i="16"/>
  <c r="Y91" i="16"/>
  <c r="AJ91" i="16"/>
  <c r="AK91" i="16" s="1"/>
  <c r="AQ91" i="16"/>
  <c r="AB91" i="16"/>
  <c r="U91" i="16"/>
  <c r="X92" i="16"/>
  <c r="M92" i="16"/>
  <c r="N92" i="16" s="1"/>
  <c r="AI92" i="16"/>
  <c r="T92" i="16"/>
  <c r="S92" i="16"/>
  <c r="AP92" i="16"/>
  <c r="AA92" i="16"/>
  <c r="L94" i="16" l="1"/>
  <c r="K95" i="16"/>
  <c r="Y92" i="16"/>
  <c r="AJ92" i="16"/>
  <c r="AQ92" i="16"/>
  <c r="U92" i="16"/>
  <c r="AB92" i="16"/>
  <c r="AP93" i="16"/>
  <c r="AA93" i="16"/>
  <c r="S93" i="16"/>
  <c r="AI93" i="16"/>
  <c r="T93" i="16"/>
  <c r="X93" i="16"/>
  <c r="M93" i="16"/>
  <c r="N93" i="16" s="1"/>
  <c r="L95" i="16" l="1"/>
  <c r="K96" i="16"/>
  <c r="Y93" i="16"/>
  <c r="AJ93" i="16"/>
  <c r="AK93" i="16" s="1"/>
  <c r="AQ93" i="16"/>
  <c r="AB93" i="16"/>
  <c r="U93" i="16"/>
  <c r="X94" i="16"/>
  <c r="M94" i="16"/>
  <c r="N94" i="16" s="1"/>
  <c r="AI94" i="16"/>
  <c r="T94" i="16"/>
  <c r="S94" i="16"/>
  <c r="AP94" i="16"/>
  <c r="AA94" i="16"/>
  <c r="L96" i="16" l="1"/>
  <c r="K97" i="16"/>
  <c r="Y94" i="16"/>
  <c r="AJ94" i="16"/>
  <c r="U94" i="16"/>
  <c r="AB94" i="16"/>
  <c r="AQ94" i="16"/>
  <c r="AP95" i="16"/>
  <c r="AA95" i="16"/>
  <c r="S95" i="16"/>
  <c r="AI95" i="16"/>
  <c r="AJ95" i="16" s="1"/>
  <c r="AK95" i="16" s="1"/>
  <c r="T95" i="16"/>
  <c r="X95" i="16"/>
  <c r="M95" i="16"/>
  <c r="N95" i="16" s="1"/>
  <c r="L97" i="16" l="1"/>
  <c r="K98" i="16"/>
  <c r="Y95" i="16"/>
  <c r="AQ95" i="16"/>
  <c r="AB95" i="16"/>
  <c r="U95" i="16"/>
  <c r="X96" i="16"/>
  <c r="M96" i="16"/>
  <c r="N96" i="16" s="1"/>
  <c r="AI96" i="16"/>
  <c r="T96" i="16"/>
  <c r="S96" i="16"/>
  <c r="AP96" i="16"/>
  <c r="AA96" i="16"/>
  <c r="K99" i="16" l="1"/>
  <c r="L98" i="16"/>
  <c r="Y96" i="16"/>
  <c r="AJ96" i="16"/>
  <c r="AQ96" i="16"/>
  <c r="AB96" i="16"/>
  <c r="U96" i="16"/>
  <c r="AP97" i="16"/>
  <c r="AA97" i="16"/>
  <c r="S97" i="16"/>
  <c r="AI97" i="16"/>
  <c r="T97" i="16"/>
  <c r="X97" i="16"/>
  <c r="M97" i="16"/>
  <c r="N97" i="16" s="1"/>
  <c r="K100" i="16" l="1"/>
  <c r="L99" i="16"/>
  <c r="Y97" i="16"/>
  <c r="AJ97" i="16"/>
  <c r="AK97" i="16" s="1"/>
  <c r="AQ97" i="16"/>
  <c r="AR97" i="16" s="1"/>
  <c r="AB97" i="16"/>
  <c r="U97" i="16"/>
  <c r="X98" i="16"/>
  <c r="M98" i="16"/>
  <c r="N98" i="16" s="1"/>
  <c r="AI98" i="16"/>
  <c r="T98" i="16"/>
  <c r="S98" i="16"/>
  <c r="AP98" i="16"/>
  <c r="AA98" i="16"/>
  <c r="L100" i="16" l="1"/>
  <c r="K101" i="16"/>
  <c r="Y98" i="16"/>
  <c r="AJ98" i="16"/>
  <c r="AK98" i="16" s="1"/>
  <c r="U98" i="16"/>
  <c r="AB98" i="16"/>
  <c r="AQ98" i="16"/>
  <c r="AP99" i="16"/>
  <c r="AA99" i="16"/>
  <c r="S99" i="16"/>
  <c r="AI99" i="16"/>
  <c r="T99" i="16"/>
  <c r="X99" i="16"/>
  <c r="M99" i="16"/>
  <c r="N99" i="16" s="1"/>
  <c r="L101" i="16" l="1"/>
  <c r="K102" i="16"/>
  <c r="Y99" i="16"/>
  <c r="AJ99" i="16"/>
  <c r="AK99" i="16" s="1"/>
  <c r="AQ99" i="16"/>
  <c r="U99" i="16"/>
  <c r="AB99" i="16"/>
  <c r="X100" i="16"/>
  <c r="M100" i="16"/>
  <c r="N100" i="16" s="1"/>
  <c r="AI100" i="16"/>
  <c r="T100" i="16"/>
  <c r="S100" i="16"/>
  <c r="AP100" i="16"/>
  <c r="AA100" i="16"/>
  <c r="L102" i="16" l="1"/>
  <c r="K103" i="16"/>
  <c r="Y100" i="16"/>
  <c r="AJ100" i="16"/>
  <c r="AK100" i="16" s="1"/>
  <c r="AB100" i="16"/>
  <c r="AQ100" i="16"/>
  <c r="U100" i="16"/>
  <c r="AP101" i="16"/>
  <c r="AA101" i="16"/>
  <c r="S101" i="16"/>
  <c r="AI101" i="16"/>
  <c r="T101" i="16"/>
  <c r="X101" i="16"/>
  <c r="M101" i="16"/>
  <c r="N101" i="16" s="1"/>
  <c r="K104" i="16" l="1"/>
  <c r="L103" i="16"/>
  <c r="Y101" i="16"/>
  <c r="AJ101" i="16"/>
  <c r="AK101" i="16" s="1"/>
  <c r="U101" i="16"/>
  <c r="AB101" i="16"/>
  <c r="AQ101" i="16"/>
  <c r="X102" i="16"/>
  <c r="M102" i="16"/>
  <c r="N102" i="16" s="1"/>
  <c r="AI102" i="16"/>
  <c r="T102" i="16"/>
  <c r="S102" i="16"/>
  <c r="AP102" i="16"/>
  <c r="AA102" i="16"/>
  <c r="K105" i="16" l="1"/>
  <c r="L104" i="16"/>
  <c r="Z101" i="16"/>
  <c r="Y102" i="16"/>
  <c r="AJ102" i="16"/>
  <c r="AK102" i="16" s="1"/>
  <c r="AQ102" i="16"/>
  <c r="AR102" i="16" s="1"/>
  <c r="AB102" i="16"/>
  <c r="U102" i="16"/>
  <c r="AP103" i="16"/>
  <c r="AA103" i="16"/>
  <c r="S103" i="16"/>
  <c r="AI103" i="16"/>
  <c r="T103" i="16"/>
  <c r="X103" i="16"/>
  <c r="M103" i="16"/>
  <c r="N103" i="16" s="1"/>
  <c r="L105" i="16" l="1"/>
  <c r="K106" i="16"/>
  <c r="Y103" i="16"/>
  <c r="Z103" i="16" s="1"/>
  <c r="AQ103" i="16"/>
  <c r="AJ103" i="16"/>
  <c r="AK103" i="16" s="1"/>
  <c r="AB103" i="16"/>
  <c r="U103" i="16"/>
  <c r="X104" i="16"/>
  <c r="M104" i="16"/>
  <c r="N104" i="16" s="1"/>
  <c r="AI104" i="16"/>
  <c r="T104" i="16"/>
  <c r="S104" i="16"/>
  <c r="AP104" i="16"/>
  <c r="AA104" i="16"/>
  <c r="K107" i="16" l="1"/>
  <c r="L106" i="16"/>
  <c r="V103" i="16"/>
  <c r="Y104" i="16"/>
  <c r="AJ104" i="16"/>
  <c r="AQ104" i="16"/>
  <c r="U104" i="16"/>
  <c r="AB104" i="16"/>
  <c r="AP105" i="16"/>
  <c r="AA105" i="16"/>
  <c r="S105" i="16"/>
  <c r="AI105" i="16"/>
  <c r="T105" i="16"/>
  <c r="X105" i="16"/>
  <c r="M105" i="16"/>
  <c r="N105" i="16" s="1"/>
  <c r="K108" i="16" l="1"/>
  <c r="L107" i="16"/>
  <c r="Y105" i="16"/>
  <c r="AJ105" i="16"/>
  <c r="AK105" i="16" s="1"/>
  <c r="AQ105" i="16"/>
  <c r="AR105" i="16" s="1"/>
  <c r="U105" i="16"/>
  <c r="AB105" i="16"/>
  <c r="X106" i="16"/>
  <c r="M106" i="16"/>
  <c r="N106" i="16" s="1"/>
  <c r="AI106" i="16"/>
  <c r="T106" i="16"/>
  <c r="S106" i="16"/>
  <c r="AP106" i="16"/>
  <c r="AA106" i="16"/>
  <c r="L108" i="16" l="1"/>
  <c r="K109" i="16"/>
  <c r="Y106" i="16"/>
  <c r="AQ106" i="16"/>
  <c r="AJ106" i="16"/>
  <c r="U106" i="16"/>
  <c r="AB106" i="16"/>
  <c r="AP107" i="16"/>
  <c r="AA107" i="16"/>
  <c r="S107" i="16"/>
  <c r="AI107" i="16"/>
  <c r="T107" i="16"/>
  <c r="X107" i="16"/>
  <c r="M107" i="16"/>
  <c r="N107" i="16" s="1"/>
  <c r="L109" i="16" l="1"/>
  <c r="K110" i="16"/>
  <c r="Y107" i="16"/>
  <c r="AJ107" i="16"/>
  <c r="AK107" i="16" s="1"/>
  <c r="AQ107" i="16"/>
  <c r="AB107" i="16"/>
  <c r="U107" i="16"/>
  <c r="X108" i="16"/>
  <c r="M108" i="16"/>
  <c r="N108" i="16" s="1"/>
  <c r="AI108" i="16"/>
  <c r="T108" i="16"/>
  <c r="S108" i="16"/>
  <c r="AP108" i="16"/>
  <c r="AA108" i="16"/>
  <c r="K111" i="16" l="1"/>
  <c r="L110" i="16"/>
  <c r="Y108" i="16"/>
  <c r="Z108" i="16" s="1"/>
  <c r="AJ108" i="16"/>
  <c r="AQ108" i="16"/>
  <c r="AB108" i="16"/>
  <c r="U108" i="16"/>
  <c r="AP109" i="16"/>
  <c r="AA109" i="16"/>
  <c r="S109" i="16"/>
  <c r="AI109" i="16"/>
  <c r="T109" i="16"/>
  <c r="X109" i="16"/>
  <c r="M109" i="16"/>
  <c r="N109" i="16" s="1"/>
  <c r="L111" i="16" l="1"/>
  <c r="K112" i="16"/>
  <c r="Y109" i="16"/>
  <c r="Z109" i="16" s="1"/>
  <c r="AJ109" i="16"/>
  <c r="AK109" i="16" s="1"/>
  <c r="AB109" i="16"/>
  <c r="AQ109" i="16"/>
  <c r="U109" i="16"/>
  <c r="V109" i="16" s="1"/>
  <c r="X110" i="16"/>
  <c r="M110" i="16"/>
  <c r="N110" i="16" s="1"/>
  <c r="AI110" i="16"/>
  <c r="T110" i="16"/>
  <c r="S110" i="16"/>
  <c r="AP110" i="16"/>
  <c r="AA110" i="16"/>
  <c r="K113" i="16" l="1"/>
  <c r="L112" i="16"/>
  <c r="Y110" i="16"/>
  <c r="AJ110" i="16"/>
  <c r="AK110" i="16" s="1"/>
  <c r="AQ110" i="16"/>
  <c r="AB110" i="16"/>
  <c r="U110" i="16"/>
  <c r="AP111" i="16"/>
  <c r="AA111" i="16"/>
  <c r="S111" i="16"/>
  <c r="AI111" i="16"/>
  <c r="T111" i="16"/>
  <c r="X111" i="16"/>
  <c r="M111" i="16"/>
  <c r="N111" i="16" s="1"/>
  <c r="AR110" i="16" l="1"/>
  <c r="K114" i="16"/>
  <c r="L113" i="16"/>
  <c r="Y111" i="16"/>
  <c r="AJ111" i="16"/>
  <c r="U111" i="16"/>
  <c r="AB111" i="16"/>
  <c r="AQ111" i="16"/>
  <c r="X112" i="16"/>
  <c r="M112" i="16"/>
  <c r="N112" i="16" s="1"/>
  <c r="AI112" i="16"/>
  <c r="T112" i="16"/>
  <c r="S112" i="16"/>
  <c r="AP112" i="16"/>
  <c r="AA112" i="16"/>
  <c r="K115" i="16" l="1"/>
  <c r="L114" i="16"/>
  <c r="Y112" i="16"/>
  <c r="AJ112" i="16"/>
  <c r="AQ112" i="16"/>
  <c r="U112" i="16"/>
  <c r="AB112" i="16"/>
  <c r="AP113" i="16"/>
  <c r="AA113" i="16"/>
  <c r="S113" i="16"/>
  <c r="AI113" i="16"/>
  <c r="T113" i="16"/>
  <c r="X113" i="16"/>
  <c r="M113" i="16"/>
  <c r="N113" i="16" s="1"/>
  <c r="K116" i="16" l="1"/>
  <c r="L115" i="16"/>
  <c r="Z112" i="16"/>
  <c r="Y113" i="16"/>
  <c r="AJ113" i="16"/>
  <c r="AK113" i="16" s="1"/>
  <c r="AB113" i="16"/>
  <c r="AQ113" i="16"/>
  <c r="U113" i="16"/>
  <c r="X114" i="16"/>
  <c r="M114" i="16"/>
  <c r="N114" i="16" s="1"/>
  <c r="AI114" i="16"/>
  <c r="T114" i="16"/>
  <c r="S114" i="16"/>
  <c r="AP114" i="16"/>
  <c r="AA114" i="16"/>
  <c r="K117" i="16" l="1"/>
  <c r="L116" i="16"/>
  <c r="Y114" i="16"/>
  <c r="AJ114" i="16"/>
  <c r="AK114" i="16" s="1"/>
  <c r="AQ114" i="16"/>
  <c r="AB114" i="16"/>
  <c r="U114" i="16"/>
  <c r="AP115" i="16"/>
  <c r="AA115" i="16"/>
  <c r="S115" i="16"/>
  <c r="AI115" i="16"/>
  <c r="T115" i="16"/>
  <c r="X115" i="16"/>
  <c r="M115" i="16"/>
  <c r="N115" i="16" s="1"/>
  <c r="L117" i="16" l="1"/>
  <c r="K118" i="16"/>
  <c r="Y115" i="16"/>
  <c r="AJ115" i="16"/>
  <c r="AQ115" i="16"/>
  <c r="AB115" i="16"/>
  <c r="U115" i="16"/>
  <c r="X116" i="16"/>
  <c r="M116" i="16"/>
  <c r="N116" i="16" s="1"/>
  <c r="AI116" i="16"/>
  <c r="T116" i="16"/>
  <c r="S116" i="16"/>
  <c r="AP116" i="16"/>
  <c r="AA116" i="16"/>
  <c r="L118" i="16" l="1"/>
  <c r="K119" i="16"/>
  <c r="Y116" i="16"/>
  <c r="AQ116" i="16"/>
  <c r="AJ116" i="16"/>
  <c r="AK116" i="16" s="1"/>
  <c r="U116" i="16"/>
  <c r="AB116" i="16"/>
  <c r="AP117" i="16"/>
  <c r="AA117" i="16"/>
  <c r="S117" i="16"/>
  <c r="AI117" i="16"/>
  <c r="T117" i="16"/>
  <c r="X117" i="16"/>
  <c r="M117" i="16"/>
  <c r="N117" i="16" s="1"/>
  <c r="K120" i="16" l="1"/>
  <c r="L119" i="16"/>
  <c r="Y117" i="16"/>
  <c r="AQ117" i="16"/>
  <c r="AJ117" i="16"/>
  <c r="AK117" i="16" s="1"/>
  <c r="U117" i="16"/>
  <c r="AB117" i="16"/>
  <c r="AP118" i="16"/>
  <c r="AA118" i="16"/>
  <c r="X118" i="16"/>
  <c r="M118" i="16"/>
  <c r="N118" i="16" s="1"/>
  <c r="AI118" i="16"/>
  <c r="T118" i="16"/>
  <c r="S118" i="16"/>
  <c r="K121" i="16" l="1"/>
  <c r="L120" i="16"/>
  <c r="Y118" i="16"/>
  <c r="AJ118" i="16"/>
  <c r="AK118" i="16" s="1"/>
  <c r="AQ118" i="16"/>
  <c r="AR118" i="16" s="1"/>
  <c r="U118" i="16"/>
  <c r="AB118" i="16"/>
  <c r="X119" i="16"/>
  <c r="M119" i="16"/>
  <c r="N119" i="16" s="1"/>
  <c r="T119" i="16"/>
  <c r="AA119" i="16"/>
  <c r="S119" i="16"/>
  <c r="AP119" i="16"/>
  <c r="AI119" i="16"/>
  <c r="K122" i="16" l="1"/>
  <c r="L121" i="16"/>
  <c r="Y119" i="16"/>
  <c r="AJ119" i="16"/>
  <c r="AK119" i="16" s="1"/>
  <c r="AQ119" i="16"/>
  <c r="AR119" i="16" s="1"/>
  <c r="AB119" i="16"/>
  <c r="U119" i="16"/>
  <c r="AP120" i="16"/>
  <c r="AA120" i="16"/>
  <c r="S120" i="16"/>
  <c r="AI120" i="16"/>
  <c r="T120" i="16"/>
  <c r="X120" i="16"/>
  <c r="M120" i="16"/>
  <c r="N120" i="16" s="1"/>
  <c r="K123" i="16" l="1"/>
  <c r="L122" i="16"/>
  <c r="Y120" i="16"/>
  <c r="AJ120" i="16"/>
  <c r="AK120" i="16" s="1"/>
  <c r="AQ120" i="16"/>
  <c r="U120" i="16"/>
  <c r="AB120" i="16"/>
  <c r="X121" i="16"/>
  <c r="M121" i="16"/>
  <c r="N121" i="16" s="1"/>
  <c r="T121" i="16"/>
  <c r="AA121" i="16"/>
  <c r="S121" i="16"/>
  <c r="AP121" i="16"/>
  <c r="AI121" i="16"/>
  <c r="K124" i="16" l="1"/>
  <c r="L123" i="16"/>
  <c r="Z120" i="16"/>
  <c r="Y121" i="16"/>
  <c r="AJ121" i="16"/>
  <c r="AK121" i="16" s="1"/>
  <c r="AQ121" i="16"/>
  <c r="AB121" i="16"/>
  <c r="U121" i="16"/>
  <c r="AI122" i="16"/>
  <c r="T122" i="16"/>
  <c r="X122" i="16"/>
  <c r="M122" i="16"/>
  <c r="N122" i="16" s="1"/>
  <c r="AP122" i="16"/>
  <c r="AA122" i="16"/>
  <c r="S122" i="16"/>
  <c r="AR121" i="16" l="1"/>
  <c r="K125" i="16"/>
  <c r="L124" i="16"/>
  <c r="Y122" i="16"/>
  <c r="AB122" i="16"/>
  <c r="AJ122" i="16"/>
  <c r="AQ122" i="16"/>
  <c r="U122" i="16"/>
  <c r="X123" i="16"/>
  <c r="M123" i="16"/>
  <c r="N123" i="16" s="1"/>
  <c r="T123" i="16"/>
  <c r="AA123" i="16"/>
  <c r="S123" i="16"/>
  <c r="AP123" i="16"/>
  <c r="AI123" i="16"/>
  <c r="K126" i="16" l="1"/>
  <c r="L125" i="16"/>
  <c r="Y123" i="16"/>
  <c r="AJ123" i="16"/>
  <c r="AK123" i="16" s="1"/>
  <c r="AQ123" i="16"/>
  <c r="AR123" i="16" s="1"/>
  <c r="AB123" i="16"/>
  <c r="U123" i="16"/>
  <c r="AI124" i="16"/>
  <c r="T124" i="16"/>
  <c r="X124" i="16"/>
  <c r="M124" i="16"/>
  <c r="N124" i="16" s="1"/>
  <c r="AP124" i="16"/>
  <c r="AA124" i="16"/>
  <c r="S124" i="16"/>
  <c r="K127" i="16" l="1"/>
  <c r="L126" i="16"/>
  <c r="Y124" i="16"/>
  <c r="AJ124" i="16"/>
  <c r="AK124" i="16" s="1"/>
  <c r="AQ124" i="16"/>
  <c r="AB124" i="16"/>
  <c r="U124" i="16"/>
  <c r="X125" i="16"/>
  <c r="M125" i="16"/>
  <c r="N125" i="16" s="1"/>
  <c r="AI125" i="16"/>
  <c r="T125" i="16"/>
  <c r="S125" i="16"/>
  <c r="AP125" i="16"/>
  <c r="AA125" i="16"/>
  <c r="K128" i="16" l="1"/>
  <c r="L127" i="16"/>
  <c r="Y125" i="16"/>
  <c r="AQ125" i="16"/>
  <c r="AR125" i="16" s="1"/>
  <c r="U125" i="16"/>
  <c r="AB125" i="16"/>
  <c r="AJ125" i="16"/>
  <c r="AK125" i="16" s="1"/>
  <c r="AI126" i="16"/>
  <c r="T126" i="16"/>
  <c r="X126" i="16"/>
  <c r="M126" i="16"/>
  <c r="N126" i="16" s="1"/>
  <c r="AP126" i="16"/>
  <c r="AA126" i="16"/>
  <c r="S126" i="16"/>
  <c r="L128" i="16" l="1"/>
  <c r="K129" i="16"/>
  <c r="Y126" i="16"/>
  <c r="AQ126" i="16"/>
  <c r="AR126" i="16" s="1"/>
  <c r="AJ126" i="16"/>
  <c r="AK126" i="16" s="1"/>
  <c r="AB126" i="16"/>
  <c r="U126" i="16"/>
  <c r="X127" i="16"/>
  <c r="M127" i="16"/>
  <c r="N127" i="16" s="1"/>
  <c r="AI127" i="16"/>
  <c r="T127" i="16"/>
  <c r="S127" i="16"/>
  <c r="AP127" i="16"/>
  <c r="AA127" i="16"/>
  <c r="K130" i="16" l="1"/>
  <c r="L129" i="16"/>
  <c r="Y127" i="16"/>
  <c r="AQ127" i="16"/>
  <c r="AJ127" i="16"/>
  <c r="U127" i="16"/>
  <c r="AB127" i="16"/>
  <c r="AP128" i="16"/>
  <c r="AA128" i="16"/>
  <c r="S128" i="16"/>
  <c r="AI128" i="16"/>
  <c r="T128" i="16"/>
  <c r="X128" i="16"/>
  <c r="M128" i="16"/>
  <c r="N128" i="16" s="1"/>
  <c r="L130" i="16" l="1"/>
  <c r="K131" i="16"/>
  <c r="Y128" i="16"/>
  <c r="AJ128" i="16"/>
  <c r="AK128" i="16" s="1"/>
  <c r="AQ128" i="16"/>
  <c r="AB128" i="16"/>
  <c r="U128" i="16"/>
  <c r="X129" i="16"/>
  <c r="M129" i="16"/>
  <c r="N129" i="16" s="1"/>
  <c r="AI129" i="16"/>
  <c r="T129" i="16"/>
  <c r="S129" i="16"/>
  <c r="AP129" i="16"/>
  <c r="AA129" i="16"/>
  <c r="K132" i="16" l="1"/>
  <c r="L131" i="16"/>
  <c r="V128" i="16"/>
  <c r="Y129" i="16"/>
  <c r="AJ129" i="16"/>
  <c r="AK129" i="16" s="1"/>
  <c r="AQ129" i="16"/>
  <c r="AR129" i="16" s="1"/>
  <c r="AB129" i="16"/>
  <c r="U129" i="16"/>
  <c r="AP130" i="16"/>
  <c r="AA130" i="16"/>
  <c r="S130" i="16"/>
  <c r="AI130" i="16"/>
  <c r="T130" i="16"/>
  <c r="X130" i="16"/>
  <c r="M130" i="16"/>
  <c r="N130" i="16" s="1"/>
  <c r="K133" i="16" l="1"/>
  <c r="L132" i="16"/>
  <c r="Y130" i="16"/>
  <c r="AJ130" i="16"/>
  <c r="AK130" i="16" s="1"/>
  <c r="AQ130" i="16"/>
  <c r="U130" i="16"/>
  <c r="AB130" i="16"/>
  <c r="X131" i="16"/>
  <c r="M131" i="16"/>
  <c r="N131" i="16" s="1"/>
  <c r="AI131" i="16"/>
  <c r="T131" i="16"/>
  <c r="S131" i="16"/>
  <c r="AP131" i="16"/>
  <c r="AA131" i="16"/>
  <c r="K134" i="16" l="1"/>
  <c r="L133" i="16"/>
  <c r="Y131" i="16"/>
  <c r="AJ131" i="16"/>
  <c r="AK131" i="16" s="1"/>
  <c r="AQ131" i="16"/>
  <c r="U131" i="16"/>
  <c r="V131" i="16" s="1"/>
  <c r="AB131" i="16"/>
  <c r="AP132" i="16"/>
  <c r="AA132" i="16"/>
  <c r="S132" i="16"/>
  <c r="AI132" i="16"/>
  <c r="T132" i="16"/>
  <c r="X132" i="16"/>
  <c r="M132" i="16"/>
  <c r="N132" i="16" s="1"/>
  <c r="K135" i="16" l="1"/>
  <c r="L134" i="16"/>
  <c r="Y132" i="16"/>
  <c r="AJ132" i="16"/>
  <c r="AK132" i="16" s="1"/>
  <c r="U132" i="16"/>
  <c r="AQ132" i="16"/>
  <c r="AB132" i="16"/>
  <c r="X133" i="16"/>
  <c r="M133" i="16"/>
  <c r="N133" i="16" s="1"/>
  <c r="AI133" i="16"/>
  <c r="T133" i="16"/>
  <c r="S133" i="16"/>
  <c r="AP133" i="16"/>
  <c r="AA133" i="16"/>
  <c r="L135" i="16" l="1"/>
  <c r="K136" i="16"/>
  <c r="V132" i="16"/>
  <c r="AC132" i="16"/>
  <c r="Z132" i="16"/>
  <c r="Y133" i="16"/>
  <c r="AJ133" i="16"/>
  <c r="AK133" i="16" s="1"/>
  <c r="U133" i="16"/>
  <c r="AB133" i="16"/>
  <c r="AQ133" i="16"/>
  <c r="AP134" i="16"/>
  <c r="AA134" i="16"/>
  <c r="S134" i="16"/>
  <c r="AI134" i="16"/>
  <c r="T134" i="16"/>
  <c r="X134" i="16"/>
  <c r="M134" i="16"/>
  <c r="N134" i="16" s="1"/>
  <c r="K137" i="16" l="1"/>
  <c r="L136" i="16"/>
  <c r="Y134" i="16"/>
  <c r="AJ134" i="16"/>
  <c r="AK134" i="16" s="1"/>
  <c r="AQ134" i="16"/>
  <c r="AR134" i="16" s="1"/>
  <c r="AB134" i="16"/>
  <c r="U134" i="16"/>
  <c r="X135" i="16"/>
  <c r="M135" i="16"/>
  <c r="N135" i="16" s="1"/>
  <c r="AI135" i="16"/>
  <c r="T135" i="16"/>
  <c r="S135" i="16"/>
  <c r="AP135" i="16"/>
  <c r="AA135" i="16"/>
  <c r="K138" i="16" l="1"/>
  <c r="L137" i="16"/>
  <c r="Y135" i="16"/>
  <c r="AQ135" i="16"/>
  <c r="AJ135" i="16"/>
  <c r="AK135" i="16" s="1"/>
  <c r="AB135" i="16"/>
  <c r="U135" i="16"/>
  <c r="AP136" i="16"/>
  <c r="AA136" i="16"/>
  <c r="S136" i="16"/>
  <c r="AI136" i="16"/>
  <c r="T136" i="16"/>
  <c r="X136" i="16"/>
  <c r="M136" i="16"/>
  <c r="N136" i="16" s="1"/>
  <c r="K139" i="16" l="1"/>
  <c r="L138" i="16"/>
  <c r="Y136" i="16"/>
  <c r="AJ136" i="16"/>
  <c r="AQ136" i="16"/>
  <c r="U136" i="16"/>
  <c r="AB136" i="16"/>
  <c r="X137" i="16"/>
  <c r="M137" i="16"/>
  <c r="N137" i="16" s="1"/>
  <c r="AI137" i="16"/>
  <c r="T137" i="16"/>
  <c r="S137" i="16"/>
  <c r="AP137" i="16"/>
  <c r="AA137" i="16"/>
  <c r="K140" i="16" l="1"/>
  <c r="L139" i="16"/>
  <c r="Y137" i="16"/>
  <c r="AJ137" i="16"/>
  <c r="AK137" i="16" s="1"/>
  <c r="AQ137" i="16"/>
  <c r="AR137" i="16" s="1"/>
  <c r="AB137" i="16"/>
  <c r="U137" i="16"/>
  <c r="AP138" i="16"/>
  <c r="AA138" i="16"/>
  <c r="S138" i="16"/>
  <c r="AI138" i="16"/>
  <c r="T138" i="16"/>
  <c r="X138" i="16"/>
  <c r="M138" i="16"/>
  <c r="N138" i="16" s="1"/>
  <c r="K141" i="16" l="1"/>
  <c r="L140" i="16"/>
  <c r="Y138" i="16"/>
  <c r="AJ138" i="16"/>
  <c r="AK138" i="16" s="1"/>
  <c r="AQ138" i="16"/>
  <c r="U138" i="16"/>
  <c r="AB138" i="16"/>
  <c r="X139" i="16"/>
  <c r="M139" i="16"/>
  <c r="N139" i="16" s="1"/>
  <c r="AI139" i="16"/>
  <c r="T139" i="16"/>
  <c r="S139" i="16"/>
  <c r="AP139" i="16"/>
  <c r="AA139" i="16"/>
  <c r="L141" i="16" l="1"/>
  <c r="K142" i="16"/>
  <c r="V138" i="16"/>
  <c r="Y139" i="16"/>
  <c r="AJ139" i="16"/>
  <c r="AK139" i="16" s="1"/>
  <c r="AQ139" i="16"/>
  <c r="AR139" i="16" s="1"/>
  <c r="U139" i="16"/>
  <c r="AB139" i="16"/>
  <c r="AP140" i="16"/>
  <c r="AA140" i="16"/>
  <c r="S140" i="16"/>
  <c r="AI140" i="16"/>
  <c r="T140" i="16"/>
  <c r="X140" i="16"/>
  <c r="M140" i="16"/>
  <c r="N140" i="16" s="1"/>
  <c r="L142" i="16" l="1"/>
  <c r="K143" i="16"/>
  <c r="Y140" i="16"/>
  <c r="AJ140" i="16"/>
  <c r="AK140" i="16" s="1"/>
  <c r="AQ140" i="16"/>
  <c r="AB140" i="16"/>
  <c r="U140" i="16"/>
  <c r="X141" i="16"/>
  <c r="M141" i="16"/>
  <c r="N141" i="16" s="1"/>
  <c r="AI141" i="16"/>
  <c r="T141" i="16"/>
  <c r="S141" i="16"/>
  <c r="AP141" i="16"/>
  <c r="AA141" i="16"/>
  <c r="K144" i="16" l="1"/>
  <c r="L143" i="16"/>
  <c r="Y141" i="16"/>
  <c r="AJ141" i="16"/>
  <c r="AK141" i="16" s="1"/>
  <c r="U141" i="16"/>
  <c r="AB141" i="16"/>
  <c r="AQ141" i="16"/>
  <c r="AR141" i="16" s="1"/>
  <c r="AP142" i="16"/>
  <c r="AA142" i="16"/>
  <c r="S142" i="16"/>
  <c r="AI142" i="16"/>
  <c r="T142" i="16"/>
  <c r="X142" i="16"/>
  <c r="M142" i="16"/>
  <c r="N142" i="16" s="1"/>
  <c r="K145" i="16" l="1"/>
  <c r="L144" i="16"/>
  <c r="Y142" i="16"/>
  <c r="AJ142" i="16"/>
  <c r="AK142" i="16" s="1"/>
  <c r="AQ142" i="16"/>
  <c r="AB142" i="16"/>
  <c r="U142" i="16"/>
  <c r="X143" i="16"/>
  <c r="M143" i="16"/>
  <c r="N143" i="16" s="1"/>
  <c r="AI143" i="16"/>
  <c r="T143" i="16"/>
  <c r="S143" i="16"/>
  <c r="AP143" i="16"/>
  <c r="AA143" i="16"/>
  <c r="K146" i="16" l="1"/>
  <c r="L145" i="16"/>
  <c r="Z142" i="16"/>
  <c r="Y143" i="16"/>
  <c r="AQ143" i="16"/>
  <c r="AR143" i="16" s="1"/>
  <c r="U143" i="16"/>
  <c r="AJ143" i="16"/>
  <c r="AK143" i="16" s="1"/>
  <c r="AB143" i="16"/>
  <c r="AP144" i="16"/>
  <c r="AA144" i="16"/>
  <c r="S144" i="16"/>
  <c r="AI144" i="16"/>
  <c r="T144" i="16"/>
  <c r="X144" i="16"/>
  <c r="M144" i="16"/>
  <c r="N144" i="16" s="1"/>
  <c r="K147" i="16" l="1"/>
  <c r="L146" i="16"/>
  <c r="Y144" i="16"/>
  <c r="AJ144" i="16"/>
  <c r="AK144" i="16" s="1"/>
  <c r="U144" i="16"/>
  <c r="AB144" i="16"/>
  <c r="AQ144" i="16"/>
  <c r="X145" i="16"/>
  <c r="M145" i="16"/>
  <c r="N145" i="16" s="1"/>
  <c r="AI145" i="16"/>
  <c r="T145" i="16"/>
  <c r="S145" i="16"/>
  <c r="AP145" i="16"/>
  <c r="AA145" i="16"/>
  <c r="L147" i="16" l="1"/>
  <c r="K148" i="16"/>
  <c r="V144" i="16"/>
  <c r="Y145" i="16"/>
  <c r="U145" i="16"/>
  <c r="AJ145" i="16"/>
  <c r="AQ145" i="16"/>
  <c r="AB145" i="16"/>
  <c r="AP146" i="16"/>
  <c r="AA146" i="16"/>
  <c r="S146" i="16"/>
  <c r="AI146" i="16"/>
  <c r="T146" i="16"/>
  <c r="X146" i="16"/>
  <c r="M146" i="16"/>
  <c r="N146" i="16" s="1"/>
  <c r="K149" i="16" l="1"/>
  <c r="L148" i="16"/>
  <c r="Y146" i="16"/>
  <c r="AJ146" i="16"/>
  <c r="AB146" i="16"/>
  <c r="AQ146" i="16"/>
  <c r="U146" i="16"/>
  <c r="X147" i="16"/>
  <c r="M147" i="16"/>
  <c r="N147" i="16" s="1"/>
  <c r="AI147" i="16"/>
  <c r="T147" i="16"/>
  <c r="S147" i="16"/>
  <c r="AP147" i="16"/>
  <c r="AA147" i="16"/>
  <c r="K150" i="16" l="1"/>
  <c r="L149" i="16"/>
  <c r="Y147" i="16"/>
  <c r="AJ147" i="16"/>
  <c r="AK147" i="16" s="1"/>
  <c r="AQ147" i="16"/>
  <c r="U147" i="16"/>
  <c r="AB147" i="16"/>
  <c r="AP148" i="16"/>
  <c r="AA148" i="16"/>
  <c r="S148" i="16"/>
  <c r="AI148" i="16"/>
  <c r="T148" i="16"/>
  <c r="X148" i="16"/>
  <c r="M148" i="16"/>
  <c r="N148" i="16" s="1"/>
  <c r="K151" i="16" l="1"/>
  <c r="L150" i="16"/>
  <c r="Y148" i="16"/>
  <c r="Z148" i="16" s="1"/>
  <c r="AJ148" i="16"/>
  <c r="AB148" i="16"/>
  <c r="U148" i="16"/>
  <c r="AQ148" i="16"/>
  <c r="X149" i="16"/>
  <c r="M149" i="16"/>
  <c r="N149" i="16" s="1"/>
  <c r="AI149" i="16"/>
  <c r="T149" i="16"/>
  <c r="S149" i="16"/>
  <c r="AP149" i="16"/>
  <c r="AA149" i="16"/>
  <c r="K152" i="16" l="1"/>
  <c r="L151" i="16"/>
  <c r="AK148" i="16"/>
  <c r="Y149" i="16"/>
  <c r="U149" i="16"/>
  <c r="AJ149" i="16"/>
  <c r="AK149" i="16" s="1"/>
  <c r="AQ149" i="16"/>
  <c r="AB149" i="16"/>
  <c r="AP150" i="16"/>
  <c r="AA150" i="16"/>
  <c r="S150" i="16"/>
  <c r="AI150" i="16"/>
  <c r="T150" i="16"/>
  <c r="X150" i="16"/>
  <c r="M150" i="16"/>
  <c r="N150" i="16" s="1"/>
  <c r="K153" i="16" l="1"/>
  <c r="L152" i="16"/>
  <c r="Y150" i="16"/>
  <c r="AJ150" i="16"/>
  <c r="AK150" i="16" s="1"/>
  <c r="AQ150" i="16"/>
  <c r="AB150" i="16"/>
  <c r="U150" i="16"/>
  <c r="X151" i="16"/>
  <c r="M151" i="16"/>
  <c r="N151" i="16" s="1"/>
  <c r="AI151" i="16"/>
  <c r="T151" i="16"/>
  <c r="S151" i="16"/>
  <c r="AP151" i="16"/>
  <c r="AA151" i="16"/>
  <c r="K154" i="16" l="1"/>
  <c r="L153" i="16"/>
  <c r="Y151" i="16"/>
  <c r="AJ151" i="16"/>
  <c r="AK151" i="16" s="1"/>
  <c r="AQ151" i="16"/>
  <c r="U151" i="16"/>
  <c r="AB151" i="16"/>
  <c r="AP152" i="16"/>
  <c r="AA152" i="16"/>
  <c r="S152" i="16"/>
  <c r="AI152" i="16"/>
  <c r="T152" i="16"/>
  <c r="X152" i="16"/>
  <c r="M152" i="16"/>
  <c r="N152" i="16" s="1"/>
  <c r="K155" i="16" l="1"/>
  <c r="L154" i="16"/>
  <c r="AJ152" i="16"/>
  <c r="AK152" i="16" s="1"/>
  <c r="Y152" i="16"/>
  <c r="U152" i="16"/>
  <c r="AB152" i="16"/>
  <c r="AQ152" i="16"/>
  <c r="X153" i="16"/>
  <c r="M153" i="16"/>
  <c r="N153" i="16" s="1"/>
  <c r="AI153" i="16"/>
  <c r="T153" i="16"/>
  <c r="S153" i="16"/>
  <c r="AP153" i="16"/>
  <c r="AA153" i="16"/>
  <c r="L155" i="16" l="1"/>
  <c r="K156" i="16"/>
  <c r="Y153" i="16"/>
  <c r="U153" i="16"/>
  <c r="AJ153" i="16"/>
  <c r="AK153" i="16" s="1"/>
  <c r="AQ153" i="16"/>
  <c r="AR153" i="16" s="1"/>
  <c r="AB153" i="16"/>
  <c r="AP154" i="16"/>
  <c r="AA154" i="16"/>
  <c r="S154" i="16"/>
  <c r="AI154" i="16"/>
  <c r="T154" i="16"/>
  <c r="X154" i="16"/>
  <c r="M154" i="16"/>
  <c r="N154" i="16" s="1"/>
  <c r="K157" i="16" l="1"/>
  <c r="L156" i="16"/>
  <c r="Y154" i="16"/>
  <c r="AJ154" i="16"/>
  <c r="AB154" i="16"/>
  <c r="AQ154" i="16"/>
  <c r="U154" i="16"/>
  <c r="X155" i="16"/>
  <c r="M155" i="16"/>
  <c r="N155" i="16" s="1"/>
  <c r="AI155" i="16"/>
  <c r="T155" i="16"/>
  <c r="S155" i="16"/>
  <c r="AP155" i="16"/>
  <c r="AA155" i="16"/>
  <c r="K158" i="16" l="1"/>
  <c r="L157" i="16"/>
  <c r="Y155" i="16"/>
  <c r="AQ155" i="16"/>
  <c r="AB155" i="16"/>
  <c r="AJ155" i="16"/>
  <c r="AK155" i="16" s="1"/>
  <c r="U155" i="16"/>
  <c r="AP156" i="16"/>
  <c r="AA156" i="16"/>
  <c r="S156" i="16"/>
  <c r="AI156" i="16"/>
  <c r="T156" i="16"/>
  <c r="X156" i="16"/>
  <c r="M156" i="16"/>
  <c r="N156" i="16" s="1"/>
  <c r="L158" i="16" l="1"/>
  <c r="K159" i="16"/>
  <c r="AR155" i="16"/>
  <c r="Y156" i="16"/>
  <c r="AJ156" i="16"/>
  <c r="AK156" i="16" s="1"/>
  <c r="AQ156" i="16"/>
  <c r="U156" i="16"/>
  <c r="V156" i="16" s="1"/>
  <c r="AB156" i="16"/>
  <c r="X157" i="16"/>
  <c r="M157" i="16"/>
  <c r="N157" i="16" s="1"/>
  <c r="AI157" i="16"/>
  <c r="T157" i="16"/>
  <c r="S157" i="16"/>
  <c r="AP157" i="16"/>
  <c r="AA157" i="16"/>
  <c r="K160" i="16" l="1"/>
  <c r="L159" i="16"/>
  <c r="Y157" i="16"/>
  <c r="Z157" i="16" s="1"/>
  <c r="AJ157" i="16"/>
  <c r="AK157" i="16" s="1"/>
  <c r="AQ157" i="16"/>
  <c r="U157" i="16"/>
  <c r="AB157" i="16"/>
  <c r="AP158" i="16"/>
  <c r="AA158" i="16"/>
  <c r="S158" i="16"/>
  <c r="AI158" i="16"/>
  <c r="T158" i="16"/>
  <c r="X158" i="16"/>
  <c r="M158" i="16"/>
  <c r="N158" i="16" s="1"/>
  <c r="AC157" i="16" l="1"/>
  <c r="K161" i="16"/>
  <c r="L160" i="16"/>
  <c r="Y158" i="16"/>
  <c r="AJ158" i="16"/>
  <c r="AQ158" i="16"/>
  <c r="AB158" i="16"/>
  <c r="U158" i="16"/>
  <c r="X159" i="16"/>
  <c r="M159" i="16"/>
  <c r="N159" i="16" s="1"/>
  <c r="AI159" i="16"/>
  <c r="T159" i="16"/>
  <c r="S159" i="16"/>
  <c r="AP159" i="16"/>
  <c r="AA159" i="16"/>
  <c r="L161" i="16" l="1"/>
  <c r="K162" i="16"/>
  <c r="Y159" i="16"/>
  <c r="AJ159" i="16"/>
  <c r="AQ159" i="16"/>
  <c r="U159" i="16"/>
  <c r="AB159" i="16"/>
  <c r="AP160" i="16"/>
  <c r="AA160" i="16"/>
  <c r="S160" i="16"/>
  <c r="AI160" i="16"/>
  <c r="T160" i="16"/>
  <c r="X160" i="16"/>
  <c r="M160" i="16"/>
  <c r="N160" i="16" s="1"/>
  <c r="K163" i="16" l="1"/>
  <c r="L162" i="16"/>
  <c r="Y160" i="16"/>
  <c r="Z160" i="16" s="1"/>
  <c r="AJ160" i="16"/>
  <c r="AK160" i="16" s="1"/>
  <c r="U160" i="16"/>
  <c r="V160" i="16" s="1"/>
  <c r="AB160" i="16"/>
  <c r="AQ160" i="16"/>
  <c r="X161" i="16"/>
  <c r="M161" i="16"/>
  <c r="N161" i="16" s="1"/>
  <c r="AI161" i="16"/>
  <c r="T161" i="16"/>
  <c r="S161" i="16"/>
  <c r="AP161" i="16"/>
  <c r="AA161" i="16"/>
  <c r="K164" i="16" l="1"/>
  <c r="L163" i="16"/>
  <c r="Y161" i="16"/>
  <c r="Z161" i="16" s="1"/>
  <c r="AJ161" i="16"/>
  <c r="AQ161" i="16"/>
  <c r="U161" i="16"/>
  <c r="AB161" i="16"/>
  <c r="AP162" i="16"/>
  <c r="AA162" i="16"/>
  <c r="S162" i="16"/>
  <c r="AI162" i="16"/>
  <c r="T162" i="16"/>
  <c r="X162" i="16"/>
  <c r="M162" i="16"/>
  <c r="N162" i="16" s="1"/>
  <c r="AK161" i="16" l="1"/>
  <c r="L164" i="16"/>
  <c r="K165" i="16"/>
  <c r="Y162" i="16"/>
  <c r="AJ162" i="16"/>
  <c r="AK162" i="16" s="1"/>
  <c r="AQ162" i="16"/>
  <c r="U162" i="16"/>
  <c r="AB162" i="16"/>
  <c r="X163" i="16"/>
  <c r="M163" i="16"/>
  <c r="N163" i="16" s="1"/>
  <c r="AI163" i="16"/>
  <c r="T163" i="16"/>
  <c r="S163" i="16"/>
  <c r="AP163" i="16"/>
  <c r="AA163" i="16"/>
  <c r="L165" i="16" l="1"/>
  <c r="K166" i="16"/>
  <c r="Y163" i="16"/>
  <c r="AJ163" i="16"/>
  <c r="AK163" i="16" s="1"/>
  <c r="AQ163" i="16"/>
  <c r="AB163" i="16"/>
  <c r="U163" i="16"/>
  <c r="V163" i="16" s="1"/>
  <c r="AP164" i="16"/>
  <c r="AA164" i="16"/>
  <c r="S164" i="16"/>
  <c r="AI164" i="16"/>
  <c r="T164" i="16"/>
  <c r="X164" i="16"/>
  <c r="M164" i="16"/>
  <c r="N164" i="16" s="1"/>
  <c r="L166" i="16" l="1"/>
  <c r="K167" i="16"/>
  <c r="Y164" i="16"/>
  <c r="AJ164" i="16"/>
  <c r="AK164" i="16" s="1"/>
  <c r="U164" i="16"/>
  <c r="AB164" i="16"/>
  <c r="AQ164" i="16"/>
  <c r="X165" i="16"/>
  <c r="M165" i="16"/>
  <c r="N165" i="16" s="1"/>
  <c r="AI165" i="16"/>
  <c r="T165" i="16"/>
  <c r="S165" i="16"/>
  <c r="AP165" i="16"/>
  <c r="AA165" i="16"/>
  <c r="L167" i="16" l="1"/>
  <c r="K168" i="16"/>
  <c r="AJ165" i="16"/>
  <c r="AK165" i="16" s="1"/>
  <c r="Y165" i="16"/>
  <c r="U165" i="16"/>
  <c r="AQ165" i="16"/>
  <c r="AB165" i="16"/>
  <c r="AP166" i="16"/>
  <c r="AA166" i="16"/>
  <c r="S166" i="16"/>
  <c r="AI166" i="16"/>
  <c r="T166" i="16"/>
  <c r="X166" i="16"/>
  <c r="M166" i="16"/>
  <c r="N166" i="16" s="1"/>
  <c r="L168" i="16" l="1"/>
  <c r="K169" i="16"/>
  <c r="Y166" i="16"/>
  <c r="AJ166" i="16"/>
  <c r="U166" i="16"/>
  <c r="AB166" i="16"/>
  <c r="AQ166" i="16"/>
  <c r="X167" i="16"/>
  <c r="M167" i="16"/>
  <c r="N167" i="16" s="1"/>
  <c r="AI167" i="16"/>
  <c r="T167" i="16"/>
  <c r="S167" i="16"/>
  <c r="AP167" i="16"/>
  <c r="AA167" i="16"/>
  <c r="K170" i="16" l="1"/>
  <c r="L169" i="16"/>
  <c r="Y167" i="16"/>
  <c r="U167" i="16"/>
  <c r="AJ167" i="16"/>
  <c r="AK167" i="16" s="1"/>
  <c r="AB167" i="16"/>
  <c r="AQ167" i="16"/>
  <c r="AR167" i="16" s="1"/>
  <c r="AI168" i="16"/>
  <c r="T168" i="16"/>
  <c r="X168" i="16"/>
  <c r="M168" i="16"/>
  <c r="N168" i="16" s="1"/>
  <c r="AP168" i="16"/>
  <c r="AA168" i="16"/>
  <c r="S168" i="16"/>
  <c r="V167" i="16" l="1"/>
  <c r="Z167" i="16"/>
  <c r="L170" i="16"/>
  <c r="K171" i="16"/>
  <c r="Y168" i="16"/>
  <c r="Z168" i="16" s="1"/>
  <c r="AJ168" i="16"/>
  <c r="U168" i="16"/>
  <c r="AB168" i="16"/>
  <c r="AQ168" i="16"/>
  <c r="S169" i="16"/>
  <c r="AP169" i="16"/>
  <c r="AA169" i="16"/>
  <c r="X169" i="16"/>
  <c r="M169" i="16"/>
  <c r="N169" i="16" s="1"/>
  <c r="AI169" i="16"/>
  <c r="T169" i="16"/>
  <c r="AK168" i="16" l="1"/>
  <c r="K172" i="16"/>
  <c r="L171" i="16"/>
  <c r="AC168" i="16"/>
  <c r="V168" i="16"/>
  <c r="Y169" i="16"/>
  <c r="AJ169" i="16"/>
  <c r="AK169" i="16" s="1"/>
  <c r="U169" i="16"/>
  <c r="AQ169" i="16"/>
  <c r="AB169" i="16"/>
  <c r="AP170" i="16"/>
  <c r="AA170" i="16"/>
  <c r="S170" i="16"/>
  <c r="AI170" i="16"/>
  <c r="T170" i="16"/>
  <c r="X170" i="16"/>
  <c r="M170" i="16"/>
  <c r="N170" i="16" s="1"/>
  <c r="L172" i="16" l="1"/>
  <c r="K173" i="16"/>
  <c r="Y170" i="16"/>
  <c r="AJ170" i="16"/>
  <c r="AK170" i="16" s="1"/>
  <c r="AQ170" i="16"/>
  <c r="AR170" i="16" s="1"/>
  <c r="U170" i="16"/>
  <c r="V170" i="16" s="1"/>
  <c r="AB170" i="16"/>
  <c r="X171" i="16"/>
  <c r="M171" i="16"/>
  <c r="N171" i="16" s="1"/>
  <c r="AI171" i="16"/>
  <c r="T171" i="16"/>
  <c r="S171" i="16"/>
  <c r="AP171" i="16"/>
  <c r="AA171" i="16"/>
  <c r="Z170" i="16" l="1"/>
  <c r="L173" i="16"/>
  <c r="K174" i="16"/>
  <c r="Y171" i="16"/>
  <c r="AQ171" i="16"/>
  <c r="U171" i="16"/>
  <c r="AB171" i="16"/>
  <c r="AJ171" i="16"/>
  <c r="AK171" i="16" s="1"/>
  <c r="AP172" i="16"/>
  <c r="AA172" i="16"/>
  <c r="S172" i="16"/>
  <c r="AI172" i="16"/>
  <c r="T172" i="16"/>
  <c r="X172" i="16"/>
  <c r="M172" i="16"/>
  <c r="N172" i="16" s="1"/>
  <c r="K175" i="16" l="1"/>
  <c r="L174" i="16"/>
  <c r="Y172" i="16"/>
  <c r="AJ172" i="16"/>
  <c r="AK172" i="16" s="1"/>
  <c r="AQ172" i="16"/>
  <c r="U172" i="16"/>
  <c r="V172" i="16" s="1"/>
  <c r="AB172" i="16"/>
  <c r="X173" i="16"/>
  <c r="M173" i="16"/>
  <c r="N173" i="16" s="1"/>
  <c r="AI173" i="16"/>
  <c r="T173" i="16"/>
  <c r="S173" i="16"/>
  <c r="AP173" i="16"/>
  <c r="AA173" i="16"/>
  <c r="K176" i="16" l="1"/>
  <c r="L175" i="16"/>
  <c r="Y173" i="16"/>
  <c r="AJ173" i="16"/>
  <c r="AK173" i="16" s="1"/>
  <c r="AQ173" i="16"/>
  <c r="U173" i="16"/>
  <c r="AB173" i="16"/>
  <c r="AP174" i="16"/>
  <c r="AA174" i="16"/>
  <c r="S174" i="16"/>
  <c r="AI174" i="16"/>
  <c r="T174" i="16"/>
  <c r="X174" i="16"/>
  <c r="M174" i="16"/>
  <c r="N174" i="16" s="1"/>
  <c r="L176" i="16" l="1"/>
  <c r="K177" i="16"/>
  <c r="Y174" i="16"/>
  <c r="AJ174" i="16"/>
  <c r="AK174" i="16" s="1"/>
  <c r="AB174" i="16"/>
  <c r="AQ174" i="16"/>
  <c r="AR174" i="16" s="1"/>
  <c r="U174" i="16"/>
  <c r="X175" i="16"/>
  <c r="M175" i="16"/>
  <c r="N175" i="16" s="1"/>
  <c r="AI175" i="16"/>
  <c r="T175" i="16"/>
  <c r="S175" i="16"/>
  <c r="AP175" i="16"/>
  <c r="AA175" i="16"/>
  <c r="Z174" i="16" l="1"/>
  <c r="K178" i="16"/>
  <c r="L177" i="16"/>
  <c r="Y175" i="16"/>
  <c r="AJ175" i="16"/>
  <c r="AQ175" i="16"/>
  <c r="AB175" i="16"/>
  <c r="U175" i="16"/>
  <c r="AP176" i="16"/>
  <c r="AA176" i="16"/>
  <c r="S176" i="16"/>
  <c r="AI176" i="16"/>
  <c r="T176" i="16"/>
  <c r="X176" i="16"/>
  <c r="M176" i="16"/>
  <c r="N176" i="16" s="1"/>
  <c r="L178" i="16" l="1"/>
  <c r="K179" i="16"/>
  <c r="Y176" i="16"/>
  <c r="AJ176" i="16"/>
  <c r="AQ176" i="16"/>
  <c r="AB176" i="16"/>
  <c r="U176" i="16"/>
  <c r="X177" i="16"/>
  <c r="M177" i="16"/>
  <c r="N177" i="16" s="1"/>
  <c r="AI177" i="16"/>
  <c r="T177" i="16"/>
  <c r="S177" i="16"/>
  <c r="AP177" i="16"/>
  <c r="AA177" i="16"/>
  <c r="K180" i="16" l="1"/>
  <c r="L179" i="16"/>
  <c r="Y177" i="16"/>
  <c r="AJ177" i="16"/>
  <c r="AK177" i="16" s="1"/>
  <c r="AQ177" i="16"/>
  <c r="U177" i="16"/>
  <c r="AB177" i="16"/>
  <c r="AP178" i="16"/>
  <c r="AA178" i="16"/>
  <c r="S178" i="16"/>
  <c r="AI178" i="16"/>
  <c r="T178" i="16"/>
  <c r="X178" i="16"/>
  <c r="M178" i="16"/>
  <c r="N178" i="16" s="1"/>
  <c r="AR177" i="16" l="1"/>
  <c r="K181" i="16"/>
  <c r="L180" i="16"/>
  <c r="Y178" i="16"/>
  <c r="AJ178" i="16"/>
  <c r="AQ178" i="16"/>
  <c r="U178" i="16"/>
  <c r="AB178" i="16"/>
  <c r="X179" i="16"/>
  <c r="M179" i="16"/>
  <c r="N179" i="16" s="1"/>
  <c r="AI179" i="16"/>
  <c r="T179" i="16"/>
  <c r="S179" i="16"/>
  <c r="AP179" i="16"/>
  <c r="AA179" i="16"/>
  <c r="K182" i="16" l="1"/>
  <c r="L181" i="16"/>
  <c r="Y179" i="16"/>
  <c r="AJ179" i="16"/>
  <c r="AQ179" i="16"/>
  <c r="U179" i="16"/>
  <c r="AB179" i="16"/>
  <c r="AP180" i="16"/>
  <c r="AA180" i="16"/>
  <c r="S180" i="16"/>
  <c r="AI180" i="16"/>
  <c r="T180" i="16"/>
  <c r="X180" i="16"/>
  <c r="M180" i="16"/>
  <c r="N180" i="16" s="1"/>
  <c r="L182" i="16" l="1"/>
  <c r="K183" i="16"/>
  <c r="Y180" i="16"/>
  <c r="AJ180" i="16"/>
  <c r="AQ180" i="16"/>
  <c r="AB180" i="16"/>
  <c r="U180" i="16"/>
  <c r="X181" i="16"/>
  <c r="M181" i="16"/>
  <c r="N181" i="16" s="1"/>
  <c r="AI181" i="16"/>
  <c r="T181" i="16"/>
  <c r="S181" i="16"/>
  <c r="AP181" i="16"/>
  <c r="AA181" i="16"/>
  <c r="AK180" i="16" l="1"/>
  <c r="K184" i="16"/>
  <c r="L183" i="16"/>
  <c r="Y181" i="16"/>
  <c r="U181" i="16"/>
  <c r="AJ181" i="16"/>
  <c r="AK181" i="16" s="1"/>
  <c r="AB181" i="16"/>
  <c r="AQ181" i="16"/>
  <c r="AP182" i="16"/>
  <c r="AA182" i="16"/>
  <c r="S182" i="16"/>
  <c r="AI182" i="16"/>
  <c r="T182" i="16"/>
  <c r="X182" i="16"/>
  <c r="M182" i="16"/>
  <c r="N182" i="16" s="1"/>
  <c r="L184" i="16" l="1"/>
  <c r="K185" i="16"/>
  <c r="Y182" i="16"/>
  <c r="AJ182" i="16"/>
  <c r="U182" i="16"/>
  <c r="AQ182" i="16"/>
  <c r="AB182" i="16"/>
  <c r="X183" i="16"/>
  <c r="M183" i="16"/>
  <c r="N183" i="16" s="1"/>
  <c r="AI183" i="16"/>
  <c r="T183" i="16"/>
  <c r="S183" i="16"/>
  <c r="AP183" i="16"/>
  <c r="AA183" i="16"/>
  <c r="L185" i="16" l="1"/>
  <c r="K186" i="16"/>
  <c r="AK182" i="16"/>
  <c r="Y183" i="16"/>
  <c r="AJ183" i="16"/>
  <c r="AK183" i="16" s="1"/>
  <c r="AQ183" i="16"/>
  <c r="U183" i="16"/>
  <c r="AB183" i="16"/>
  <c r="AP184" i="16"/>
  <c r="AA184" i="16"/>
  <c r="S184" i="16"/>
  <c r="AI184" i="16"/>
  <c r="T184" i="16"/>
  <c r="X184" i="16"/>
  <c r="M184" i="16"/>
  <c r="N184" i="16" s="1"/>
  <c r="L186" i="16" l="1"/>
  <c r="K187" i="16"/>
  <c r="V183" i="16"/>
  <c r="Y184" i="16"/>
  <c r="AJ184" i="16"/>
  <c r="AB184" i="16"/>
  <c r="AQ184" i="16"/>
  <c r="U184" i="16"/>
  <c r="V184" i="16" s="1"/>
  <c r="X185" i="16"/>
  <c r="M185" i="16"/>
  <c r="N185" i="16" s="1"/>
  <c r="AI185" i="16"/>
  <c r="T185" i="16"/>
  <c r="S185" i="16"/>
  <c r="AP185" i="16"/>
  <c r="AA185" i="16"/>
  <c r="K188" i="16" l="1"/>
  <c r="L187" i="16"/>
  <c r="AK184" i="16"/>
  <c r="Y185" i="16"/>
  <c r="AJ185" i="16"/>
  <c r="U185" i="16"/>
  <c r="AQ185" i="16"/>
  <c r="AB185" i="16"/>
  <c r="AP186" i="16"/>
  <c r="AA186" i="16"/>
  <c r="S186" i="16"/>
  <c r="AI186" i="16"/>
  <c r="T186" i="16"/>
  <c r="X186" i="16"/>
  <c r="M186" i="16"/>
  <c r="N186" i="16" s="1"/>
  <c r="L188" i="16" l="1"/>
  <c r="K189" i="16"/>
  <c r="Y186" i="16"/>
  <c r="Z186" i="16" s="1"/>
  <c r="AQ186" i="16"/>
  <c r="AJ186" i="16"/>
  <c r="AB186" i="16"/>
  <c r="U186" i="16"/>
  <c r="X187" i="16"/>
  <c r="M187" i="16"/>
  <c r="N187" i="16" s="1"/>
  <c r="AI187" i="16"/>
  <c r="T187" i="16"/>
  <c r="S187" i="16"/>
  <c r="AP187" i="16"/>
  <c r="AA187" i="16"/>
  <c r="L189" i="16" l="1"/>
  <c r="K190" i="16"/>
  <c r="Y187" i="16"/>
  <c r="U187" i="16"/>
  <c r="AQ187" i="16"/>
  <c r="AJ187" i="16"/>
  <c r="AB187" i="16"/>
  <c r="AP188" i="16"/>
  <c r="AA188" i="16"/>
  <c r="S188" i="16"/>
  <c r="AI188" i="16"/>
  <c r="T188" i="16"/>
  <c r="X188" i="16"/>
  <c r="M188" i="16"/>
  <c r="N188" i="16" s="1"/>
  <c r="Z187" i="16" l="1"/>
  <c r="L190" i="16"/>
  <c r="K191" i="16"/>
  <c r="AC187" i="16"/>
  <c r="AK187" i="16"/>
  <c r="V187" i="16"/>
  <c r="Y188" i="16"/>
  <c r="Z188" i="16" s="1"/>
  <c r="AJ188" i="16"/>
  <c r="AQ188" i="16"/>
  <c r="AR188" i="16" s="1"/>
  <c r="U188" i="16"/>
  <c r="AB188" i="16"/>
  <c r="X189" i="16"/>
  <c r="M189" i="16"/>
  <c r="N189" i="16" s="1"/>
  <c r="AI189" i="16"/>
  <c r="AJ189" i="16" s="1"/>
  <c r="T189" i="16"/>
  <c r="S189" i="16"/>
  <c r="AP189" i="16"/>
  <c r="AA189" i="16"/>
  <c r="AK188" i="16" l="1"/>
  <c r="L191" i="16"/>
  <c r="K192" i="16"/>
  <c r="Y189" i="16"/>
  <c r="AB189" i="16"/>
  <c r="AQ189" i="16"/>
  <c r="U189" i="16"/>
  <c r="AP190" i="16"/>
  <c r="AA190" i="16"/>
  <c r="S190" i="16"/>
  <c r="AI190" i="16"/>
  <c r="T190" i="16"/>
  <c r="X190" i="16"/>
  <c r="M190" i="16"/>
  <c r="N190" i="16" s="1"/>
  <c r="K193" i="16" l="1"/>
  <c r="L192" i="16"/>
  <c r="Y190" i="16"/>
  <c r="AJ190" i="16"/>
  <c r="U190" i="16"/>
  <c r="AB190" i="16"/>
  <c r="AQ190" i="16"/>
  <c r="AR190" i="16" s="1"/>
  <c r="X191" i="16"/>
  <c r="M191" i="16"/>
  <c r="N191" i="16" s="1"/>
  <c r="AI191" i="16"/>
  <c r="T191" i="16"/>
  <c r="S191" i="16"/>
  <c r="AP191" i="16"/>
  <c r="AA191" i="16"/>
  <c r="K194" i="16" l="1"/>
  <c r="L193" i="16"/>
  <c r="AK190" i="16"/>
  <c r="Y191" i="16"/>
  <c r="AJ191" i="16"/>
  <c r="AB191" i="16"/>
  <c r="U191" i="16"/>
  <c r="AQ191" i="16"/>
  <c r="AP192" i="16"/>
  <c r="AA192" i="16"/>
  <c r="S192" i="16"/>
  <c r="AI192" i="16"/>
  <c r="T192" i="16"/>
  <c r="X192" i="16"/>
  <c r="M192" i="16"/>
  <c r="N192" i="16" s="1"/>
  <c r="K195" i="16" l="1"/>
  <c r="L194" i="16"/>
  <c r="Y192" i="16"/>
  <c r="AJ192" i="16"/>
  <c r="AB192" i="16"/>
  <c r="AQ192" i="16"/>
  <c r="AR192" i="16" s="1"/>
  <c r="U192" i="16"/>
  <c r="X193" i="16"/>
  <c r="M193" i="16"/>
  <c r="N193" i="16" s="1"/>
  <c r="AI193" i="16"/>
  <c r="T193" i="16"/>
  <c r="S193" i="16"/>
  <c r="AP193" i="16"/>
  <c r="AA193" i="16"/>
  <c r="K196" i="16" l="1"/>
  <c r="L195" i="16"/>
  <c r="AK192" i="16"/>
  <c r="Y193" i="16"/>
  <c r="Z193" i="16" s="1"/>
  <c r="AJ193" i="16"/>
  <c r="AK193" i="16" s="1"/>
  <c r="AQ193" i="16"/>
  <c r="U193" i="16"/>
  <c r="AB193" i="16"/>
  <c r="AP194" i="16"/>
  <c r="AA194" i="16"/>
  <c r="S194" i="16"/>
  <c r="AI194" i="16"/>
  <c r="T194" i="16"/>
  <c r="X194" i="16"/>
  <c r="Y194" i="16" s="1"/>
  <c r="Z194" i="16" s="1"/>
  <c r="M194" i="16"/>
  <c r="N194" i="16" s="1"/>
  <c r="K197" i="16" l="1"/>
  <c r="L196" i="16"/>
  <c r="AJ194" i="16"/>
  <c r="AK194" i="16" s="1"/>
  <c r="AQ194" i="16"/>
  <c r="U194" i="16"/>
  <c r="V194" i="16" s="1"/>
  <c r="AB194" i="16"/>
  <c r="AC194" i="16" s="1"/>
  <c r="X195" i="16"/>
  <c r="Y195" i="16" s="1"/>
  <c r="Z195" i="16" s="1"/>
  <c r="M195" i="16"/>
  <c r="N195" i="16" s="1"/>
  <c r="AI195" i="16"/>
  <c r="T195" i="16"/>
  <c r="S195" i="16"/>
  <c r="AP195" i="16"/>
  <c r="AA195" i="16"/>
  <c r="K198" i="16" l="1"/>
  <c r="L197" i="16"/>
  <c r="AJ195" i="16"/>
  <c r="AK195" i="16" s="1"/>
  <c r="AB195" i="16"/>
  <c r="U195" i="16"/>
  <c r="AQ195" i="16"/>
  <c r="AP196" i="16"/>
  <c r="AA196" i="16"/>
  <c r="S196" i="16"/>
  <c r="AI196" i="16"/>
  <c r="T196" i="16"/>
  <c r="X196" i="16"/>
  <c r="M196" i="16"/>
  <c r="N196" i="16" s="1"/>
  <c r="Y196" i="16" l="1"/>
  <c r="K199" i="16"/>
  <c r="L198" i="16"/>
  <c r="V195" i="16"/>
  <c r="AJ196" i="16"/>
  <c r="AK196" i="16" s="1"/>
  <c r="AQ196" i="16"/>
  <c r="AB196" i="16"/>
  <c r="U196" i="16"/>
  <c r="X197" i="16"/>
  <c r="M197" i="16"/>
  <c r="N197" i="16" s="1"/>
  <c r="AI197" i="16"/>
  <c r="T197" i="16"/>
  <c r="S197" i="16"/>
  <c r="AP197" i="16"/>
  <c r="AA197" i="16"/>
  <c r="L199" i="16" l="1"/>
  <c r="K200" i="16"/>
  <c r="Y197" i="16"/>
  <c r="Z197" i="16" s="1"/>
  <c r="AJ197" i="16"/>
  <c r="AK197" i="16" s="1"/>
  <c r="AQ197" i="16"/>
  <c r="U197" i="16"/>
  <c r="AB197" i="16"/>
  <c r="AP198" i="16"/>
  <c r="AA198" i="16"/>
  <c r="S198" i="16"/>
  <c r="AI198" i="16"/>
  <c r="T198" i="16"/>
  <c r="X198" i="16"/>
  <c r="Y198" i="16" s="1"/>
  <c r="Z198" i="16" s="1"/>
  <c r="M198" i="16"/>
  <c r="N198" i="16" s="1"/>
  <c r="K201" i="16" l="1"/>
  <c r="L200" i="16"/>
  <c r="AJ198" i="16"/>
  <c r="AK198" i="16" s="1"/>
  <c r="U198" i="16"/>
  <c r="AB198" i="16"/>
  <c r="AC198" i="16" s="1"/>
  <c r="AQ198" i="16"/>
  <c r="AR198" i="16" s="1"/>
  <c r="X199" i="16"/>
  <c r="M199" i="16"/>
  <c r="N199" i="16" s="1"/>
  <c r="AI199" i="16"/>
  <c r="T199" i="16"/>
  <c r="S199" i="16"/>
  <c r="AP199" i="16"/>
  <c r="AA199" i="16"/>
  <c r="Y199" i="16" l="1"/>
  <c r="V198" i="16"/>
  <c r="K202" i="16"/>
  <c r="L201" i="16"/>
  <c r="U199" i="16"/>
  <c r="AB199" i="16"/>
  <c r="AJ199" i="16"/>
  <c r="AK199" i="16" s="1"/>
  <c r="AQ199" i="16"/>
  <c r="AP200" i="16"/>
  <c r="AA200" i="16"/>
  <c r="S200" i="16"/>
  <c r="AI200" i="16"/>
  <c r="T200" i="16"/>
  <c r="X200" i="16"/>
  <c r="M200" i="16"/>
  <c r="N200" i="16" s="1"/>
  <c r="L202" i="16" l="1"/>
  <c r="K203" i="16"/>
  <c r="Y200" i="16"/>
  <c r="AJ200" i="16"/>
  <c r="AK200" i="16" s="1"/>
  <c r="AB200" i="16"/>
  <c r="U200" i="16"/>
  <c r="V200" i="16" s="1"/>
  <c r="AQ200" i="16"/>
  <c r="X201" i="16"/>
  <c r="M201" i="16"/>
  <c r="N201" i="16" s="1"/>
  <c r="AI201" i="16"/>
  <c r="T201" i="16"/>
  <c r="S201" i="16"/>
  <c r="AP201" i="16"/>
  <c r="AA201" i="16"/>
  <c r="K204" i="16" l="1"/>
  <c r="L203" i="16"/>
  <c r="Y201" i="16"/>
  <c r="U201" i="16"/>
  <c r="AQ201" i="16"/>
  <c r="AJ201" i="16"/>
  <c r="AK201" i="16" s="1"/>
  <c r="AB201" i="16"/>
  <c r="AP202" i="16"/>
  <c r="AA202" i="16"/>
  <c r="S202" i="16"/>
  <c r="AI202" i="16"/>
  <c r="T202" i="16"/>
  <c r="X202" i="16"/>
  <c r="M202" i="16"/>
  <c r="N202" i="16" s="1"/>
  <c r="AJ202" i="16" l="1"/>
  <c r="L204" i="16"/>
  <c r="K205" i="16"/>
  <c r="Y202" i="16"/>
  <c r="AQ202" i="16"/>
  <c r="AB202" i="16"/>
  <c r="U202" i="16"/>
  <c r="X203" i="16"/>
  <c r="AP203" i="16"/>
  <c r="M203" i="16"/>
  <c r="N203" i="16" s="1"/>
  <c r="AA203" i="16"/>
  <c r="S203" i="16"/>
  <c r="T203" i="16"/>
  <c r="AI203" i="16"/>
  <c r="K206" i="16" l="1"/>
  <c r="L205" i="16"/>
  <c r="AJ203" i="16"/>
  <c r="AK203" i="16" s="1"/>
  <c r="Y203" i="16"/>
  <c r="Z203" i="16" s="1"/>
  <c r="AB203" i="16"/>
  <c r="U203" i="16"/>
  <c r="AQ203" i="16"/>
  <c r="AP204" i="16"/>
  <c r="AA204" i="16"/>
  <c r="S204" i="16"/>
  <c r="AI204" i="16"/>
  <c r="T204" i="16"/>
  <c r="X204" i="16"/>
  <c r="M204" i="16"/>
  <c r="N204" i="16" s="1"/>
  <c r="AC203" i="16" l="1"/>
  <c r="K207" i="16"/>
  <c r="L206" i="16"/>
  <c r="V203" i="16"/>
  <c r="Y204" i="16"/>
  <c r="AJ204" i="16"/>
  <c r="AK204" i="16" s="1"/>
  <c r="U204" i="16"/>
  <c r="AB204" i="16"/>
  <c r="AQ204" i="16"/>
  <c r="X205" i="16"/>
  <c r="M205" i="16"/>
  <c r="N205" i="16" s="1"/>
  <c r="AI205" i="16"/>
  <c r="AJ205" i="16" s="1"/>
  <c r="AK205" i="16" s="1"/>
  <c r="T205" i="16"/>
  <c r="S205" i="16"/>
  <c r="AP205" i="16"/>
  <c r="AA205" i="16"/>
  <c r="AR204" i="16" l="1"/>
  <c r="K208" i="16"/>
  <c r="L207" i="16"/>
  <c r="Y205" i="16"/>
  <c r="Z205" i="16" s="1"/>
  <c r="U205" i="16"/>
  <c r="AQ205" i="16"/>
  <c r="AR205" i="16" s="1"/>
  <c r="AB205" i="16"/>
  <c r="AP206" i="16"/>
  <c r="AA206" i="16"/>
  <c r="S206" i="16"/>
  <c r="AI206" i="16"/>
  <c r="T206" i="16"/>
  <c r="X206" i="16"/>
  <c r="M206" i="16"/>
  <c r="N206" i="16" s="1"/>
  <c r="K209" i="16" l="1"/>
  <c r="L208" i="16"/>
  <c r="U206" i="16"/>
  <c r="Y206" i="16"/>
  <c r="AJ206" i="16"/>
  <c r="AQ206" i="16"/>
  <c r="AB206" i="16"/>
  <c r="X207" i="16"/>
  <c r="M207" i="16"/>
  <c r="N207" i="16" s="1"/>
  <c r="AI207" i="16"/>
  <c r="T207" i="16"/>
  <c r="S207" i="16"/>
  <c r="AP207" i="16"/>
  <c r="AA207" i="16"/>
  <c r="AK206" i="16" l="1"/>
  <c r="Y207" i="16"/>
  <c r="K210" i="16"/>
  <c r="L209" i="16"/>
  <c r="Z206" i="16"/>
  <c r="U207" i="16"/>
  <c r="AQ207" i="16"/>
  <c r="AR207" i="16" s="1"/>
  <c r="AJ207" i="16"/>
  <c r="AK207" i="16" s="1"/>
  <c r="AB207" i="16"/>
  <c r="AP208" i="16"/>
  <c r="AA208" i="16"/>
  <c r="S208" i="16"/>
  <c r="AI208" i="16"/>
  <c r="T208" i="16"/>
  <c r="X208" i="16"/>
  <c r="M208" i="16"/>
  <c r="N208" i="16" s="1"/>
  <c r="AJ208" i="16" l="1"/>
  <c r="K211" i="16"/>
  <c r="L210" i="16"/>
  <c r="Y208" i="16"/>
  <c r="U208" i="16"/>
  <c r="AQ208" i="16"/>
  <c r="AB208" i="16"/>
  <c r="X209" i="16"/>
  <c r="M209" i="16"/>
  <c r="N209" i="16" s="1"/>
  <c r="AI209" i="16"/>
  <c r="AJ209" i="16" s="1"/>
  <c r="AK209" i="16" s="1"/>
  <c r="T209" i="16"/>
  <c r="S209" i="16"/>
  <c r="AP209" i="16"/>
  <c r="AA209" i="16"/>
  <c r="L211" i="16" l="1"/>
  <c r="K212" i="16"/>
  <c r="V208" i="16"/>
  <c r="U209" i="16"/>
  <c r="AQ209" i="16"/>
  <c r="AR209" i="16" s="1"/>
  <c r="Y209" i="16"/>
  <c r="AB209" i="16"/>
  <c r="AP210" i="16"/>
  <c r="AA210" i="16"/>
  <c r="S210" i="16"/>
  <c r="AI210" i="16"/>
  <c r="T210" i="16"/>
  <c r="X210" i="16"/>
  <c r="Y210" i="16" s="1"/>
  <c r="M210" i="16"/>
  <c r="N210" i="16" s="1"/>
  <c r="E86" i="8"/>
  <c r="Y86" i="8" s="1"/>
  <c r="K213" i="16" l="1"/>
  <c r="L212" i="16"/>
  <c r="AJ210" i="16"/>
  <c r="AQ210" i="16"/>
  <c r="U210" i="16"/>
  <c r="AB210" i="16"/>
  <c r="X211" i="16"/>
  <c r="M211" i="16"/>
  <c r="N211" i="16" s="1"/>
  <c r="AI211" i="16"/>
  <c r="T211" i="16"/>
  <c r="S211" i="16"/>
  <c r="AP211" i="16"/>
  <c r="AA211" i="16"/>
  <c r="AK210" i="16" l="1"/>
  <c r="L213" i="16"/>
  <c r="K214" i="16"/>
  <c r="Y211" i="16"/>
  <c r="AQ211" i="16"/>
  <c r="AJ211" i="16"/>
  <c r="AK211" i="16" s="1"/>
  <c r="AB211" i="16"/>
  <c r="U211" i="16"/>
  <c r="AP212" i="16"/>
  <c r="AQ212" i="16" s="1"/>
  <c r="AR212" i="16" s="1"/>
  <c r="AA212" i="16"/>
  <c r="S212" i="16"/>
  <c r="AI212" i="16"/>
  <c r="AJ212" i="16" s="1"/>
  <c r="AK212" i="16" s="1"/>
  <c r="T212" i="16"/>
  <c r="U212" i="16" s="1"/>
  <c r="V212" i="16" s="1"/>
  <c r="X212" i="16"/>
  <c r="Y212" i="16" s="1"/>
  <c r="Z212" i="16" s="1"/>
  <c r="M212" i="16"/>
  <c r="N212" i="16" s="1"/>
  <c r="V211" i="16" l="1"/>
  <c r="K215" i="16"/>
  <c r="L214" i="16"/>
  <c r="Z211" i="16"/>
  <c r="AB212" i="16"/>
  <c r="X213" i="16"/>
  <c r="Y213" i="16" s="1"/>
  <c r="Z213" i="16" s="1"/>
  <c r="M213" i="16"/>
  <c r="AI213" i="16"/>
  <c r="AJ213" i="16" s="1"/>
  <c r="AK213" i="16" s="1"/>
  <c r="T213" i="16"/>
  <c r="U213" i="16" s="1"/>
  <c r="V213" i="16" s="1"/>
  <c r="S213" i="16"/>
  <c r="AP213" i="16"/>
  <c r="AQ213" i="16" s="1"/>
  <c r="AA213" i="16"/>
  <c r="AB213" i="16" s="1"/>
  <c r="AC213" i="16" s="1"/>
  <c r="N213" i="16"/>
  <c r="K216" i="16" l="1"/>
  <c r="L215" i="16"/>
  <c r="AC212" i="16"/>
  <c r="AR213" i="16"/>
  <c r="AP214" i="16"/>
  <c r="AA214" i="16"/>
  <c r="S214" i="16"/>
  <c r="AI214" i="16"/>
  <c r="T214" i="16"/>
  <c r="U214" i="16" s="1"/>
  <c r="X214" i="16"/>
  <c r="Y214" i="16" s="1"/>
  <c r="Z214" i="16" s="1"/>
  <c r="M214" i="16"/>
  <c r="N214" i="16" s="1"/>
  <c r="K217" i="16" l="1"/>
  <c r="L216" i="16"/>
  <c r="V214" i="16"/>
  <c r="AJ214" i="16"/>
  <c r="AQ214" i="16"/>
  <c r="AB214" i="16"/>
  <c r="X215" i="16"/>
  <c r="Y215" i="16" s="1"/>
  <c r="Z215" i="16" s="1"/>
  <c r="M215" i="16"/>
  <c r="AI215" i="16"/>
  <c r="AJ215" i="16" s="1"/>
  <c r="AK215" i="16" s="1"/>
  <c r="T215" i="16"/>
  <c r="U215" i="16" s="1"/>
  <c r="S215" i="16"/>
  <c r="AP215" i="16"/>
  <c r="AQ215" i="16" s="1"/>
  <c r="AR215" i="16" s="1"/>
  <c r="AA215" i="16"/>
  <c r="AB215" i="16" s="1"/>
  <c r="AC215" i="16" s="1"/>
  <c r="N215" i="16"/>
  <c r="AK214" i="16" l="1"/>
  <c r="V215" i="16"/>
  <c r="K218" i="16"/>
  <c r="L217" i="16"/>
  <c r="AC214" i="16"/>
  <c r="AR214" i="16"/>
  <c r="AP216" i="16"/>
  <c r="AQ216" i="16" s="1"/>
  <c r="AR216" i="16" s="1"/>
  <c r="AA216" i="16"/>
  <c r="S216" i="16"/>
  <c r="AI216" i="16"/>
  <c r="AJ216" i="16" s="1"/>
  <c r="AK216" i="16" s="1"/>
  <c r="T216" i="16"/>
  <c r="U216" i="16" s="1"/>
  <c r="X216" i="16"/>
  <c r="Y216" i="16" s="1"/>
  <c r="Z216" i="16" s="1"/>
  <c r="M216" i="16"/>
  <c r="N216" i="16" s="1"/>
  <c r="K219" i="16" l="1"/>
  <c r="L218" i="16"/>
  <c r="V216" i="16"/>
  <c r="AB216" i="16"/>
  <c r="X217" i="16"/>
  <c r="Y217" i="16" s="1"/>
  <c r="Z217" i="16" s="1"/>
  <c r="M217" i="16"/>
  <c r="AI217" i="16"/>
  <c r="AJ217" i="16" s="1"/>
  <c r="AK217" i="16" s="1"/>
  <c r="T217" i="16"/>
  <c r="U217" i="16" s="1"/>
  <c r="V217" i="16" s="1"/>
  <c r="S217" i="16"/>
  <c r="AP217" i="16"/>
  <c r="AQ217" i="16" s="1"/>
  <c r="AA217" i="16"/>
  <c r="AB217" i="16" s="1"/>
  <c r="AC217" i="16" s="1"/>
  <c r="N217" i="16"/>
  <c r="L219" i="16" l="1"/>
  <c r="K220" i="16"/>
  <c r="AC216" i="16"/>
  <c r="AR217" i="16"/>
  <c r="AP218" i="16"/>
  <c r="AQ218" i="16" s="1"/>
  <c r="AR218" i="16" s="1"/>
  <c r="AA218" i="16"/>
  <c r="S218" i="16"/>
  <c r="AI218" i="16"/>
  <c r="AJ218" i="16" s="1"/>
  <c r="AK218" i="16" s="1"/>
  <c r="T218" i="16"/>
  <c r="U218" i="16" s="1"/>
  <c r="V218" i="16" s="1"/>
  <c r="X218" i="16"/>
  <c r="Y218" i="16" s="1"/>
  <c r="Z218" i="16" s="1"/>
  <c r="M218" i="16"/>
  <c r="N218" i="16" s="1"/>
  <c r="K221" i="16" l="1"/>
  <c r="L220" i="16"/>
  <c r="AB218" i="16"/>
  <c r="X219" i="16"/>
  <c r="Y219" i="16" s="1"/>
  <c r="Z219" i="16" s="1"/>
  <c r="M219" i="16"/>
  <c r="AI219" i="16"/>
  <c r="AJ219" i="16" s="1"/>
  <c r="AK219" i="16" s="1"/>
  <c r="T219" i="16"/>
  <c r="U219" i="16" s="1"/>
  <c r="V219" i="16" s="1"/>
  <c r="S219" i="16"/>
  <c r="AP219" i="16"/>
  <c r="AQ219" i="16" s="1"/>
  <c r="AA219" i="16"/>
  <c r="AB219" i="16" s="1"/>
  <c r="AC219" i="16" s="1"/>
  <c r="N219" i="16"/>
  <c r="AC218" i="16" l="1"/>
  <c r="K222" i="16"/>
  <c r="L221" i="16"/>
  <c r="AR219" i="16"/>
  <c r="AP220" i="16"/>
  <c r="AQ220" i="16" s="1"/>
  <c r="AR220" i="16" s="1"/>
  <c r="AA220" i="16"/>
  <c r="S220" i="16"/>
  <c r="AI220" i="16"/>
  <c r="AJ220" i="16" s="1"/>
  <c r="AK220" i="16" s="1"/>
  <c r="T220" i="16"/>
  <c r="U220" i="16" s="1"/>
  <c r="V220" i="16" s="1"/>
  <c r="X220" i="16"/>
  <c r="Y220" i="16" s="1"/>
  <c r="Z220" i="16" s="1"/>
  <c r="M220" i="16"/>
  <c r="N220" i="16" s="1"/>
  <c r="K223" i="16" l="1"/>
  <c r="L222" i="16"/>
  <c r="AB220" i="16"/>
  <c r="AC220" i="16" s="1"/>
  <c r="X221" i="16"/>
  <c r="Y221" i="16" s="1"/>
  <c r="Z221" i="16" s="1"/>
  <c r="M221" i="16"/>
  <c r="AI221" i="16"/>
  <c r="AJ221" i="16" s="1"/>
  <c r="AK221" i="16" s="1"/>
  <c r="T221" i="16"/>
  <c r="U221" i="16" s="1"/>
  <c r="V221" i="16" s="1"/>
  <c r="S221" i="16"/>
  <c r="AP221" i="16"/>
  <c r="AQ221" i="16" s="1"/>
  <c r="AA221" i="16"/>
  <c r="AB221" i="16" s="1"/>
  <c r="AC221" i="16" s="1"/>
  <c r="N221" i="16"/>
  <c r="L223" i="16" l="1"/>
  <c r="K224" i="16"/>
  <c r="AR221" i="16"/>
  <c r="AP222" i="16"/>
  <c r="AQ222" i="16" s="1"/>
  <c r="AR222" i="16" s="1"/>
  <c r="AA222" i="16"/>
  <c r="AB222" i="16" s="1"/>
  <c r="AC222" i="16" s="1"/>
  <c r="S222" i="16"/>
  <c r="AI222" i="16"/>
  <c r="AJ222" i="16" s="1"/>
  <c r="AK222" i="16" s="1"/>
  <c r="T222" i="16"/>
  <c r="X222" i="16"/>
  <c r="Y222" i="16" s="1"/>
  <c r="Z222" i="16" s="1"/>
  <c r="M222" i="16"/>
  <c r="N222" i="16" s="1"/>
  <c r="K225" i="16" l="1"/>
  <c r="L224" i="16"/>
  <c r="U222" i="16"/>
  <c r="V222" i="16" s="1"/>
  <c r="X223" i="16"/>
  <c r="Y223" i="16" s="1"/>
  <c r="Z223" i="16" s="1"/>
  <c r="M223" i="16"/>
  <c r="AI223" i="16"/>
  <c r="AJ223" i="16" s="1"/>
  <c r="AK223" i="16" s="1"/>
  <c r="T223" i="16"/>
  <c r="U223" i="16" s="1"/>
  <c r="V223" i="16" s="1"/>
  <c r="S223" i="16"/>
  <c r="AP223" i="16"/>
  <c r="AQ223" i="16" s="1"/>
  <c r="AR223" i="16" s="1"/>
  <c r="AA223" i="16"/>
  <c r="AB223" i="16" s="1"/>
  <c r="AC223" i="16" s="1"/>
  <c r="N223" i="16"/>
  <c r="L225" i="16" l="1"/>
  <c r="K226" i="16"/>
  <c r="AP224" i="16"/>
  <c r="AQ224" i="16" s="1"/>
  <c r="AR224" i="16" s="1"/>
  <c r="AA224" i="16"/>
  <c r="S224" i="16"/>
  <c r="AI224" i="16"/>
  <c r="AJ224" i="16" s="1"/>
  <c r="AK224" i="16" s="1"/>
  <c r="T224" i="16"/>
  <c r="U224" i="16" s="1"/>
  <c r="V224" i="16" s="1"/>
  <c r="X224" i="16"/>
  <c r="Y224" i="16" s="1"/>
  <c r="Z224" i="16" s="1"/>
  <c r="M224" i="16"/>
  <c r="N224" i="16" s="1"/>
  <c r="K227" i="16" l="1"/>
  <c r="L226" i="16"/>
  <c r="AB224" i="16"/>
  <c r="AC224" i="16" s="1"/>
  <c r="X225" i="16"/>
  <c r="Y225" i="16" s="1"/>
  <c r="Z225" i="16" s="1"/>
  <c r="M225" i="16"/>
  <c r="AI225" i="16"/>
  <c r="AJ225" i="16" s="1"/>
  <c r="AK225" i="16" s="1"/>
  <c r="T225" i="16"/>
  <c r="U225" i="16" s="1"/>
  <c r="V225" i="16" s="1"/>
  <c r="S225" i="16"/>
  <c r="AP225" i="16"/>
  <c r="AQ225" i="16" s="1"/>
  <c r="AR225" i="16" s="1"/>
  <c r="AA225" i="16"/>
  <c r="AB225" i="16" s="1"/>
  <c r="AC225" i="16" s="1"/>
  <c r="N225" i="16"/>
  <c r="K228" i="16" l="1"/>
  <c r="L227" i="16"/>
  <c r="AP226" i="16"/>
  <c r="AQ226" i="16" s="1"/>
  <c r="AR226" i="16" s="1"/>
  <c r="AA226" i="16"/>
  <c r="S226" i="16"/>
  <c r="AI226" i="16"/>
  <c r="AJ226" i="16" s="1"/>
  <c r="AK226" i="16" s="1"/>
  <c r="T226" i="16"/>
  <c r="U226" i="16" s="1"/>
  <c r="V226" i="16" s="1"/>
  <c r="X226" i="16"/>
  <c r="Y226" i="16" s="1"/>
  <c r="Z226" i="16" s="1"/>
  <c r="M226" i="16"/>
  <c r="N226" i="16" s="1"/>
  <c r="K229" i="16" l="1"/>
  <c r="L228" i="16"/>
  <c r="AB226" i="16"/>
  <c r="AC226" i="16" s="1"/>
  <c r="X227" i="16"/>
  <c r="Y227" i="16" s="1"/>
  <c r="Z227" i="16" s="1"/>
  <c r="M227" i="16"/>
  <c r="AI227" i="16"/>
  <c r="AJ227" i="16" s="1"/>
  <c r="AK227" i="16" s="1"/>
  <c r="T227" i="16"/>
  <c r="U227" i="16" s="1"/>
  <c r="V227" i="16" s="1"/>
  <c r="S227" i="16"/>
  <c r="AP227" i="16"/>
  <c r="AQ227" i="16" s="1"/>
  <c r="AR227" i="16" s="1"/>
  <c r="AA227" i="16"/>
  <c r="AB227" i="16" s="1"/>
  <c r="AC227" i="16" s="1"/>
  <c r="N227" i="16"/>
  <c r="L229" i="16" l="1"/>
  <c r="K230" i="16"/>
  <c r="AP228" i="16"/>
  <c r="AA228" i="16"/>
  <c r="S228" i="16"/>
  <c r="AI228" i="16"/>
  <c r="AJ228" i="16" s="1"/>
  <c r="AK228" i="16" s="1"/>
  <c r="T228" i="16"/>
  <c r="U228" i="16" s="1"/>
  <c r="V228" i="16" s="1"/>
  <c r="X228" i="16"/>
  <c r="Y228" i="16" s="1"/>
  <c r="Z228" i="16" s="1"/>
  <c r="M228" i="16"/>
  <c r="N228" i="16" s="1"/>
  <c r="K231" i="16" l="1"/>
  <c r="L230" i="16"/>
  <c r="AB228" i="16"/>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K232" i="16" l="1"/>
  <c r="L231" i="16"/>
  <c r="AP230" i="16"/>
  <c r="AA230" i="16"/>
  <c r="S230" i="16"/>
  <c r="AI230" i="16"/>
  <c r="T230" i="16"/>
  <c r="U230" i="16" s="1"/>
  <c r="V230" i="16" s="1"/>
  <c r="X230" i="16"/>
  <c r="Y230" i="16" s="1"/>
  <c r="Z230" i="16" s="1"/>
  <c r="M230" i="16"/>
  <c r="N230" i="16" s="1"/>
  <c r="K233" i="16" l="1"/>
  <c r="L232" i="16"/>
  <c r="AB230" i="16"/>
  <c r="AC230" i="16" s="1"/>
  <c r="AJ230" i="16"/>
  <c r="AK230" i="16" s="1"/>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K234" i="16" l="1"/>
  <c r="L233" i="16"/>
  <c r="AP232" i="16"/>
  <c r="AQ232" i="16" s="1"/>
  <c r="AR232" i="16" s="1"/>
  <c r="AA232" i="16"/>
  <c r="AB232" i="16" s="1"/>
  <c r="AC232" i="16" s="1"/>
  <c r="S232" i="16"/>
  <c r="AI232" i="16"/>
  <c r="AJ232" i="16" s="1"/>
  <c r="AK232" i="16" s="1"/>
  <c r="T232" i="16"/>
  <c r="X232" i="16"/>
  <c r="Y232" i="16" s="1"/>
  <c r="Z232" i="16" s="1"/>
  <c r="M232" i="16"/>
  <c r="N232" i="16" s="1"/>
  <c r="K235" i="16" l="1"/>
  <c r="L234" i="16"/>
  <c r="U232" i="16"/>
  <c r="V232" i="16" s="1"/>
  <c r="X233" i="16"/>
  <c r="Y233" i="16" s="1"/>
  <c r="Z233" i="16" s="1"/>
  <c r="M233" i="16"/>
  <c r="AI233" i="16"/>
  <c r="AJ233" i="16" s="1"/>
  <c r="AK233" i="16" s="1"/>
  <c r="T233" i="16"/>
  <c r="U233" i="16" s="1"/>
  <c r="V233" i="16" s="1"/>
  <c r="S233" i="16"/>
  <c r="AP233" i="16"/>
  <c r="AQ233" i="16" s="1"/>
  <c r="AR233" i="16" s="1"/>
  <c r="AA233" i="16"/>
  <c r="AB233" i="16" s="1"/>
  <c r="AC233" i="16" s="1"/>
  <c r="N233" i="16"/>
  <c r="L235" i="16" l="1"/>
  <c r="K236" i="16"/>
  <c r="AP234" i="16"/>
  <c r="AQ234" i="16" s="1"/>
  <c r="AR234" i="16" s="1"/>
  <c r="AA234" i="16"/>
  <c r="S234" i="16"/>
  <c r="AI234" i="16"/>
  <c r="AJ234" i="16" s="1"/>
  <c r="AK234" i="16" s="1"/>
  <c r="T234" i="16"/>
  <c r="U234" i="16" s="1"/>
  <c r="V234" i="16" s="1"/>
  <c r="X234" i="16"/>
  <c r="Y234" i="16" s="1"/>
  <c r="Z234" i="16" s="1"/>
  <c r="M234" i="16"/>
  <c r="N234" i="16" s="1"/>
  <c r="K237" i="16" l="1"/>
  <c r="L236" i="16"/>
  <c r="AB234" i="16"/>
  <c r="AC234" i="16" s="1"/>
  <c r="X235" i="16"/>
  <c r="Y235" i="16" s="1"/>
  <c r="Z235" i="16" s="1"/>
  <c r="M235" i="16"/>
  <c r="AI235" i="16"/>
  <c r="AJ235" i="16" s="1"/>
  <c r="AK235" i="16" s="1"/>
  <c r="T235" i="16"/>
  <c r="U235" i="16" s="1"/>
  <c r="V235" i="16" s="1"/>
  <c r="S235" i="16"/>
  <c r="AP235" i="16"/>
  <c r="AQ235" i="16" s="1"/>
  <c r="AR235" i="16" s="1"/>
  <c r="AA235" i="16"/>
  <c r="AB235" i="16" s="1"/>
  <c r="AC235" i="16" s="1"/>
  <c r="N235" i="16"/>
  <c r="K238" i="16" l="1"/>
  <c r="L237" i="16"/>
  <c r="AP236" i="16"/>
  <c r="AQ236" i="16" s="1"/>
  <c r="AR236" i="16" s="1"/>
  <c r="AA236" i="16"/>
  <c r="S236" i="16"/>
  <c r="AI236" i="16"/>
  <c r="AJ236" i="16" s="1"/>
  <c r="AK236" i="16" s="1"/>
  <c r="T236" i="16"/>
  <c r="U236" i="16" s="1"/>
  <c r="V236" i="16" s="1"/>
  <c r="X236" i="16"/>
  <c r="Y236" i="16" s="1"/>
  <c r="Z236" i="16" s="1"/>
  <c r="M236" i="16"/>
  <c r="N236" i="16" s="1"/>
  <c r="K239" i="16" l="1"/>
  <c r="L238" i="16"/>
  <c r="AB236" i="16"/>
  <c r="AC236" i="16" s="1"/>
  <c r="X237" i="16"/>
  <c r="Y237" i="16" s="1"/>
  <c r="Z237" i="16" s="1"/>
  <c r="M237" i="16"/>
  <c r="AI237" i="16"/>
  <c r="AJ237" i="16" s="1"/>
  <c r="AK237" i="16" s="1"/>
  <c r="T237" i="16"/>
  <c r="U237" i="16" s="1"/>
  <c r="V237" i="16" s="1"/>
  <c r="S237" i="16"/>
  <c r="AP237" i="16"/>
  <c r="AQ237" i="16" s="1"/>
  <c r="AR237" i="16" s="1"/>
  <c r="AA237" i="16"/>
  <c r="AB237" i="16" s="1"/>
  <c r="AC237" i="16" s="1"/>
  <c r="N237" i="16"/>
  <c r="K240" i="16" l="1"/>
  <c r="L239" i="16"/>
  <c r="AP238" i="16"/>
  <c r="AQ238" i="16" s="1"/>
  <c r="AR238" i="16" s="1"/>
  <c r="AA238" i="16"/>
  <c r="AB238" i="16" s="1"/>
  <c r="AC238" i="16" s="1"/>
  <c r="S238" i="16"/>
  <c r="AI238" i="16"/>
  <c r="AJ238" i="16" s="1"/>
  <c r="AK238" i="16" s="1"/>
  <c r="T238" i="16"/>
  <c r="X238" i="16"/>
  <c r="Y238" i="16" s="1"/>
  <c r="Z238" i="16" s="1"/>
  <c r="M238" i="16"/>
  <c r="N238" i="16" s="1"/>
  <c r="L240" i="16" l="1"/>
  <c r="K241" i="16"/>
  <c r="U238" i="16"/>
  <c r="V238" i="16" s="1"/>
  <c r="X239" i="16"/>
  <c r="Y239" i="16" s="1"/>
  <c r="Z239" i="16" s="1"/>
  <c r="M239" i="16"/>
  <c r="AI239" i="16"/>
  <c r="AJ239" i="16" s="1"/>
  <c r="AK239" i="16" s="1"/>
  <c r="T239" i="16"/>
  <c r="U239" i="16" s="1"/>
  <c r="V239" i="16" s="1"/>
  <c r="S239" i="16"/>
  <c r="AP239" i="16"/>
  <c r="AQ239" i="16" s="1"/>
  <c r="AR239" i="16" s="1"/>
  <c r="AA239" i="16"/>
  <c r="AB239" i="16" s="1"/>
  <c r="AC239" i="16" s="1"/>
  <c r="N239" i="16"/>
  <c r="K242" i="16" l="1"/>
  <c r="L241" i="16"/>
  <c r="AP240" i="16"/>
  <c r="AQ240" i="16" s="1"/>
  <c r="AR240" i="16" s="1"/>
  <c r="AA240" i="16"/>
  <c r="AB240" i="16" s="1"/>
  <c r="AC240" i="16" s="1"/>
  <c r="S240" i="16"/>
  <c r="AI240" i="16"/>
  <c r="AJ240" i="16" s="1"/>
  <c r="AK240" i="16" s="1"/>
  <c r="T240" i="16"/>
  <c r="X240" i="16"/>
  <c r="Y240" i="16" s="1"/>
  <c r="Z240" i="16" s="1"/>
  <c r="M240" i="16"/>
  <c r="N240" i="16" s="1"/>
  <c r="L242" i="16" l="1"/>
  <c r="K243" i="16"/>
  <c r="U240" i="16"/>
  <c r="V240" i="16" s="1"/>
  <c r="X241" i="16"/>
  <c r="Y241" i="16" s="1"/>
  <c r="Z241" i="16" s="1"/>
  <c r="M241" i="16"/>
  <c r="AI241" i="16"/>
  <c r="AJ241" i="16" s="1"/>
  <c r="AK241" i="16" s="1"/>
  <c r="T241" i="16"/>
  <c r="U241" i="16" s="1"/>
  <c r="V241" i="16" s="1"/>
  <c r="S241" i="16"/>
  <c r="AP241" i="16"/>
  <c r="AQ241" i="16" s="1"/>
  <c r="AR241" i="16" s="1"/>
  <c r="AA241" i="16"/>
  <c r="AB241" i="16" s="1"/>
  <c r="AC241" i="16" s="1"/>
  <c r="N241" i="16"/>
  <c r="K244" i="16" l="1"/>
  <c r="L243" i="16"/>
  <c r="AP242" i="16"/>
  <c r="AQ242" i="16" s="1"/>
  <c r="AR242" i="16" s="1"/>
  <c r="AA242" i="16"/>
  <c r="AB242" i="16" s="1"/>
  <c r="AC242" i="16" s="1"/>
  <c r="S242" i="16"/>
  <c r="AI242" i="16"/>
  <c r="AJ242" i="16" s="1"/>
  <c r="AK242" i="16" s="1"/>
  <c r="T242" i="16"/>
  <c r="U242" i="16" s="1"/>
  <c r="V242" i="16" s="1"/>
  <c r="X242" i="16"/>
  <c r="Y242" i="16" s="1"/>
  <c r="Z242" i="16" s="1"/>
  <c r="M242" i="16"/>
  <c r="N242" i="16" s="1"/>
  <c r="L244" i="16" l="1"/>
  <c r="K245" i="16"/>
  <c r="X243" i="16"/>
  <c r="Y243" i="16" s="1"/>
  <c r="Z243" i="16" s="1"/>
  <c r="M243" i="16"/>
  <c r="AI243" i="16"/>
  <c r="AJ243" i="16" s="1"/>
  <c r="AK243" i="16" s="1"/>
  <c r="T243" i="16"/>
  <c r="U243" i="16" s="1"/>
  <c r="V243" i="16" s="1"/>
  <c r="S243" i="16"/>
  <c r="AP243" i="16"/>
  <c r="AQ243" i="16" s="1"/>
  <c r="AR243" i="16" s="1"/>
  <c r="AA243" i="16"/>
  <c r="AB243" i="16" s="1"/>
  <c r="AC243" i="16" s="1"/>
  <c r="N243" i="16"/>
  <c r="L245" i="16" l="1"/>
  <c r="K246" i="16"/>
  <c r="AP244" i="16"/>
  <c r="AQ244" i="16" s="1"/>
  <c r="AR244" i="16" s="1"/>
  <c r="AA244" i="16"/>
  <c r="S244" i="16"/>
  <c r="AI244" i="16"/>
  <c r="AJ244" i="16" s="1"/>
  <c r="AK244" i="16" s="1"/>
  <c r="T244" i="16"/>
  <c r="U244" i="16" s="1"/>
  <c r="V244" i="16" s="1"/>
  <c r="X244" i="16"/>
  <c r="Y244" i="16" s="1"/>
  <c r="Z244" i="16" s="1"/>
  <c r="M244" i="16"/>
  <c r="N244" i="16" s="1"/>
  <c r="L246" i="16" l="1"/>
  <c r="K247" i="16"/>
  <c r="AB244" i="16"/>
  <c r="AC244" i="16" s="1"/>
  <c r="X245" i="16"/>
  <c r="Y245" i="16" s="1"/>
  <c r="Z245" i="16" s="1"/>
  <c r="M245" i="16"/>
  <c r="AI245" i="16"/>
  <c r="AJ245" i="16" s="1"/>
  <c r="AK245" i="16" s="1"/>
  <c r="T245" i="16"/>
  <c r="U245" i="16" s="1"/>
  <c r="V245" i="16" s="1"/>
  <c r="S245" i="16"/>
  <c r="AP245" i="16"/>
  <c r="AQ245" i="16" s="1"/>
  <c r="AR245" i="16" s="1"/>
  <c r="AA245" i="16"/>
  <c r="AB245" i="16" s="1"/>
  <c r="AC245" i="16" s="1"/>
  <c r="N245" i="16"/>
  <c r="K248" i="16" l="1"/>
  <c r="L247" i="16"/>
  <c r="AP246" i="16"/>
  <c r="AQ246" i="16" s="1"/>
  <c r="AR246" i="16" s="1"/>
  <c r="AA246" i="16"/>
  <c r="AB246" i="16" s="1"/>
  <c r="AC246" i="16" s="1"/>
  <c r="N246" i="16"/>
  <c r="S246" i="16"/>
  <c r="AI246" i="16"/>
  <c r="AJ246" i="16" s="1"/>
  <c r="AK246" i="16" s="1"/>
  <c r="T246" i="16"/>
  <c r="U246" i="16" s="1"/>
  <c r="V246" i="16" s="1"/>
  <c r="X246" i="16"/>
  <c r="Y246" i="16" s="1"/>
  <c r="Z246" i="16" s="1"/>
  <c r="M246" i="16"/>
  <c r="L248" i="16" l="1"/>
  <c r="K249" i="16"/>
  <c r="X247" i="16"/>
  <c r="Y247" i="16" s="1"/>
  <c r="Z247" i="16" s="1"/>
  <c r="M247" i="16"/>
  <c r="AI247" i="16"/>
  <c r="AJ247" i="16" s="1"/>
  <c r="AK247" i="16" s="1"/>
  <c r="T247" i="16"/>
  <c r="U247" i="16" s="1"/>
  <c r="V247" i="16" s="1"/>
  <c r="S247" i="16"/>
  <c r="AP247" i="16"/>
  <c r="AQ247" i="16" s="1"/>
  <c r="AR247" i="16" s="1"/>
  <c r="AA247" i="16"/>
  <c r="AB247" i="16" s="1"/>
  <c r="AC247" i="16" s="1"/>
  <c r="N247" i="16"/>
  <c r="K250" i="16" l="1"/>
  <c r="L249" i="16"/>
  <c r="X248" i="16"/>
  <c r="Y248" i="16" s="1"/>
  <c r="Z248" i="16" s="1"/>
  <c r="M248" i="16"/>
  <c r="AA248" i="16"/>
  <c r="AB248" i="16" s="1"/>
  <c r="AC248" i="16" s="1"/>
  <c r="AP248" i="16"/>
  <c r="AQ248" i="16" s="1"/>
  <c r="AR248" i="16" s="1"/>
  <c r="S248" i="16"/>
  <c r="AI248" i="16"/>
  <c r="AJ248" i="16" s="1"/>
  <c r="AK248" i="16" s="1"/>
  <c r="N248" i="16"/>
  <c r="T248" i="16"/>
  <c r="U248" i="16" s="1"/>
  <c r="V248" i="16" s="1"/>
  <c r="L250" i="16" l="1"/>
  <c r="K251" i="16"/>
  <c r="AP249" i="16"/>
  <c r="AQ249" i="16" s="1"/>
  <c r="AR249" i="16" s="1"/>
  <c r="AA249" i="16"/>
  <c r="AB249" i="16" s="1"/>
  <c r="AC249" i="16" s="1"/>
  <c r="N249" i="16"/>
  <c r="S249" i="16"/>
  <c r="AI249" i="16"/>
  <c r="AJ249" i="16" s="1"/>
  <c r="AK249" i="16" s="1"/>
  <c r="T249" i="16"/>
  <c r="U249" i="16" s="1"/>
  <c r="V249" i="16" s="1"/>
  <c r="X249" i="16"/>
  <c r="Y249" i="16" s="1"/>
  <c r="Z249" i="16" s="1"/>
  <c r="M249" i="16"/>
  <c r="K252" i="16" l="1"/>
  <c r="L251" i="16"/>
  <c r="X250" i="16"/>
  <c r="Y250" i="16" s="1"/>
  <c r="Z250" i="16" s="1"/>
  <c r="M250" i="16"/>
  <c r="AI250" i="16"/>
  <c r="AJ250" i="16" s="1"/>
  <c r="AK250" i="16" s="1"/>
  <c r="T250" i="16"/>
  <c r="U250" i="16" s="1"/>
  <c r="V250" i="16" s="1"/>
  <c r="S250" i="16"/>
  <c r="AP250" i="16"/>
  <c r="AQ250" i="16" s="1"/>
  <c r="AR250" i="16" s="1"/>
  <c r="AA250" i="16"/>
  <c r="AB250" i="16" s="1"/>
  <c r="AC250" i="16" s="1"/>
  <c r="N250" i="16"/>
  <c r="L252" i="16" l="1"/>
  <c r="K253" i="16"/>
  <c r="AP251" i="16"/>
  <c r="AQ251" i="16" s="1"/>
  <c r="AR251" i="16" s="1"/>
  <c r="AA251" i="16"/>
  <c r="AB251" i="16" s="1"/>
  <c r="AC251" i="16" s="1"/>
  <c r="N251" i="16"/>
  <c r="S251" i="16"/>
  <c r="AI251" i="16"/>
  <c r="AJ251" i="16" s="1"/>
  <c r="AK251" i="16" s="1"/>
  <c r="T251" i="16"/>
  <c r="U251" i="16" s="1"/>
  <c r="V251" i="16" s="1"/>
  <c r="X251" i="16"/>
  <c r="Y251" i="16" s="1"/>
  <c r="Z251" i="16" s="1"/>
  <c r="M251" i="16"/>
  <c r="K254" i="16" l="1"/>
  <c r="L253" i="16"/>
  <c r="X252" i="16"/>
  <c r="Y252" i="16" s="1"/>
  <c r="Z252" i="16" s="1"/>
  <c r="M252" i="16"/>
  <c r="AI252" i="16"/>
  <c r="AJ252" i="16" s="1"/>
  <c r="AK252" i="16" s="1"/>
  <c r="T252" i="16"/>
  <c r="U252" i="16" s="1"/>
  <c r="V252" i="16" s="1"/>
  <c r="S252" i="16"/>
  <c r="AP252" i="16"/>
  <c r="AQ252" i="16" s="1"/>
  <c r="AR252" i="16" s="1"/>
  <c r="AA252" i="16"/>
  <c r="AB252" i="16" s="1"/>
  <c r="AC252" i="16" s="1"/>
  <c r="N252" i="16"/>
  <c r="L254" i="16" l="1"/>
  <c r="K255" i="16"/>
  <c r="AP253" i="16"/>
  <c r="AQ253" i="16" s="1"/>
  <c r="AR253" i="16" s="1"/>
  <c r="AA253" i="16"/>
  <c r="AB253" i="16" s="1"/>
  <c r="AC253" i="16" s="1"/>
  <c r="N253" i="16"/>
  <c r="S253" i="16"/>
  <c r="AI253" i="16"/>
  <c r="AJ253" i="16" s="1"/>
  <c r="AK253" i="16" s="1"/>
  <c r="T253" i="16"/>
  <c r="U253" i="16" s="1"/>
  <c r="V253" i="16" s="1"/>
  <c r="X253" i="16"/>
  <c r="Y253" i="16" s="1"/>
  <c r="Z253" i="16" s="1"/>
  <c r="M253" i="16"/>
  <c r="K256" i="16" l="1"/>
  <c r="L255" i="16"/>
  <c r="X254" i="16"/>
  <c r="Y254" i="16" s="1"/>
  <c r="Z254" i="16" s="1"/>
  <c r="M254" i="16"/>
  <c r="AI254" i="16"/>
  <c r="AJ254" i="16" s="1"/>
  <c r="AK254" i="16" s="1"/>
  <c r="T254" i="16"/>
  <c r="U254" i="16" s="1"/>
  <c r="V254" i="16" s="1"/>
  <c r="S254" i="16"/>
  <c r="AP254" i="16"/>
  <c r="AQ254" i="16" s="1"/>
  <c r="AR254" i="16" s="1"/>
  <c r="AA254" i="16"/>
  <c r="AB254" i="16" s="1"/>
  <c r="AC254" i="16" s="1"/>
  <c r="N254" i="16"/>
  <c r="K257" i="16" l="1"/>
  <c r="L256" i="16"/>
  <c r="AP255" i="16"/>
  <c r="AQ255" i="16" s="1"/>
  <c r="AR255" i="16" s="1"/>
  <c r="AA255" i="16"/>
  <c r="AB255" i="16" s="1"/>
  <c r="AC255" i="16" s="1"/>
  <c r="N255" i="16"/>
  <c r="S255" i="16"/>
  <c r="AI255" i="16"/>
  <c r="AJ255" i="16" s="1"/>
  <c r="AK255" i="16" s="1"/>
  <c r="T255" i="16"/>
  <c r="U255" i="16" s="1"/>
  <c r="V255" i="16" s="1"/>
  <c r="X255" i="16"/>
  <c r="Y255" i="16" s="1"/>
  <c r="Z255" i="16" s="1"/>
  <c r="M255" i="16"/>
  <c r="K258" i="16" l="1"/>
  <c r="L257" i="16"/>
  <c r="X256" i="16"/>
  <c r="Y256" i="16" s="1"/>
  <c r="Z256" i="16" s="1"/>
  <c r="M256" i="16"/>
  <c r="AI256" i="16"/>
  <c r="AJ256" i="16" s="1"/>
  <c r="AK256" i="16" s="1"/>
  <c r="T256" i="16"/>
  <c r="U256" i="16" s="1"/>
  <c r="V256" i="16" s="1"/>
  <c r="S256" i="16"/>
  <c r="AP256" i="16"/>
  <c r="AQ256" i="16" s="1"/>
  <c r="AR256" i="16" s="1"/>
  <c r="AA256" i="16"/>
  <c r="AB256" i="16" s="1"/>
  <c r="AC256" i="16" s="1"/>
  <c r="N256" i="16"/>
  <c r="L258" i="16" l="1"/>
  <c r="K259" i="16"/>
  <c r="AP257" i="16"/>
  <c r="AQ257" i="16" s="1"/>
  <c r="AR257" i="16" s="1"/>
  <c r="AA257" i="16"/>
  <c r="AB257" i="16" s="1"/>
  <c r="AC257" i="16" s="1"/>
  <c r="N257" i="16"/>
  <c r="S257" i="16"/>
  <c r="AI257" i="16"/>
  <c r="AJ257" i="16" s="1"/>
  <c r="AK257" i="16" s="1"/>
  <c r="T257" i="16"/>
  <c r="U257" i="16" s="1"/>
  <c r="V257" i="16" s="1"/>
  <c r="X257" i="16"/>
  <c r="Y257" i="16" s="1"/>
  <c r="Z257" i="16" s="1"/>
  <c r="M257" i="16"/>
  <c r="K260" i="16" l="1"/>
  <c r="L259" i="16"/>
  <c r="X258" i="16"/>
  <c r="Y258" i="16" s="1"/>
  <c r="Z258" i="16" s="1"/>
  <c r="M258" i="16"/>
  <c r="AI258" i="16"/>
  <c r="AJ258" i="16" s="1"/>
  <c r="AK258" i="16" s="1"/>
  <c r="T258" i="16"/>
  <c r="U258" i="16" s="1"/>
  <c r="V258" i="16" s="1"/>
  <c r="S258" i="16"/>
  <c r="AP258" i="16"/>
  <c r="AQ258" i="16" s="1"/>
  <c r="AR258" i="16" s="1"/>
  <c r="AA258" i="16"/>
  <c r="AB258" i="16" s="1"/>
  <c r="AC258" i="16" s="1"/>
  <c r="N258" i="16"/>
  <c r="L260" i="16" l="1"/>
  <c r="K261" i="16"/>
  <c r="AP259" i="16"/>
  <c r="AQ259" i="16" s="1"/>
  <c r="AR259" i="16" s="1"/>
  <c r="AA259" i="16"/>
  <c r="AB259" i="16" s="1"/>
  <c r="AC259" i="16" s="1"/>
  <c r="N259" i="16"/>
  <c r="S259" i="16"/>
  <c r="AI259" i="16"/>
  <c r="AJ259" i="16" s="1"/>
  <c r="AK259" i="16" s="1"/>
  <c r="T259" i="16"/>
  <c r="U259" i="16" s="1"/>
  <c r="V259" i="16" s="1"/>
  <c r="X259" i="16"/>
  <c r="Y259" i="16" s="1"/>
  <c r="Z259" i="16" s="1"/>
  <c r="M259" i="16"/>
  <c r="K262" i="16" l="1"/>
  <c r="L261" i="16"/>
  <c r="X260" i="16"/>
  <c r="Y260" i="16" s="1"/>
  <c r="Z260" i="16" s="1"/>
  <c r="M260" i="16"/>
  <c r="AI260" i="16"/>
  <c r="AJ260" i="16" s="1"/>
  <c r="AK260" i="16" s="1"/>
  <c r="T260" i="16"/>
  <c r="U260" i="16" s="1"/>
  <c r="V260" i="16" s="1"/>
  <c r="S260" i="16"/>
  <c r="AP260" i="16"/>
  <c r="AQ260" i="16" s="1"/>
  <c r="AR260" i="16" s="1"/>
  <c r="AA260" i="16"/>
  <c r="AB260" i="16" s="1"/>
  <c r="AC260" i="16" s="1"/>
  <c r="N260" i="16"/>
  <c r="L262" i="16" l="1"/>
  <c r="K263" i="16"/>
  <c r="AP261" i="16"/>
  <c r="AQ261" i="16" s="1"/>
  <c r="AR261" i="16" s="1"/>
  <c r="AA261" i="16"/>
  <c r="AB261" i="16" s="1"/>
  <c r="AC261" i="16" s="1"/>
  <c r="N261" i="16"/>
  <c r="S261" i="16"/>
  <c r="AI261" i="16"/>
  <c r="AJ261" i="16" s="1"/>
  <c r="AK261" i="16" s="1"/>
  <c r="T261" i="16"/>
  <c r="U261" i="16" s="1"/>
  <c r="V261" i="16" s="1"/>
  <c r="X261" i="16"/>
  <c r="Y261" i="16" s="1"/>
  <c r="Z261" i="16" s="1"/>
  <c r="M261" i="16"/>
  <c r="K264" i="16" l="1"/>
  <c r="L263" i="16"/>
  <c r="X262" i="16"/>
  <c r="Y262" i="16" s="1"/>
  <c r="Z262" i="16" s="1"/>
  <c r="M262" i="16"/>
  <c r="AI262" i="16"/>
  <c r="AJ262" i="16" s="1"/>
  <c r="AK262" i="16" s="1"/>
  <c r="T262" i="16"/>
  <c r="U262" i="16" s="1"/>
  <c r="V262" i="16" s="1"/>
  <c r="S262" i="16"/>
  <c r="AP262" i="16"/>
  <c r="AQ262" i="16" s="1"/>
  <c r="AR262" i="16" s="1"/>
  <c r="AA262" i="16"/>
  <c r="AB262" i="16" s="1"/>
  <c r="AC262" i="16" s="1"/>
  <c r="N262" i="16"/>
  <c r="L264" i="16" l="1"/>
  <c r="K265" i="16"/>
  <c r="AP263" i="16"/>
  <c r="AQ263" i="16" s="1"/>
  <c r="AR263" i="16" s="1"/>
  <c r="AA263" i="16"/>
  <c r="AB263" i="16" s="1"/>
  <c r="AC263" i="16" s="1"/>
  <c r="N263" i="16"/>
  <c r="S263" i="16"/>
  <c r="AI263" i="16"/>
  <c r="AJ263" i="16" s="1"/>
  <c r="AK263" i="16" s="1"/>
  <c r="T263" i="16"/>
  <c r="U263" i="16" s="1"/>
  <c r="V263" i="16" s="1"/>
  <c r="X263" i="16"/>
  <c r="Y263" i="16" s="1"/>
  <c r="Z263" i="16" s="1"/>
  <c r="M263" i="16"/>
  <c r="K266" i="16" l="1"/>
  <c r="L265" i="16"/>
  <c r="X264" i="16"/>
  <c r="Y264" i="16" s="1"/>
  <c r="Z264" i="16" s="1"/>
  <c r="M264" i="16"/>
  <c r="AI264" i="16"/>
  <c r="AJ264" i="16" s="1"/>
  <c r="AK264" i="16" s="1"/>
  <c r="T264" i="16"/>
  <c r="U264" i="16" s="1"/>
  <c r="V264" i="16" s="1"/>
  <c r="S264" i="16"/>
  <c r="AP264" i="16"/>
  <c r="AQ264" i="16" s="1"/>
  <c r="AR264" i="16" s="1"/>
  <c r="AA264" i="16"/>
  <c r="AB264" i="16" s="1"/>
  <c r="AC264" i="16" s="1"/>
  <c r="N264" i="16"/>
  <c r="L266" i="16" l="1"/>
  <c r="K267" i="16"/>
  <c r="AP265" i="16"/>
  <c r="AQ265" i="16" s="1"/>
  <c r="AR265" i="16" s="1"/>
  <c r="AA265" i="16"/>
  <c r="AB265" i="16" s="1"/>
  <c r="AC265" i="16" s="1"/>
  <c r="N265" i="16"/>
  <c r="S265" i="16"/>
  <c r="AI265" i="16"/>
  <c r="AJ265" i="16" s="1"/>
  <c r="AK265" i="16" s="1"/>
  <c r="T265" i="16"/>
  <c r="U265" i="16" s="1"/>
  <c r="V265" i="16" s="1"/>
  <c r="X265" i="16"/>
  <c r="Y265" i="16" s="1"/>
  <c r="Z265" i="16" s="1"/>
  <c r="M265" i="16"/>
  <c r="L267" i="16" l="1"/>
  <c r="K268" i="16"/>
  <c r="X266" i="16"/>
  <c r="Y266" i="16" s="1"/>
  <c r="Z266" i="16" s="1"/>
  <c r="M266" i="16"/>
  <c r="AI266" i="16"/>
  <c r="AJ266" i="16" s="1"/>
  <c r="AK266" i="16" s="1"/>
  <c r="T266" i="16"/>
  <c r="U266" i="16" s="1"/>
  <c r="V266" i="16" s="1"/>
  <c r="S266" i="16"/>
  <c r="AP266" i="16"/>
  <c r="AQ266" i="16" s="1"/>
  <c r="AR266" i="16" s="1"/>
  <c r="AA266" i="16"/>
  <c r="AB266" i="16" s="1"/>
  <c r="AC266" i="16" s="1"/>
  <c r="N266" i="16"/>
  <c r="L268" i="16" l="1"/>
  <c r="K269" i="16"/>
  <c r="AP267" i="16"/>
  <c r="AQ267" i="16" s="1"/>
  <c r="AR267" i="16" s="1"/>
  <c r="AA267" i="16"/>
  <c r="AB267" i="16" s="1"/>
  <c r="AC267" i="16" s="1"/>
  <c r="N267" i="16"/>
  <c r="S267" i="16"/>
  <c r="AI267" i="16"/>
  <c r="AJ267" i="16" s="1"/>
  <c r="AK267" i="16" s="1"/>
  <c r="T267" i="16"/>
  <c r="U267" i="16" s="1"/>
  <c r="V267" i="16" s="1"/>
  <c r="X267" i="16"/>
  <c r="Y267" i="16" s="1"/>
  <c r="Z267" i="16" s="1"/>
  <c r="M267" i="16"/>
  <c r="K270" i="16" l="1"/>
  <c r="L269" i="16"/>
  <c r="X268" i="16"/>
  <c r="Y268" i="16" s="1"/>
  <c r="Z268" i="16" s="1"/>
  <c r="M268" i="16"/>
  <c r="AI268" i="16"/>
  <c r="AJ268" i="16" s="1"/>
  <c r="AK268" i="16" s="1"/>
  <c r="T268" i="16"/>
  <c r="U268" i="16" s="1"/>
  <c r="V268" i="16" s="1"/>
  <c r="S268" i="16"/>
  <c r="AP268" i="16"/>
  <c r="AQ268" i="16" s="1"/>
  <c r="AR268" i="16" s="1"/>
  <c r="AA268" i="16"/>
  <c r="AB268" i="16" s="1"/>
  <c r="AC268" i="16" s="1"/>
  <c r="N268" i="16"/>
  <c r="L270" i="16" l="1"/>
  <c r="K271" i="16"/>
  <c r="AP269" i="16"/>
  <c r="AQ269" i="16" s="1"/>
  <c r="AR269" i="16" s="1"/>
  <c r="AA269" i="16"/>
  <c r="AB269" i="16" s="1"/>
  <c r="AC269" i="16" s="1"/>
  <c r="N269" i="16"/>
  <c r="S269" i="16"/>
  <c r="AI269" i="16"/>
  <c r="AJ269" i="16" s="1"/>
  <c r="AK269" i="16" s="1"/>
  <c r="T269" i="16"/>
  <c r="U269" i="16" s="1"/>
  <c r="V269" i="16" s="1"/>
  <c r="X269" i="16"/>
  <c r="Y269" i="16" s="1"/>
  <c r="Z269" i="16" s="1"/>
  <c r="M269" i="16"/>
  <c r="K272" i="16" l="1"/>
  <c r="L271" i="16"/>
  <c r="X270" i="16"/>
  <c r="Y270" i="16" s="1"/>
  <c r="Z270" i="16" s="1"/>
  <c r="M270" i="16"/>
  <c r="AI270" i="16"/>
  <c r="AJ270" i="16" s="1"/>
  <c r="AK270" i="16" s="1"/>
  <c r="T270" i="16"/>
  <c r="U270" i="16" s="1"/>
  <c r="V270" i="16" s="1"/>
  <c r="S270" i="16"/>
  <c r="AP270" i="16"/>
  <c r="AQ270" i="16" s="1"/>
  <c r="AR270" i="16" s="1"/>
  <c r="AA270" i="16"/>
  <c r="AB270" i="16" s="1"/>
  <c r="AC270" i="16" s="1"/>
  <c r="N270" i="16"/>
  <c r="L272" i="16" l="1"/>
  <c r="K273" i="16"/>
  <c r="AP271" i="16"/>
  <c r="AQ271" i="16" s="1"/>
  <c r="AR271" i="16" s="1"/>
  <c r="AA271" i="16"/>
  <c r="AB271" i="16" s="1"/>
  <c r="AC271" i="16" s="1"/>
  <c r="N271" i="16"/>
  <c r="S271" i="16"/>
  <c r="AI271" i="16"/>
  <c r="AJ271" i="16" s="1"/>
  <c r="AK271" i="16" s="1"/>
  <c r="T271" i="16"/>
  <c r="U271" i="16" s="1"/>
  <c r="V271" i="16" s="1"/>
  <c r="X271" i="16"/>
  <c r="Y271" i="16" s="1"/>
  <c r="Z271" i="16" s="1"/>
  <c r="M271" i="16"/>
  <c r="K274" i="16" l="1"/>
  <c r="L273" i="16"/>
  <c r="X272" i="16"/>
  <c r="Y272" i="16" s="1"/>
  <c r="Z272" i="16" s="1"/>
  <c r="M272" i="16"/>
  <c r="AI272" i="16"/>
  <c r="AJ272" i="16" s="1"/>
  <c r="AK272" i="16" s="1"/>
  <c r="T272" i="16"/>
  <c r="U272" i="16" s="1"/>
  <c r="V272" i="16" s="1"/>
  <c r="S272" i="16"/>
  <c r="AP272" i="16"/>
  <c r="AQ272" i="16" s="1"/>
  <c r="AR272" i="16" s="1"/>
  <c r="AA272" i="16"/>
  <c r="AB272" i="16" s="1"/>
  <c r="AC272" i="16" s="1"/>
  <c r="N272" i="16"/>
  <c r="L274" i="16" l="1"/>
  <c r="K275" i="16"/>
  <c r="AP273" i="16"/>
  <c r="AQ273" i="16" s="1"/>
  <c r="AR273" i="16" s="1"/>
  <c r="AA273" i="16"/>
  <c r="AB273" i="16" s="1"/>
  <c r="AC273" i="16" s="1"/>
  <c r="N273" i="16"/>
  <c r="S273" i="16"/>
  <c r="AI273" i="16"/>
  <c r="AJ273" i="16" s="1"/>
  <c r="AK273" i="16" s="1"/>
  <c r="T273" i="16"/>
  <c r="U273" i="16" s="1"/>
  <c r="V273" i="16" s="1"/>
  <c r="X273" i="16"/>
  <c r="Y273" i="16" s="1"/>
  <c r="Z273" i="16" s="1"/>
  <c r="M273" i="16"/>
  <c r="K276" i="16" l="1"/>
  <c r="L275" i="16"/>
  <c r="X274" i="16"/>
  <c r="Y274" i="16" s="1"/>
  <c r="Z274" i="16" s="1"/>
  <c r="M274" i="16"/>
  <c r="AI274" i="16"/>
  <c r="AJ274" i="16" s="1"/>
  <c r="AK274" i="16" s="1"/>
  <c r="T274" i="16"/>
  <c r="U274" i="16" s="1"/>
  <c r="V274" i="16" s="1"/>
  <c r="S274" i="16"/>
  <c r="AP274" i="16"/>
  <c r="AQ274" i="16" s="1"/>
  <c r="AR274" i="16" s="1"/>
  <c r="AA274" i="16"/>
  <c r="AB274" i="16" s="1"/>
  <c r="AC274" i="16" s="1"/>
  <c r="N274" i="16"/>
  <c r="L276" i="16" l="1"/>
  <c r="K277" i="16"/>
  <c r="AP275" i="16"/>
  <c r="AQ275" i="16" s="1"/>
  <c r="AR275" i="16" s="1"/>
  <c r="AA275" i="16"/>
  <c r="AB275" i="16" s="1"/>
  <c r="AC275" i="16" s="1"/>
  <c r="N275" i="16"/>
  <c r="S275" i="16"/>
  <c r="AI275" i="16"/>
  <c r="AJ275" i="16" s="1"/>
  <c r="AK275" i="16" s="1"/>
  <c r="T275" i="16"/>
  <c r="U275" i="16" s="1"/>
  <c r="V275" i="16" s="1"/>
  <c r="X275" i="16"/>
  <c r="Y275" i="16" s="1"/>
  <c r="Z275" i="16" s="1"/>
  <c r="M275" i="16"/>
  <c r="K278" i="16" l="1"/>
  <c r="L277" i="16"/>
  <c r="X276" i="16"/>
  <c r="Y276" i="16" s="1"/>
  <c r="Z276" i="16" s="1"/>
  <c r="M276" i="16"/>
  <c r="AI276" i="16"/>
  <c r="AJ276" i="16" s="1"/>
  <c r="AK276" i="16" s="1"/>
  <c r="T276" i="16"/>
  <c r="U276" i="16" s="1"/>
  <c r="V276" i="16" s="1"/>
  <c r="S276" i="16"/>
  <c r="AP276" i="16"/>
  <c r="AQ276" i="16" s="1"/>
  <c r="AR276" i="16" s="1"/>
  <c r="AA276" i="16"/>
  <c r="AB276" i="16" s="1"/>
  <c r="AC276" i="16" s="1"/>
  <c r="N276" i="16"/>
  <c r="L278" i="16" l="1"/>
  <c r="K279" i="16"/>
  <c r="AP277" i="16"/>
  <c r="AQ277" i="16" s="1"/>
  <c r="AR277" i="16" s="1"/>
  <c r="AA277" i="16"/>
  <c r="AB277" i="16" s="1"/>
  <c r="AC277" i="16" s="1"/>
  <c r="N277" i="16"/>
  <c r="S277" i="16"/>
  <c r="AI277" i="16"/>
  <c r="AJ277" i="16" s="1"/>
  <c r="AK277" i="16" s="1"/>
  <c r="T277" i="16"/>
  <c r="U277" i="16" s="1"/>
  <c r="V277" i="16" s="1"/>
  <c r="X277" i="16"/>
  <c r="Y277" i="16" s="1"/>
  <c r="Z277" i="16" s="1"/>
  <c r="M277" i="16"/>
  <c r="L279" i="16" l="1"/>
  <c r="K280" i="16"/>
  <c r="X278" i="16"/>
  <c r="Y278" i="16" s="1"/>
  <c r="Z278" i="16" s="1"/>
  <c r="M278" i="16"/>
  <c r="AI278" i="16"/>
  <c r="AJ278" i="16" s="1"/>
  <c r="AK278" i="16" s="1"/>
  <c r="T278" i="16"/>
  <c r="U278" i="16" s="1"/>
  <c r="V278" i="16" s="1"/>
  <c r="S278" i="16"/>
  <c r="AP278" i="16"/>
  <c r="AQ278" i="16" s="1"/>
  <c r="AR278" i="16" s="1"/>
  <c r="AA278" i="16"/>
  <c r="AB278" i="16" s="1"/>
  <c r="AC278" i="16" s="1"/>
  <c r="N278" i="16"/>
  <c r="L280" i="16" l="1"/>
  <c r="K281" i="16"/>
  <c r="AP279" i="16"/>
  <c r="AQ279" i="16" s="1"/>
  <c r="AR279" i="16" s="1"/>
  <c r="AA279" i="16"/>
  <c r="AB279" i="16" s="1"/>
  <c r="AC279" i="16" s="1"/>
  <c r="N279" i="16"/>
  <c r="S279" i="16"/>
  <c r="AI279" i="16"/>
  <c r="AJ279" i="16" s="1"/>
  <c r="AK279" i="16" s="1"/>
  <c r="T279" i="16"/>
  <c r="U279" i="16" s="1"/>
  <c r="V279" i="16" s="1"/>
  <c r="X279" i="16"/>
  <c r="Y279" i="16" s="1"/>
  <c r="Z279" i="16" s="1"/>
  <c r="M279" i="16"/>
  <c r="K282" i="16" l="1"/>
  <c r="L281" i="16"/>
  <c r="X280" i="16"/>
  <c r="Y280" i="16" s="1"/>
  <c r="Z280" i="16" s="1"/>
  <c r="M280" i="16"/>
  <c r="AI280" i="16"/>
  <c r="AJ280" i="16" s="1"/>
  <c r="AK280" i="16" s="1"/>
  <c r="T280" i="16"/>
  <c r="U280" i="16" s="1"/>
  <c r="V280" i="16" s="1"/>
  <c r="S280" i="16"/>
  <c r="AP280" i="16"/>
  <c r="AQ280" i="16" s="1"/>
  <c r="AR280" i="16" s="1"/>
  <c r="AA280" i="16"/>
  <c r="AB280" i="16" s="1"/>
  <c r="AC280" i="16" s="1"/>
  <c r="N280" i="16"/>
  <c r="L282" i="16" l="1"/>
  <c r="K283" i="16"/>
  <c r="AP281" i="16"/>
  <c r="AQ281" i="16" s="1"/>
  <c r="AR281" i="16" s="1"/>
  <c r="AA281" i="16"/>
  <c r="AB281" i="16" s="1"/>
  <c r="AC281" i="16" s="1"/>
  <c r="N281" i="16"/>
  <c r="S281" i="16"/>
  <c r="AI281" i="16"/>
  <c r="AJ281" i="16" s="1"/>
  <c r="AK281" i="16" s="1"/>
  <c r="T281" i="16"/>
  <c r="U281" i="16" s="1"/>
  <c r="V281" i="16" s="1"/>
  <c r="X281" i="16"/>
  <c r="Y281" i="16" s="1"/>
  <c r="Z281" i="16" s="1"/>
  <c r="M281" i="16"/>
  <c r="K284" i="16" l="1"/>
  <c r="L283" i="16"/>
  <c r="X282" i="16"/>
  <c r="Y282" i="16" s="1"/>
  <c r="Z282" i="16" s="1"/>
  <c r="M282" i="16"/>
  <c r="AI282" i="16"/>
  <c r="AJ282" i="16" s="1"/>
  <c r="AK282" i="16" s="1"/>
  <c r="T282" i="16"/>
  <c r="U282" i="16" s="1"/>
  <c r="V282" i="16" s="1"/>
  <c r="S282" i="16"/>
  <c r="AP282" i="16"/>
  <c r="AQ282" i="16" s="1"/>
  <c r="AR282" i="16" s="1"/>
  <c r="AA282" i="16"/>
  <c r="AB282" i="16" s="1"/>
  <c r="AC282" i="16" s="1"/>
  <c r="N282" i="16"/>
  <c r="K285" i="16" l="1"/>
  <c r="L284" i="16"/>
  <c r="AP283" i="16"/>
  <c r="AQ283" i="16" s="1"/>
  <c r="AR283" i="16" s="1"/>
  <c r="AA283" i="16"/>
  <c r="AB283" i="16" s="1"/>
  <c r="AC283" i="16" s="1"/>
  <c r="N283" i="16"/>
  <c r="S283" i="16"/>
  <c r="AI283" i="16"/>
  <c r="AJ283" i="16" s="1"/>
  <c r="AK283" i="16" s="1"/>
  <c r="T283" i="16"/>
  <c r="U283" i="16" s="1"/>
  <c r="V283" i="16" s="1"/>
  <c r="X283" i="16"/>
  <c r="Y283" i="16" s="1"/>
  <c r="Z283" i="16" s="1"/>
  <c r="M283" i="16"/>
  <c r="K286" i="16" l="1"/>
  <c r="L285" i="16"/>
  <c r="X284" i="16"/>
  <c r="Y284" i="16" s="1"/>
  <c r="Z284" i="16" s="1"/>
  <c r="M284" i="16"/>
  <c r="AI284" i="16"/>
  <c r="AJ284" i="16" s="1"/>
  <c r="AK284" i="16" s="1"/>
  <c r="T284" i="16"/>
  <c r="U284" i="16" s="1"/>
  <c r="V284" i="16" s="1"/>
  <c r="S284" i="16"/>
  <c r="AP284" i="16"/>
  <c r="AQ284" i="16" s="1"/>
  <c r="AR284" i="16" s="1"/>
  <c r="AA284" i="16"/>
  <c r="AB284" i="16" s="1"/>
  <c r="AC284" i="16" s="1"/>
  <c r="N284" i="16"/>
  <c r="K287" i="16" l="1"/>
  <c r="L286" i="16"/>
  <c r="AP285" i="16"/>
  <c r="AQ285" i="16" s="1"/>
  <c r="AR285" i="16" s="1"/>
  <c r="AA285" i="16"/>
  <c r="AB285" i="16" s="1"/>
  <c r="AC285" i="16" s="1"/>
  <c r="N285" i="16"/>
  <c r="S285" i="16"/>
  <c r="AI285" i="16"/>
  <c r="AJ285" i="16" s="1"/>
  <c r="AK285" i="16" s="1"/>
  <c r="T285" i="16"/>
  <c r="U285" i="16" s="1"/>
  <c r="V285" i="16" s="1"/>
  <c r="X285" i="16"/>
  <c r="Y285" i="16" s="1"/>
  <c r="Z285" i="16" s="1"/>
  <c r="M285" i="16"/>
  <c r="K288" i="16" l="1"/>
  <c r="L287" i="16"/>
  <c r="X286" i="16"/>
  <c r="Y286" i="16" s="1"/>
  <c r="Z286" i="16" s="1"/>
  <c r="M286" i="16"/>
  <c r="AI286" i="16"/>
  <c r="AJ286" i="16" s="1"/>
  <c r="AK286" i="16" s="1"/>
  <c r="T286" i="16"/>
  <c r="U286" i="16" s="1"/>
  <c r="V286" i="16" s="1"/>
  <c r="S286" i="16"/>
  <c r="AP286" i="16"/>
  <c r="AQ286" i="16" s="1"/>
  <c r="AR286" i="16" s="1"/>
  <c r="AA286" i="16"/>
  <c r="AB286" i="16" s="1"/>
  <c r="AC286" i="16" s="1"/>
  <c r="N286" i="16"/>
  <c r="K289" i="16" l="1"/>
  <c r="L288" i="16"/>
  <c r="AP287" i="16"/>
  <c r="AQ287" i="16" s="1"/>
  <c r="AR287" i="16" s="1"/>
  <c r="AA287" i="16"/>
  <c r="AB287" i="16" s="1"/>
  <c r="AC287" i="16" s="1"/>
  <c r="N287" i="16"/>
  <c r="S287" i="16"/>
  <c r="AI287" i="16"/>
  <c r="AJ287" i="16" s="1"/>
  <c r="AK287" i="16" s="1"/>
  <c r="T287" i="16"/>
  <c r="U287" i="16" s="1"/>
  <c r="V287" i="16" s="1"/>
  <c r="X287" i="16"/>
  <c r="Y287" i="16" s="1"/>
  <c r="Z287" i="16" s="1"/>
  <c r="M287" i="16"/>
  <c r="K290" i="16" l="1"/>
  <c r="L289" i="16"/>
  <c r="X288" i="16"/>
  <c r="Y288" i="16" s="1"/>
  <c r="Z288" i="16" s="1"/>
  <c r="M288" i="16"/>
  <c r="AI288" i="16"/>
  <c r="AJ288" i="16" s="1"/>
  <c r="AK288" i="16" s="1"/>
  <c r="T288" i="16"/>
  <c r="U288" i="16" s="1"/>
  <c r="V288" i="16" s="1"/>
  <c r="S288" i="16"/>
  <c r="AP288" i="16"/>
  <c r="AQ288" i="16" s="1"/>
  <c r="AR288" i="16" s="1"/>
  <c r="AA288" i="16"/>
  <c r="AB288" i="16" s="1"/>
  <c r="AC288" i="16" s="1"/>
  <c r="N288" i="16"/>
  <c r="K291" i="16" l="1"/>
  <c r="L290" i="16"/>
  <c r="AP289" i="16"/>
  <c r="AQ289" i="16" s="1"/>
  <c r="AR289" i="16" s="1"/>
  <c r="AA289" i="16"/>
  <c r="AB289" i="16" s="1"/>
  <c r="AC289" i="16" s="1"/>
  <c r="N289" i="16"/>
  <c r="S289" i="16"/>
  <c r="AI289" i="16"/>
  <c r="AJ289" i="16" s="1"/>
  <c r="AK289" i="16" s="1"/>
  <c r="T289" i="16"/>
  <c r="U289" i="16" s="1"/>
  <c r="V289" i="16" s="1"/>
  <c r="X289" i="16"/>
  <c r="Y289" i="16" s="1"/>
  <c r="Z289" i="16" s="1"/>
  <c r="M289" i="16"/>
  <c r="K292" i="16" l="1"/>
  <c r="L291" i="16"/>
  <c r="AP290" i="16"/>
  <c r="AQ290" i="16" s="1"/>
  <c r="AR290" i="16" s="1"/>
  <c r="S290" i="16"/>
  <c r="AI290" i="16"/>
  <c r="AJ290" i="16" s="1"/>
  <c r="AK290" i="16" s="1"/>
  <c r="T290" i="16"/>
  <c r="U290" i="16" s="1"/>
  <c r="V290" i="16" s="1"/>
  <c r="X290" i="16"/>
  <c r="Y290" i="16" s="1"/>
  <c r="Z290" i="16" s="1"/>
  <c r="M290" i="16"/>
  <c r="AA290" i="16"/>
  <c r="AB290" i="16" s="1"/>
  <c r="AC290" i="16" s="1"/>
  <c r="N290" i="16"/>
  <c r="L292" i="16" l="1"/>
  <c r="K293" i="16"/>
  <c r="AP291" i="16"/>
  <c r="AQ291" i="16" s="1"/>
  <c r="AR291" i="16" s="1"/>
  <c r="AA291" i="16"/>
  <c r="AB291" i="16" s="1"/>
  <c r="AC291" i="16" s="1"/>
  <c r="N291" i="16"/>
  <c r="S291" i="16"/>
  <c r="AI291" i="16"/>
  <c r="AJ291" i="16" s="1"/>
  <c r="AK291" i="16" s="1"/>
  <c r="T291" i="16"/>
  <c r="U291" i="16" s="1"/>
  <c r="V291" i="16" s="1"/>
  <c r="X291" i="16"/>
  <c r="Y291" i="16" s="1"/>
  <c r="Z291" i="16" s="1"/>
  <c r="M291" i="16"/>
  <c r="L293" i="16" l="1"/>
  <c r="K294" i="16"/>
  <c r="X292" i="16"/>
  <c r="Y292" i="16" s="1"/>
  <c r="Z292" i="16" s="1"/>
  <c r="M292" i="16"/>
  <c r="AI292" i="16"/>
  <c r="AJ292" i="16" s="1"/>
  <c r="AK292" i="16" s="1"/>
  <c r="T292" i="16"/>
  <c r="U292" i="16" s="1"/>
  <c r="V292" i="16" s="1"/>
  <c r="S292" i="16"/>
  <c r="AP292" i="16"/>
  <c r="AQ292" i="16" s="1"/>
  <c r="AR292" i="16" s="1"/>
  <c r="AA292" i="16"/>
  <c r="AB292" i="16" s="1"/>
  <c r="AC292" i="16" s="1"/>
  <c r="N292" i="16"/>
  <c r="K295" i="16" l="1"/>
  <c r="L294" i="16"/>
  <c r="AP293" i="16"/>
  <c r="AQ293" i="16" s="1"/>
  <c r="AR293" i="16" s="1"/>
  <c r="AA293" i="16"/>
  <c r="AB293" i="16" s="1"/>
  <c r="AC293" i="16" s="1"/>
  <c r="N293" i="16"/>
  <c r="S293" i="16"/>
  <c r="AI293" i="16"/>
  <c r="AJ293" i="16" s="1"/>
  <c r="AK293" i="16" s="1"/>
  <c r="T293" i="16"/>
  <c r="U293" i="16" s="1"/>
  <c r="V293" i="16" s="1"/>
  <c r="X293" i="16"/>
  <c r="Y293" i="16" s="1"/>
  <c r="Z293" i="16" s="1"/>
  <c r="M293" i="16"/>
  <c r="K296" i="16" l="1"/>
  <c r="L295" i="16"/>
  <c r="X294" i="16"/>
  <c r="Y294" i="16" s="1"/>
  <c r="Z294" i="16" s="1"/>
  <c r="M294" i="16"/>
  <c r="AI294" i="16"/>
  <c r="AJ294" i="16" s="1"/>
  <c r="AK294" i="16" s="1"/>
  <c r="T294" i="16"/>
  <c r="U294" i="16" s="1"/>
  <c r="V294" i="16" s="1"/>
  <c r="S294" i="16"/>
  <c r="AP294" i="16"/>
  <c r="AQ294" i="16" s="1"/>
  <c r="AR294" i="16" s="1"/>
  <c r="AA294" i="16"/>
  <c r="AB294" i="16" s="1"/>
  <c r="AC294" i="16" s="1"/>
  <c r="N294" i="16"/>
  <c r="K297" i="16" l="1"/>
  <c r="L296" i="16"/>
  <c r="AP295" i="16"/>
  <c r="AQ295" i="16" s="1"/>
  <c r="AR295" i="16" s="1"/>
  <c r="AA295" i="16"/>
  <c r="AB295" i="16" s="1"/>
  <c r="AC295" i="16" s="1"/>
  <c r="N295" i="16"/>
  <c r="S295" i="16"/>
  <c r="AI295" i="16"/>
  <c r="AJ295" i="16" s="1"/>
  <c r="AK295" i="16" s="1"/>
  <c r="T295" i="16"/>
  <c r="U295" i="16" s="1"/>
  <c r="V295" i="16" s="1"/>
  <c r="X295" i="16"/>
  <c r="Y295" i="16" s="1"/>
  <c r="Z295" i="16" s="1"/>
  <c r="M295" i="16"/>
  <c r="K298" i="16" l="1"/>
  <c r="L297" i="16"/>
  <c r="X296" i="16"/>
  <c r="Y296" i="16" s="1"/>
  <c r="Z296" i="16" s="1"/>
  <c r="M296" i="16"/>
  <c r="AI296" i="16"/>
  <c r="AJ296" i="16" s="1"/>
  <c r="AK296" i="16" s="1"/>
  <c r="T296" i="16"/>
  <c r="U296" i="16" s="1"/>
  <c r="V296" i="16" s="1"/>
  <c r="S296" i="16"/>
  <c r="AP296" i="16"/>
  <c r="AQ296" i="16" s="1"/>
  <c r="AR296" i="16" s="1"/>
  <c r="AA296" i="16"/>
  <c r="AB296" i="16" s="1"/>
  <c r="AC296" i="16" s="1"/>
  <c r="N296" i="16"/>
  <c r="L298" i="16" l="1"/>
  <c r="K299" i="16"/>
  <c r="AP297" i="16"/>
  <c r="AQ297" i="16" s="1"/>
  <c r="AR297" i="16" s="1"/>
  <c r="AA297" i="16"/>
  <c r="AB297" i="16" s="1"/>
  <c r="AC297" i="16" s="1"/>
  <c r="N297" i="16"/>
  <c r="S297" i="16"/>
  <c r="AI297" i="16"/>
  <c r="AJ297" i="16" s="1"/>
  <c r="AK297" i="16" s="1"/>
  <c r="T297" i="16"/>
  <c r="U297" i="16" s="1"/>
  <c r="V297" i="16" s="1"/>
  <c r="X297" i="16"/>
  <c r="Y297" i="16" s="1"/>
  <c r="Z297" i="16" s="1"/>
  <c r="M297" i="16"/>
  <c r="K300" i="16" l="1"/>
  <c r="L299" i="16"/>
  <c r="X298" i="16"/>
  <c r="Y298" i="16" s="1"/>
  <c r="Z298" i="16" s="1"/>
  <c r="M298" i="16"/>
  <c r="AI298" i="16"/>
  <c r="AJ298" i="16" s="1"/>
  <c r="AK298" i="16" s="1"/>
  <c r="T298" i="16"/>
  <c r="U298" i="16" s="1"/>
  <c r="V298" i="16" s="1"/>
  <c r="S298" i="16"/>
  <c r="AP298" i="16"/>
  <c r="AQ298" i="16" s="1"/>
  <c r="AR298" i="16" s="1"/>
  <c r="AA298" i="16"/>
  <c r="AB298" i="16" s="1"/>
  <c r="AC298" i="16" s="1"/>
  <c r="N298" i="16"/>
  <c r="K301" i="16" l="1"/>
  <c r="L300" i="16"/>
  <c r="AP299" i="16"/>
  <c r="AQ299" i="16" s="1"/>
  <c r="AR299" i="16" s="1"/>
  <c r="AA299" i="16"/>
  <c r="AB299" i="16" s="1"/>
  <c r="AC299" i="16" s="1"/>
  <c r="N299" i="16"/>
  <c r="S299" i="16"/>
  <c r="AI299" i="16"/>
  <c r="AJ299" i="16" s="1"/>
  <c r="AK299" i="16" s="1"/>
  <c r="T299" i="16"/>
  <c r="U299" i="16" s="1"/>
  <c r="V299" i="16" s="1"/>
  <c r="X299" i="16"/>
  <c r="Y299" i="16" s="1"/>
  <c r="Z299" i="16" s="1"/>
  <c r="M299" i="16"/>
  <c r="L301" i="16" l="1"/>
  <c r="K302" i="16"/>
  <c r="X300" i="16"/>
  <c r="Y300" i="16" s="1"/>
  <c r="Z300" i="16" s="1"/>
  <c r="M300" i="16"/>
  <c r="AI300" i="16"/>
  <c r="AJ300" i="16" s="1"/>
  <c r="AK300" i="16" s="1"/>
  <c r="T300" i="16"/>
  <c r="U300" i="16" s="1"/>
  <c r="V300" i="16" s="1"/>
  <c r="S300" i="16"/>
  <c r="AP300" i="16"/>
  <c r="AQ300" i="16" s="1"/>
  <c r="AR300" i="16" s="1"/>
  <c r="AA300" i="16"/>
  <c r="AB300" i="16" s="1"/>
  <c r="AC300" i="16" s="1"/>
  <c r="N300" i="16"/>
  <c r="K303" i="16" l="1"/>
  <c r="L302" i="16"/>
  <c r="AP301" i="16"/>
  <c r="AQ301" i="16" s="1"/>
  <c r="AR301" i="16" s="1"/>
  <c r="AA301" i="16"/>
  <c r="AB301" i="16" s="1"/>
  <c r="AC301" i="16" s="1"/>
  <c r="N301" i="16"/>
  <c r="S301" i="16"/>
  <c r="AI301" i="16"/>
  <c r="AJ301" i="16" s="1"/>
  <c r="AK301" i="16" s="1"/>
  <c r="T301" i="16"/>
  <c r="U301" i="16" s="1"/>
  <c r="V301" i="16" s="1"/>
  <c r="X301" i="16"/>
  <c r="Y301" i="16" s="1"/>
  <c r="Z301" i="16" s="1"/>
  <c r="M301" i="16"/>
  <c r="K304" i="16" l="1"/>
  <c r="L303" i="16"/>
  <c r="X302" i="16"/>
  <c r="Y302" i="16" s="1"/>
  <c r="Z302" i="16" s="1"/>
  <c r="M302" i="16"/>
  <c r="AI302" i="16"/>
  <c r="AJ302" i="16" s="1"/>
  <c r="AK302" i="16" s="1"/>
  <c r="T302" i="16"/>
  <c r="U302" i="16" s="1"/>
  <c r="V302" i="16" s="1"/>
  <c r="S302" i="16"/>
  <c r="AP302" i="16"/>
  <c r="AQ302" i="16" s="1"/>
  <c r="AR302" i="16" s="1"/>
  <c r="AA302" i="16"/>
  <c r="AB302" i="16" s="1"/>
  <c r="AC302" i="16" s="1"/>
  <c r="N302" i="16"/>
  <c r="L304" i="16" l="1"/>
  <c r="K305" i="16"/>
  <c r="AP303" i="16"/>
  <c r="AQ303" i="16" s="1"/>
  <c r="AR303" i="16" s="1"/>
  <c r="AA303" i="16"/>
  <c r="AB303" i="16" s="1"/>
  <c r="AC303" i="16" s="1"/>
  <c r="N303" i="16"/>
  <c r="S303" i="16"/>
  <c r="AI303" i="16"/>
  <c r="AJ303" i="16" s="1"/>
  <c r="AK303" i="16" s="1"/>
  <c r="T303" i="16"/>
  <c r="U303" i="16" s="1"/>
  <c r="V303" i="16" s="1"/>
  <c r="X303" i="16"/>
  <c r="Y303" i="16" s="1"/>
  <c r="Z303" i="16" s="1"/>
  <c r="M303" i="16"/>
  <c r="K306" i="16" l="1"/>
  <c r="L305" i="16"/>
  <c r="X304" i="16"/>
  <c r="Y304" i="16" s="1"/>
  <c r="Z304" i="16" s="1"/>
  <c r="M304" i="16"/>
  <c r="AI304" i="16"/>
  <c r="AJ304" i="16" s="1"/>
  <c r="AK304" i="16" s="1"/>
  <c r="T304" i="16"/>
  <c r="U304" i="16" s="1"/>
  <c r="V304" i="16" s="1"/>
  <c r="S304" i="16"/>
  <c r="AP304" i="16"/>
  <c r="AQ304" i="16" s="1"/>
  <c r="AR304" i="16" s="1"/>
  <c r="AA304" i="16"/>
  <c r="AB304" i="16" s="1"/>
  <c r="AC304" i="16" s="1"/>
  <c r="N304" i="16"/>
  <c r="K307" i="16" l="1"/>
  <c r="L306" i="16"/>
  <c r="AP305" i="16"/>
  <c r="AQ305" i="16" s="1"/>
  <c r="AR305" i="16" s="1"/>
  <c r="AA305" i="16"/>
  <c r="AB305" i="16" s="1"/>
  <c r="AC305" i="16" s="1"/>
  <c r="N305" i="16"/>
  <c r="S305" i="16"/>
  <c r="AI305" i="16"/>
  <c r="AJ305" i="16" s="1"/>
  <c r="AK305" i="16" s="1"/>
  <c r="T305" i="16"/>
  <c r="U305" i="16" s="1"/>
  <c r="V305" i="16" s="1"/>
  <c r="X305" i="16"/>
  <c r="Y305" i="16" s="1"/>
  <c r="Z305" i="16" s="1"/>
  <c r="M305" i="16"/>
  <c r="L307" i="16" l="1"/>
  <c r="K308" i="16"/>
  <c r="X306" i="16"/>
  <c r="Y306" i="16" s="1"/>
  <c r="Z306" i="16" s="1"/>
  <c r="M306" i="16"/>
  <c r="AI306" i="16"/>
  <c r="AJ306" i="16" s="1"/>
  <c r="AK306" i="16" s="1"/>
  <c r="T306" i="16"/>
  <c r="U306" i="16" s="1"/>
  <c r="V306" i="16" s="1"/>
  <c r="S306" i="16"/>
  <c r="AP306" i="16"/>
  <c r="AQ306" i="16" s="1"/>
  <c r="AR306" i="16" s="1"/>
  <c r="AA306" i="16"/>
  <c r="AB306" i="16" s="1"/>
  <c r="AC306" i="16" s="1"/>
  <c r="N306" i="16"/>
  <c r="L308" i="16" l="1"/>
  <c r="K309" i="16"/>
  <c r="AP307" i="16"/>
  <c r="AQ307" i="16" s="1"/>
  <c r="AR307" i="16" s="1"/>
  <c r="AA307" i="16"/>
  <c r="AB307" i="16" s="1"/>
  <c r="AC307" i="16" s="1"/>
  <c r="N307" i="16"/>
  <c r="S307" i="16"/>
  <c r="AI307" i="16"/>
  <c r="AJ307" i="16" s="1"/>
  <c r="AK307" i="16" s="1"/>
  <c r="T307" i="16"/>
  <c r="U307" i="16" s="1"/>
  <c r="V307" i="16" s="1"/>
  <c r="X307" i="16"/>
  <c r="Y307" i="16" s="1"/>
  <c r="Z307" i="16" s="1"/>
  <c r="M307" i="16"/>
  <c r="K310" i="16" l="1"/>
  <c r="L309" i="16"/>
  <c r="X308" i="16"/>
  <c r="Y308" i="16" s="1"/>
  <c r="Z308" i="16" s="1"/>
  <c r="M308" i="16"/>
  <c r="AI308" i="16"/>
  <c r="AJ308" i="16" s="1"/>
  <c r="AK308" i="16" s="1"/>
  <c r="T308" i="16"/>
  <c r="U308" i="16" s="1"/>
  <c r="V308" i="16" s="1"/>
  <c r="S308" i="16"/>
  <c r="AP308" i="16"/>
  <c r="AQ308" i="16" s="1"/>
  <c r="AR308" i="16" s="1"/>
  <c r="AA308" i="16"/>
  <c r="AB308" i="16" s="1"/>
  <c r="AC308" i="16" s="1"/>
  <c r="N308" i="16"/>
  <c r="L310" i="16" l="1"/>
  <c r="K311" i="16"/>
  <c r="AP309" i="16"/>
  <c r="AQ309" i="16" s="1"/>
  <c r="AR309" i="16" s="1"/>
  <c r="AA309" i="16"/>
  <c r="AB309" i="16" s="1"/>
  <c r="AC309" i="16" s="1"/>
  <c r="N309" i="16"/>
  <c r="S309" i="16"/>
  <c r="AI309" i="16"/>
  <c r="AJ309" i="16" s="1"/>
  <c r="AK309" i="16" s="1"/>
  <c r="T309" i="16"/>
  <c r="U309" i="16" s="1"/>
  <c r="V309" i="16" s="1"/>
  <c r="X309" i="16"/>
  <c r="Y309" i="16" s="1"/>
  <c r="Z309" i="16" s="1"/>
  <c r="M309" i="16"/>
  <c r="L311" i="16" l="1"/>
  <c r="K312" i="16"/>
  <c r="X310" i="16"/>
  <c r="Y310" i="16" s="1"/>
  <c r="Z310" i="16" s="1"/>
  <c r="M310" i="16"/>
  <c r="AI310" i="16"/>
  <c r="AJ310" i="16" s="1"/>
  <c r="AK310" i="16" s="1"/>
  <c r="T310" i="16"/>
  <c r="U310" i="16" s="1"/>
  <c r="V310" i="16" s="1"/>
  <c r="S310" i="16"/>
  <c r="AP310" i="16"/>
  <c r="AQ310" i="16" s="1"/>
  <c r="AR310" i="16" s="1"/>
  <c r="AA310" i="16"/>
  <c r="AB310" i="16" s="1"/>
  <c r="AC310" i="16" s="1"/>
  <c r="N310" i="16"/>
  <c r="K313" i="16" l="1"/>
  <c r="L312" i="16"/>
  <c r="AP311" i="16"/>
  <c r="AQ311" i="16" s="1"/>
  <c r="AR311" i="16" s="1"/>
  <c r="AA311" i="16"/>
  <c r="AB311" i="16" s="1"/>
  <c r="AC311" i="16" s="1"/>
  <c r="N311" i="16"/>
  <c r="S311" i="16"/>
  <c r="AI311" i="16"/>
  <c r="AJ311" i="16" s="1"/>
  <c r="AK311" i="16" s="1"/>
  <c r="T311" i="16"/>
  <c r="U311" i="16" s="1"/>
  <c r="V311" i="16" s="1"/>
  <c r="X311" i="16"/>
  <c r="Y311" i="16" s="1"/>
  <c r="Z311" i="16" s="1"/>
  <c r="M311" i="16"/>
  <c r="K314" i="16" l="1"/>
  <c r="L313" i="16"/>
  <c r="AP312" i="16"/>
  <c r="AQ312" i="16" s="1"/>
  <c r="AR312" i="16" s="1"/>
  <c r="AA312" i="16"/>
  <c r="AB312" i="16" s="1"/>
  <c r="AC312" i="16" s="1"/>
  <c r="S312" i="16"/>
  <c r="N312" i="16"/>
  <c r="AI312" i="16"/>
  <c r="AJ312" i="16" s="1"/>
  <c r="AK312" i="16" s="1"/>
  <c r="X312" i="16"/>
  <c r="Y312" i="16" s="1"/>
  <c r="Z312" i="16" s="1"/>
  <c r="M312" i="16"/>
  <c r="T312" i="16"/>
  <c r="U312" i="16" s="1"/>
  <c r="V312" i="16" s="1"/>
  <c r="L314" i="16" l="1"/>
  <c r="K315" i="16"/>
  <c r="X313" i="16"/>
  <c r="Y313" i="16" s="1"/>
  <c r="Z313" i="16" s="1"/>
  <c r="M313" i="16"/>
  <c r="AI313" i="16"/>
  <c r="AJ313" i="16" s="1"/>
  <c r="AK313" i="16" s="1"/>
  <c r="T313" i="16"/>
  <c r="U313" i="16" s="1"/>
  <c r="V313" i="16" s="1"/>
  <c r="S313" i="16"/>
  <c r="AP313" i="16"/>
  <c r="AQ313" i="16" s="1"/>
  <c r="AR313" i="16" s="1"/>
  <c r="AA313" i="16"/>
  <c r="AB313" i="16" s="1"/>
  <c r="AC313" i="16" s="1"/>
  <c r="N313" i="16"/>
  <c r="K316" i="16" l="1"/>
  <c r="L315" i="16"/>
  <c r="AP314" i="16"/>
  <c r="AQ314" i="16" s="1"/>
  <c r="AR314" i="16" s="1"/>
  <c r="AA314" i="16"/>
  <c r="AB314" i="16" s="1"/>
  <c r="AC314" i="16" s="1"/>
  <c r="N314" i="16"/>
  <c r="S314" i="16"/>
  <c r="AI314" i="16"/>
  <c r="AJ314" i="16" s="1"/>
  <c r="AK314" i="16" s="1"/>
  <c r="T314" i="16"/>
  <c r="U314" i="16" s="1"/>
  <c r="V314" i="16" s="1"/>
  <c r="X314" i="16"/>
  <c r="Y314" i="16" s="1"/>
  <c r="Z314" i="16" s="1"/>
  <c r="M314" i="16"/>
  <c r="K317" i="16" l="1"/>
  <c r="L316" i="16"/>
  <c r="X315" i="16"/>
  <c r="Y315" i="16" s="1"/>
  <c r="Z315" i="16" s="1"/>
  <c r="M315" i="16"/>
  <c r="AI315" i="16"/>
  <c r="AJ315" i="16" s="1"/>
  <c r="AK315" i="16" s="1"/>
  <c r="T315" i="16"/>
  <c r="U315" i="16" s="1"/>
  <c r="V315" i="16" s="1"/>
  <c r="S315" i="16"/>
  <c r="AP315" i="16"/>
  <c r="AQ315" i="16" s="1"/>
  <c r="AR315" i="16" s="1"/>
  <c r="AA315" i="16"/>
  <c r="AB315" i="16" s="1"/>
  <c r="AC315" i="16" s="1"/>
  <c r="N315" i="16"/>
  <c r="K318" i="16" l="1"/>
  <c r="L317" i="16"/>
  <c r="AP316" i="16"/>
  <c r="AQ316" i="16" s="1"/>
  <c r="AR316" i="16" s="1"/>
  <c r="AA316" i="16"/>
  <c r="AB316" i="16" s="1"/>
  <c r="AC316" i="16" s="1"/>
  <c r="N316" i="16"/>
  <c r="S316" i="16"/>
  <c r="AI316" i="16"/>
  <c r="AJ316" i="16" s="1"/>
  <c r="AK316" i="16" s="1"/>
  <c r="T316" i="16"/>
  <c r="U316" i="16" s="1"/>
  <c r="V316" i="16" s="1"/>
  <c r="X316" i="16"/>
  <c r="Y316" i="16" s="1"/>
  <c r="Z316" i="16" s="1"/>
  <c r="M316" i="16"/>
  <c r="K319" i="16" l="1"/>
  <c r="L318" i="16"/>
  <c r="X317" i="16"/>
  <c r="Y317" i="16" s="1"/>
  <c r="Z317" i="16" s="1"/>
  <c r="M317" i="16"/>
  <c r="AI317" i="16"/>
  <c r="AJ317" i="16" s="1"/>
  <c r="AK317" i="16" s="1"/>
  <c r="T317" i="16"/>
  <c r="U317" i="16" s="1"/>
  <c r="V317" i="16" s="1"/>
  <c r="S317" i="16"/>
  <c r="AP317" i="16"/>
  <c r="AQ317" i="16" s="1"/>
  <c r="AR317" i="16" s="1"/>
  <c r="AA317" i="16"/>
  <c r="AB317" i="16" s="1"/>
  <c r="AC317" i="16" s="1"/>
  <c r="N317" i="16"/>
  <c r="L319" i="16" l="1"/>
  <c r="K320" i="16"/>
  <c r="AP318" i="16"/>
  <c r="AQ318" i="16" s="1"/>
  <c r="AR318" i="16" s="1"/>
  <c r="AA318" i="16"/>
  <c r="AB318" i="16" s="1"/>
  <c r="AC318" i="16" s="1"/>
  <c r="N318" i="16"/>
  <c r="S318" i="16"/>
  <c r="AI318" i="16"/>
  <c r="AJ318" i="16" s="1"/>
  <c r="AK318" i="16" s="1"/>
  <c r="T318" i="16"/>
  <c r="U318" i="16" s="1"/>
  <c r="V318" i="16" s="1"/>
  <c r="X318" i="16"/>
  <c r="Y318" i="16" s="1"/>
  <c r="Z318" i="16" s="1"/>
  <c r="M318" i="16"/>
  <c r="L320" i="16" l="1"/>
  <c r="K321" i="16"/>
  <c r="X319" i="16"/>
  <c r="Y319" i="16" s="1"/>
  <c r="Z319" i="16" s="1"/>
  <c r="M319" i="16"/>
  <c r="AI319" i="16"/>
  <c r="AJ319" i="16" s="1"/>
  <c r="AK319" i="16" s="1"/>
  <c r="T319" i="16"/>
  <c r="U319" i="16" s="1"/>
  <c r="V319" i="16" s="1"/>
  <c r="S319" i="16"/>
  <c r="AP319" i="16"/>
  <c r="AQ319" i="16" s="1"/>
  <c r="AR319" i="16" s="1"/>
  <c r="AA319" i="16"/>
  <c r="AB319" i="16" s="1"/>
  <c r="AC319" i="16" s="1"/>
  <c r="N319" i="16"/>
  <c r="K322" i="16" l="1"/>
  <c r="L321" i="16"/>
  <c r="AP320" i="16"/>
  <c r="AQ320" i="16" s="1"/>
  <c r="AR320" i="16" s="1"/>
  <c r="AA320" i="16"/>
  <c r="AB320" i="16" s="1"/>
  <c r="AC320" i="16" s="1"/>
  <c r="N320" i="16"/>
  <c r="S320" i="16"/>
  <c r="AI320" i="16"/>
  <c r="AJ320" i="16" s="1"/>
  <c r="AK320" i="16" s="1"/>
  <c r="T320" i="16"/>
  <c r="U320" i="16" s="1"/>
  <c r="V320" i="16" s="1"/>
  <c r="X320" i="16"/>
  <c r="Y320" i="16" s="1"/>
  <c r="Z320" i="16" s="1"/>
  <c r="M320" i="16"/>
  <c r="K323" i="16" l="1"/>
  <c r="L322" i="16"/>
  <c r="X321" i="16"/>
  <c r="Y321" i="16" s="1"/>
  <c r="Z321" i="16" s="1"/>
  <c r="M321" i="16"/>
  <c r="AI321" i="16"/>
  <c r="AJ321" i="16" s="1"/>
  <c r="AK321" i="16" s="1"/>
  <c r="T321" i="16"/>
  <c r="U321" i="16" s="1"/>
  <c r="V321" i="16" s="1"/>
  <c r="S321" i="16"/>
  <c r="AP321" i="16"/>
  <c r="AQ321" i="16" s="1"/>
  <c r="AR321" i="16" s="1"/>
  <c r="AA321" i="16"/>
  <c r="AB321" i="16" s="1"/>
  <c r="AC321" i="16" s="1"/>
  <c r="N321" i="16"/>
  <c r="L323" i="16" l="1"/>
  <c r="K324" i="16"/>
  <c r="AP322" i="16"/>
  <c r="AQ322" i="16" s="1"/>
  <c r="AR322" i="16" s="1"/>
  <c r="AA322" i="16"/>
  <c r="AB322" i="16" s="1"/>
  <c r="AC322" i="16" s="1"/>
  <c r="N322" i="16"/>
  <c r="S322" i="16"/>
  <c r="AI322" i="16"/>
  <c r="AJ322" i="16" s="1"/>
  <c r="AK322" i="16" s="1"/>
  <c r="T322" i="16"/>
  <c r="U322" i="16" s="1"/>
  <c r="V322" i="16" s="1"/>
  <c r="X322" i="16"/>
  <c r="Y322" i="16" s="1"/>
  <c r="Z322" i="16" s="1"/>
  <c r="M322" i="16"/>
  <c r="K325" i="16" l="1"/>
  <c r="L324" i="16"/>
  <c r="X323" i="16"/>
  <c r="Y323" i="16" s="1"/>
  <c r="Z323" i="16" s="1"/>
  <c r="M323" i="16"/>
  <c r="AI323" i="16"/>
  <c r="AJ323" i="16" s="1"/>
  <c r="AK323" i="16" s="1"/>
  <c r="T323" i="16"/>
  <c r="U323" i="16" s="1"/>
  <c r="V323" i="16" s="1"/>
  <c r="S323" i="16"/>
  <c r="AP323" i="16"/>
  <c r="AQ323" i="16" s="1"/>
  <c r="AR323" i="16" s="1"/>
  <c r="AA323" i="16"/>
  <c r="AB323" i="16" s="1"/>
  <c r="AC323" i="16" s="1"/>
  <c r="N323" i="16"/>
  <c r="K326" i="16" l="1"/>
  <c r="L325" i="16"/>
  <c r="AP324" i="16"/>
  <c r="AQ324" i="16" s="1"/>
  <c r="AR324" i="16" s="1"/>
  <c r="AA324" i="16"/>
  <c r="AB324" i="16" s="1"/>
  <c r="AC324" i="16" s="1"/>
  <c r="N324" i="16"/>
  <c r="S324" i="16"/>
  <c r="AI324" i="16"/>
  <c r="AJ324" i="16" s="1"/>
  <c r="AK324" i="16" s="1"/>
  <c r="T324" i="16"/>
  <c r="U324" i="16" s="1"/>
  <c r="V324" i="16" s="1"/>
  <c r="X324" i="16"/>
  <c r="Y324" i="16" s="1"/>
  <c r="Z324" i="16" s="1"/>
  <c r="M324" i="16"/>
  <c r="L326" i="16" l="1"/>
  <c r="K327" i="16"/>
  <c r="X325" i="16"/>
  <c r="Y325" i="16" s="1"/>
  <c r="Z325" i="16" s="1"/>
  <c r="M325" i="16"/>
  <c r="AI325" i="16"/>
  <c r="AJ325" i="16" s="1"/>
  <c r="AK325" i="16" s="1"/>
  <c r="T325" i="16"/>
  <c r="U325" i="16" s="1"/>
  <c r="V325" i="16" s="1"/>
  <c r="S325" i="16"/>
  <c r="AP325" i="16"/>
  <c r="AQ325" i="16" s="1"/>
  <c r="AR325" i="16" s="1"/>
  <c r="AA325" i="16"/>
  <c r="AB325" i="16" s="1"/>
  <c r="AC325" i="16" s="1"/>
  <c r="N325" i="16"/>
  <c r="K328" i="16" l="1"/>
  <c r="L327" i="16"/>
  <c r="AP326" i="16"/>
  <c r="AQ326" i="16" s="1"/>
  <c r="AR326" i="16" s="1"/>
  <c r="AA326" i="16"/>
  <c r="AB326" i="16" s="1"/>
  <c r="AC326" i="16" s="1"/>
  <c r="N326" i="16"/>
  <c r="S326" i="16"/>
  <c r="AI326" i="16"/>
  <c r="AJ326" i="16" s="1"/>
  <c r="AK326" i="16" s="1"/>
  <c r="T326" i="16"/>
  <c r="U326" i="16" s="1"/>
  <c r="V326" i="16" s="1"/>
  <c r="X326" i="16"/>
  <c r="Y326" i="16" s="1"/>
  <c r="Z326" i="16" s="1"/>
  <c r="M326" i="16"/>
  <c r="K329" i="16" l="1"/>
  <c r="L328" i="16"/>
  <c r="X327" i="16"/>
  <c r="Y327" i="16" s="1"/>
  <c r="Z327" i="16" s="1"/>
  <c r="M327" i="16"/>
  <c r="AI327" i="16"/>
  <c r="AJ327" i="16" s="1"/>
  <c r="AK327" i="16" s="1"/>
  <c r="T327" i="16"/>
  <c r="U327" i="16" s="1"/>
  <c r="V327" i="16" s="1"/>
  <c r="S327" i="16"/>
  <c r="AP327" i="16"/>
  <c r="AQ327" i="16" s="1"/>
  <c r="AR327" i="16" s="1"/>
  <c r="AA327" i="16"/>
  <c r="AB327" i="16" s="1"/>
  <c r="AC327" i="16" s="1"/>
  <c r="N327" i="16"/>
  <c r="K330" i="16" l="1"/>
  <c r="L329" i="16"/>
  <c r="AP328" i="16"/>
  <c r="AQ328" i="16" s="1"/>
  <c r="AR328" i="16" s="1"/>
  <c r="AA328" i="16"/>
  <c r="AB328" i="16" s="1"/>
  <c r="AC328" i="16" s="1"/>
  <c r="N328" i="16"/>
  <c r="S328" i="16"/>
  <c r="AI328" i="16"/>
  <c r="AJ328" i="16" s="1"/>
  <c r="AK328" i="16" s="1"/>
  <c r="T328" i="16"/>
  <c r="U328" i="16" s="1"/>
  <c r="V328" i="16" s="1"/>
  <c r="X328" i="16"/>
  <c r="Y328" i="16" s="1"/>
  <c r="Z328" i="16" s="1"/>
  <c r="M328" i="16"/>
  <c r="K331" i="16" l="1"/>
  <c r="L330" i="16"/>
  <c r="X329" i="16"/>
  <c r="Y329" i="16" s="1"/>
  <c r="Z329" i="16" s="1"/>
  <c r="M329" i="16"/>
  <c r="AI329" i="16"/>
  <c r="AJ329" i="16" s="1"/>
  <c r="AK329" i="16" s="1"/>
  <c r="T329" i="16"/>
  <c r="U329" i="16" s="1"/>
  <c r="V329" i="16" s="1"/>
  <c r="S329" i="16"/>
  <c r="AP329" i="16"/>
  <c r="AQ329" i="16" s="1"/>
  <c r="AR329" i="16" s="1"/>
  <c r="AA329" i="16"/>
  <c r="AB329" i="16" s="1"/>
  <c r="AC329" i="16" s="1"/>
  <c r="N329" i="16"/>
  <c r="L331" i="16" l="1"/>
  <c r="K332" i="16"/>
  <c r="AP330" i="16"/>
  <c r="AQ330" i="16" s="1"/>
  <c r="AR330" i="16" s="1"/>
  <c r="AA330" i="16"/>
  <c r="AB330" i="16" s="1"/>
  <c r="AC330" i="16" s="1"/>
  <c r="N330" i="16"/>
  <c r="S330" i="16"/>
  <c r="AI330" i="16"/>
  <c r="AJ330" i="16" s="1"/>
  <c r="AK330" i="16" s="1"/>
  <c r="T330" i="16"/>
  <c r="U330" i="16" s="1"/>
  <c r="V330" i="16" s="1"/>
  <c r="X330" i="16"/>
  <c r="Y330" i="16" s="1"/>
  <c r="Z330" i="16" s="1"/>
  <c r="M330" i="16"/>
  <c r="L332" i="16" l="1"/>
  <c r="K333" i="16"/>
  <c r="X331" i="16"/>
  <c r="Y331" i="16" s="1"/>
  <c r="Z331" i="16" s="1"/>
  <c r="M331" i="16"/>
  <c r="AI331" i="16"/>
  <c r="AJ331" i="16" s="1"/>
  <c r="AK331" i="16" s="1"/>
  <c r="T331" i="16"/>
  <c r="U331" i="16" s="1"/>
  <c r="V331" i="16" s="1"/>
  <c r="S331" i="16"/>
  <c r="AP331" i="16"/>
  <c r="AQ331" i="16" s="1"/>
  <c r="AR331" i="16" s="1"/>
  <c r="AA331" i="16"/>
  <c r="AB331" i="16" s="1"/>
  <c r="AC331" i="16" s="1"/>
  <c r="N331" i="16"/>
  <c r="K334" i="16" l="1"/>
  <c r="L333" i="16"/>
  <c r="AP332" i="16"/>
  <c r="AQ332" i="16" s="1"/>
  <c r="AR332" i="16" s="1"/>
  <c r="AA332" i="16"/>
  <c r="AB332" i="16" s="1"/>
  <c r="AC332" i="16" s="1"/>
  <c r="N332" i="16"/>
  <c r="S332" i="16"/>
  <c r="AI332" i="16"/>
  <c r="AJ332" i="16" s="1"/>
  <c r="AK332" i="16" s="1"/>
  <c r="T332" i="16"/>
  <c r="U332" i="16" s="1"/>
  <c r="V332" i="16" s="1"/>
  <c r="X332" i="16"/>
  <c r="Y332" i="16" s="1"/>
  <c r="Z332" i="16" s="1"/>
  <c r="M332" i="16"/>
  <c r="K335" i="16" l="1"/>
  <c r="L334" i="16"/>
  <c r="AP333" i="16"/>
  <c r="AQ333" i="16" s="1"/>
  <c r="AR333" i="16" s="1"/>
  <c r="AA333" i="16"/>
  <c r="AB333" i="16" s="1"/>
  <c r="AC333" i="16" s="1"/>
  <c r="M333" i="16"/>
  <c r="S333" i="16"/>
  <c r="AI333" i="16"/>
  <c r="AJ333" i="16" s="1"/>
  <c r="AK333" i="16" s="1"/>
  <c r="T333" i="16"/>
  <c r="U333" i="16" s="1"/>
  <c r="V333" i="16" s="1"/>
  <c r="X333" i="16"/>
  <c r="Y333" i="16" s="1"/>
  <c r="Z333" i="16" s="1"/>
  <c r="N333" i="16"/>
  <c r="L335" i="16" l="1"/>
  <c r="K336" i="16"/>
  <c r="X334" i="16"/>
  <c r="Y334" i="16" s="1"/>
  <c r="Z334" i="16" s="1"/>
  <c r="M334" i="16"/>
  <c r="AI334" i="16"/>
  <c r="AJ334" i="16" s="1"/>
  <c r="AK334" i="16" s="1"/>
  <c r="T334" i="16"/>
  <c r="U334" i="16" s="1"/>
  <c r="V334" i="16" s="1"/>
  <c r="S334" i="16"/>
  <c r="AP334" i="16"/>
  <c r="AQ334" i="16" s="1"/>
  <c r="AR334" i="16" s="1"/>
  <c r="AA334" i="16"/>
  <c r="AB334" i="16" s="1"/>
  <c r="AC334" i="16" s="1"/>
  <c r="N334" i="16"/>
  <c r="K337" i="16" l="1"/>
  <c r="L336" i="16"/>
  <c r="AP335" i="16"/>
  <c r="AQ335" i="16" s="1"/>
  <c r="AR335" i="16" s="1"/>
  <c r="AA335" i="16"/>
  <c r="AB335" i="16" s="1"/>
  <c r="AC335" i="16" s="1"/>
  <c r="N335" i="16"/>
  <c r="S335" i="16"/>
  <c r="AI335" i="16"/>
  <c r="AJ335" i="16" s="1"/>
  <c r="AK335" i="16" s="1"/>
  <c r="T335" i="16"/>
  <c r="U335" i="16" s="1"/>
  <c r="V335" i="16" s="1"/>
  <c r="X335" i="16"/>
  <c r="Y335" i="16" s="1"/>
  <c r="Z335" i="16" s="1"/>
  <c r="M335" i="16"/>
  <c r="K338" i="16" l="1"/>
  <c r="L337" i="16"/>
  <c r="X336" i="16"/>
  <c r="Y336" i="16" s="1"/>
  <c r="Z336" i="16" s="1"/>
  <c r="M336" i="16"/>
  <c r="AI336" i="16"/>
  <c r="AJ336" i="16" s="1"/>
  <c r="AK336" i="16" s="1"/>
  <c r="T336" i="16"/>
  <c r="U336" i="16" s="1"/>
  <c r="V336" i="16" s="1"/>
  <c r="S336" i="16"/>
  <c r="AP336" i="16"/>
  <c r="AQ336" i="16" s="1"/>
  <c r="AR336" i="16" s="1"/>
  <c r="AA336" i="16"/>
  <c r="AB336" i="16" s="1"/>
  <c r="AC336" i="16" s="1"/>
  <c r="N336" i="16"/>
  <c r="K339" i="16" l="1"/>
  <c r="L338" i="16"/>
  <c r="AP337" i="16"/>
  <c r="AQ337" i="16" s="1"/>
  <c r="AR337" i="16" s="1"/>
  <c r="AA337" i="16"/>
  <c r="AB337" i="16" s="1"/>
  <c r="AC337" i="16" s="1"/>
  <c r="N337" i="16"/>
  <c r="S337" i="16"/>
  <c r="AI337" i="16"/>
  <c r="AJ337" i="16" s="1"/>
  <c r="AK337" i="16" s="1"/>
  <c r="T337" i="16"/>
  <c r="U337" i="16" s="1"/>
  <c r="V337" i="16" s="1"/>
  <c r="X337" i="16"/>
  <c r="Y337" i="16" s="1"/>
  <c r="Z337" i="16" s="1"/>
  <c r="M337" i="16"/>
  <c r="K340" i="16" l="1"/>
  <c r="L339" i="16"/>
  <c r="X338" i="16"/>
  <c r="Y338" i="16" s="1"/>
  <c r="Z338" i="16" s="1"/>
  <c r="M338" i="16"/>
  <c r="AI338" i="16"/>
  <c r="AJ338" i="16" s="1"/>
  <c r="AK338" i="16" s="1"/>
  <c r="T338" i="16"/>
  <c r="U338" i="16" s="1"/>
  <c r="V338" i="16" s="1"/>
  <c r="S338" i="16"/>
  <c r="AP338" i="16"/>
  <c r="AQ338" i="16" s="1"/>
  <c r="AR338" i="16" s="1"/>
  <c r="AA338" i="16"/>
  <c r="AB338" i="16" s="1"/>
  <c r="AC338" i="16" s="1"/>
  <c r="N338" i="16"/>
  <c r="K341" i="16" l="1"/>
  <c r="L340" i="16"/>
  <c r="AP339" i="16"/>
  <c r="AQ339" i="16" s="1"/>
  <c r="AR339" i="16" s="1"/>
  <c r="AA339" i="16"/>
  <c r="AB339" i="16" s="1"/>
  <c r="AC339" i="16" s="1"/>
  <c r="N339" i="16"/>
  <c r="S339" i="16"/>
  <c r="AI339" i="16"/>
  <c r="AJ339" i="16" s="1"/>
  <c r="AK339" i="16" s="1"/>
  <c r="T339" i="16"/>
  <c r="U339" i="16" s="1"/>
  <c r="V339" i="16" s="1"/>
  <c r="X339" i="16"/>
  <c r="Y339" i="16" s="1"/>
  <c r="Z339" i="16" s="1"/>
  <c r="M339" i="16"/>
  <c r="L341" i="16" l="1"/>
  <c r="K342" i="16"/>
  <c r="X340" i="16"/>
  <c r="Y340" i="16" s="1"/>
  <c r="Z340" i="16" s="1"/>
  <c r="M340" i="16"/>
  <c r="AI340" i="16"/>
  <c r="AJ340" i="16" s="1"/>
  <c r="AK340" i="16" s="1"/>
  <c r="T340" i="16"/>
  <c r="U340" i="16" s="1"/>
  <c r="V340" i="16" s="1"/>
  <c r="S340" i="16"/>
  <c r="AP340" i="16"/>
  <c r="AQ340" i="16" s="1"/>
  <c r="AR340" i="16" s="1"/>
  <c r="AA340" i="16"/>
  <c r="AB340" i="16" s="1"/>
  <c r="AC340" i="16" s="1"/>
  <c r="N340" i="16"/>
  <c r="K343" i="16" l="1"/>
  <c r="L342" i="16"/>
  <c r="AP341" i="16"/>
  <c r="AQ341" i="16" s="1"/>
  <c r="AR341" i="16" s="1"/>
  <c r="AA341" i="16"/>
  <c r="AB341" i="16" s="1"/>
  <c r="AC341" i="16" s="1"/>
  <c r="N341" i="16"/>
  <c r="S341" i="16"/>
  <c r="AI341" i="16"/>
  <c r="AJ341" i="16" s="1"/>
  <c r="AK341" i="16" s="1"/>
  <c r="T341" i="16"/>
  <c r="U341" i="16" s="1"/>
  <c r="V341" i="16" s="1"/>
  <c r="X341" i="16"/>
  <c r="Y341" i="16" s="1"/>
  <c r="Z341" i="16" s="1"/>
  <c r="M341" i="16"/>
  <c r="K344" i="16" l="1"/>
  <c r="L343" i="16"/>
  <c r="X342" i="16"/>
  <c r="Y342" i="16" s="1"/>
  <c r="Z342" i="16" s="1"/>
  <c r="M342" i="16"/>
  <c r="AI342" i="16"/>
  <c r="AJ342" i="16" s="1"/>
  <c r="AK342" i="16" s="1"/>
  <c r="T342" i="16"/>
  <c r="U342" i="16" s="1"/>
  <c r="V342" i="16" s="1"/>
  <c r="S342" i="16"/>
  <c r="AP342" i="16"/>
  <c r="AQ342" i="16" s="1"/>
  <c r="AR342" i="16" s="1"/>
  <c r="AA342" i="16"/>
  <c r="AB342" i="16" s="1"/>
  <c r="AC342" i="16" s="1"/>
  <c r="N342" i="16"/>
  <c r="K345" i="16" l="1"/>
  <c r="L344" i="16"/>
  <c r="AP343" i="16"/>
  <c r="AQ343" i="16" s="1"/>
  <c r="AR343" i="16" s="1"/>
  <c r="AA343" i="16"/>
  <c r="AB343" i="16" s="1"/>
  <c r="AC343" i="16" s="1"/>
  <c r="N343" i="16"/>
  <c r="S343" i="16"/>
  <c r="AI343" i="16"/>
  <c r="AJ343" i="16" s="1"/>
  <c r="AK343" i="16" s="1"/>
  <c r="T343" i="16"/>
  <c r="U343" i="16" s="1"/>
  <c r="V343" i="16" s="1"/>
  <c r="X343" i="16"/>
  <c r="Y343" i="16" s="1"/>
  <c r="Z343" i="16" s="1"/>
  <c r="M343" i="16"/>
  <c r="K346" i="16" l="1"/>
  <c r="L345" i="16"/>
  <c r="X344" i="16"/>
  <c r="Y344" i="16" s="1"/>
  <c r="Z344" i="16" s="1"/>
  <c r="M344" i="16"/>
  <c r="AI344" i="16"/>
  <c r="AJ344" i="16" s="1"/>
  <c r="AK344" i="16" s="1"/>
  <c r="T344" i="16"/>
  <c r="U344" i="16" s="1"/>
  <c r="V344" i="16" s="1"/>
  <c r="S344" i="16"/>
  <c r="AP344" i="16"/>
  <c r="AQ344" i="16" s="1"/>
  <c r="AR344" i="16" s="1"/>
  <c r="AA344" i="16"/>
  <c r="AB344" i="16" s="1"/>
  <c r="AC344" i="16" s="1"/>
  <c r="N344" i="16"/>
  <c r="K347" i="16" l="1"/>
  <c r="L346" i="16"/>
  <c r="AP345" i="16"/>
  <c r="AQ345" i="16" s="1"/>
  <c r="AR345" i="16" s="1"/>
  <c r="AA345" i="16"/>
  <c r="AB345" i="16" s="1"/>
  <c r="AC345" i="16" s="1"/>
  <c r="N345" i="16"/>
  <c r="S345" i="16"/>
  <c r="AI345" i="16"/>
  <c r="AJ345" i="16" s="1"/>
  <c r="AK345" i="16" s="1"/>
  <c r="T345" i="16"/>
  <c r="U345" i="16" s="1"/>
  <c r="V345" i="16" s="1"/>
  <c r="X345" i="16"/>
  <c r="Y345" i="16" s="1"/>
  <c r="Z345" i="16" s="1"/>
  <c r="M345" i="16"/>
  <c r="K348" i="16" l="1"/>
  <c r="L347" i="16"/>
  <c r="X346" i="16"/>
  <c r="Y346" i="16" s="1"/>
  <c r="Z346" i="16" s="1"/>
  <c r="M346" i="16"/>
  <c r="AI346" i="16"/>
  <c r="AJ346" i="16" s="1"/>
  <c r="AK346" i="16" s="1"/>
  <c r="T346" i="16"/>
  <c r="U346" i="16" s="1"/>
  <c r="V346" i="16" s="1"/>
  <c r="S346" i="16"/>
  <c r="AP346" i="16"/>
  <c r="AQ346" i="16" s="1"/>
  <c r="AR346" i="16" s="1"/>
  <c r="AA346" i="16"/>
  <c r="AB346" i="16" s="1"/>
  <c r="AC346" i="16" s="1"/>
  <c r="N346" i="16"/>
  <c r="K349" i="16" l="1"/>
  <c r="L348" i="16"/>
  <c r="AI347" i="16"/>
  <c r="AJ347" i="16" s="1"/>
  <c r="AK347" i="16" s="1"/>
  <c r="T347" i="16"/>
  <c r="U347" i="16" s="1"/>
  <c r="V347" i="16" s="1"/>
  <c r="X347" i="16"/>
  <c r="Y347" i="16" s="1"/>
  <c r="Z347" i="16" s="1"/>
  <c r="M347" i="16"/>
  <c r="AP347" i="16"/>
  <c r="AQ347" i="16" s="1"/>
  <c r="AR347" i="16" s="1"/>
  <c r="AA347" i="16"/>
  <c r="AB347" i="16" s="1"/>
  <c r="AC347" i="16" s="1"/>
  <c r="N347" i="16"/>
  <c r="S347" i="16"/>
  <c r="K350" i="16" l="1"/>
  <c r="L349" i="16"/>
  <c r="X348" i="16"/>
  <c r="Y348" i="16" s="1"/>
  <c r="Z348" i="16" s="1"/>
  <c r="M348" i="16"/>
  <c r="AI348" i="16"/>
  <c r="AJ348" i="16" s="1"/>
  <c r="AK348" i="16" s="1"/>
  <c r="T348" i="16"/>
  <c r="U348" i="16" s="1"/>
  <c r="V348" i="16" s="1"/>
  <c r="S348" i="16"/>
  <c r="AP348" i="16"/>
  <c r="AQ348" i="16" s="1"/>
  <c r="AR348" i="16" s="1"/>
  <c r="AA348" i="16"/>
  <c r="AB348" i="16" s="1"/>
  <c r="AC348" i="16" s="1"/>
  <c r="N348" i="16"/>
  <c r="K351" i="16" l="1"/>
  <c r="L350" i="16"/>
  <c r="AP349" i="16"/>
  <c r="AQ349" i="16" s="1"/>
  <c r="AR349" i="16" s="1"/>
  <c r="AA349" i="16"/>
  <c r="AB349" i="16" s="1"/>
  <c r="AC349" i="16" s="1"/>
  <c r="N349" i="16"/>
  <c r="S349" i="16"/>
  <c r="AI349" i="16"/>
  <c r="AJ349" i="16" s="1"/>
  <c r="AK349" i="16" s="1"/>
  <c r="T349" i="16"/>
  <c r="U349" i="16" s="1"/>
  <c r="V349" i="16" s="1"/>
  <c r="X349" i="16"/>
  <c r="Y349" i="16" s="1"/>
  <c r="Z349" i="16" s="1"/>
  <c r="M349" i="16"/>
  <c r="K352" i="16" l="1"/>
  <c r="L351" i="16"/>
  <c r="X350" i="16"/>
  <c r="Y350" i="16" s="1"/>
  <c r="Z350" i="16" s="1"/>
  <c r="M350" i="16"/>
  <c r="AI350" i="16"/>
  <c r="AJ350" i="16" s="1"/>
  <c r="AK350" i="16" s="1"/>
  <c r="T350" i="16"/>
  <c r="U350" i="16" s="1"/>
  <c r="V350" i="16" s="1"/>
  <c r="S350" i="16"/>
  <c r="AP350" i="16"/>
  <c r="AQ350" i="16" s="1"/>
  <c r="AR350" i="16" s="1"/>
  <c r="AA350" i="16"/>
  <c r="AB350" i="16" s="1"/>
  <c r="AC350" i="16" s="1"/>
  <c r="N350" i="16"/>
  <c r="K353" i="16" l="1"/>
  <c r="L352" i="16"/>
  <c r="AP351" i="16"/>
  <c r="AQ351" i="16" s="1"/>
  <c r="AR351" i="16" s="1"/>
  <c r="AA351" i="16"/>
  <c r="AB351" i="16" s="1"/>
  <c r="AC351" i="16" s="1"/>
  <c r="N351" i="16"/>
  <c r="S351" i="16"/>
  <c r="AI351" i="16"/>
  <c r="AJ351" i="16" s="1"/>
  <c r="AK351" i="16" s="1"/>
  <c r="T351" i="16"/>
  <c r="U351" i="16" s="1"/>
  <c r="V351" i="16" s="1"/>
  <c r="X351" i="16"/>
  <c r="Y351" i="16" s="1"/>
  <c r="Z351" i="16" s="1"/>
  <c r="M351" i="16"/>
  <c r="K354" i="16" l="1"/>
  <c r="L353" i="16"/>
  <c r="X352" i="16"/>
  <c r="Y352" i="16" s="1"/>
  <c r="Z352" i="16" s="1"/>
  <c r="M352" i="16"/>
  <c r="AI352" i="16"/>
  <c r="AJ352" i="16" s="1"/>
  <c r="AK352" i="16" s="1"/>
  <c r="T352" i="16"/>
  <c r="U352" i="16" s="1"/>
  <c r="V352" i="16" s="1"/>
  <c r="S352" i="16"/>
  <c r="AP352" i="16"/>
  <c r="AQ352" i="16" s="1"/>
  <c r="AR352" i="16" s="1"/>
  <c r="AA352" i="16"/>
  <c r="AB352" i="16" s="1"/>
  <c r="AC352" i="16" s="1"/>
  <c r="N352" i="16"/>
  <c r="K355" i="16" l="1"/>
  <c r="L354" i="16"/>
  <c r="AP353" i="16"/>
  <c r="AQ353" i="16" s="1"/>
  <c r="AR353" i="16" s="1"/>
  <c r="AA353" i="16"/>
  <c r="AB353" i="16" s="1"/>
  <c r="AC353" i="16" s="1"/>
  <c r="N353" i="16"/>
  <c r="S353" i="16"/>
  <c r="AI353" i="16"/>
  <c r="AJ353" i="16" s="1"/>
  <c r="AK353" i="16" s="1"/>
  <c r="T353" i="16"/>
  <c r="U353" i="16" s="1"/>
  <c r="V353" i="16" s="1"/>
  <c r="X353" i="16"/>
  <c r="Y353" i="16" s="1"/>
  <c r="Z353" i="16" s="1"/>
  <c r="M353" i="16"/>
  <c r="K356" i="16" l="1"/>
  <c r="L355" i="16"/>
  <c r="X354" i="16"/>
  <c r="Y354" i="16" s="1"/>
  <c r="Z354" i="16" s="1"/>
  <c r="AI354" i="16"/>
  <c r="AJ354" i="16" s="1"/>
  <c r="AK354" i="16" s="1"/>
  <c r="M354" i="16"/>
  <c r="T354" i="16"/>
  <c r="U354" i="16" s="1"/>
  <c r="V354" i="16" s="1"/>
  <c r="S354" i="16"/>
  <c r="AA354" i="16"/>
  <c r="AB354" i="16" s="1"/>
  <c r="AC354" i="16" s="1"/>
  <c r="AP354" i="16"/>
  <c r="AQ354" i="16" s="1"/>
  <c r="AR354" i="16" s="1"/>
  <c r="N354" i="16"/>
  <c r="K357" i="16" l="1"/>
  <c r="L356" i="16"/>
  <c r="X355" i="16"/>
  <c r="Y355" i="16" s="1"/>
  <c r="Z355" i="16" s="1"/>
  <c r="M355" i="16"/>
  <c r="AI355" i="16"/>
  <c r="AJ355" i="16" s="1"/>
  <c r="AK355" i="16" s="1"/>
  <c r="T355" i="16"/>
  <c r="U355" i="16" s="1"/>
  <c r="V355" i="16" s="1"/>
  <c r="S355" i="16"/>
  <c r="AP355" i="16"/>
  <c r="AQ355" i="16" s="1"/>
  <c r="AR355" i="16" s="1"/>
  <c r="AA355" i="16"/>
  <c r="AB355" i="16" s="1"/>
  <c r="AC355" i="16" s="1"/>
  <c r="N355" i="16"/>
  <c r="K358" i="16" l="1"/>
  <c r="L357" i="16"/>
  <c r="AP356" i="16"/>
  <c r="AQ356" i="16" s="1"/>
  <c r="AR356" i="16" s="1"/>
  <c r="AA356" i="16"/>
  <c r="AB356" i="16" s="1"/>
  <c r="AC356" i="16" s="1"/>
  <c r="N356" i="16"/>
  <c r="S356" i="16"/>
  <c r="AI356" i="16"/>
  <c r="AJ356" i="16" s="1"/>
  <c r="AK356" i="16" s="1"/>
  <c r="T356" i="16"/>
  <c r="U356" i="16" s="1"/>
  <c r="V356" i="16" s="1"/>
  <c r="X356" i="16"/>
  <c r="Y356" i="16" s="1"/>
  <c r="Z356" i="16" s="1"/>
  <c r="M356" i="16"/>
  <c r="K359" i="16" l="1"/>
  <c r="L358" i="16"/>
  <c r="X357" i="16"/>
  <c r="Y357" i="16" s="1"/>
  <c r="Z357" i="16" s="1"/>
  <c r="M357" i="16"/>
  <c r="AI357" i="16"/>
  <c r="AJ357" i="16" s="1"/>
  <c r="AK357" i="16" s="1"/>
  <c r="T357" i="16"/>
  <c r="U357" i="16" s="1"/>
  <c r="V357" i="16" s="1"/>
  <c r="S357" i="16"/>
  <c r="AP357" i="16"/>
  <c r="AQ357" i="16" s="1"/>
  <c r="AR357" i="16" s="1"/>
  <c r="AA357" i="16"/>
  <c r="AB357" i="16" s="1"/>
  <c r="AC357" i="16" s="1"/>
  <c r="N357" i="16"/>
  <c r="K360" i="16" l="1"/>
  <c r="L359" i="16"/>
  <c r="AP358" i="16"/>
  <c r="AQ358" i="16" s="1"/>
  <c r="AR358" i="16" s="1"/>
  <c r="AA358" i="16"/>
  <c r="AB358" i="16" s="1"/>
  <c r="AC358" i="16" s="1"/>
  <c r="N358" i="16"/>
  <c r="S358" i="16"/>
  <c r="AI358" i="16"/>
  <c r="AJ358" i="16" s="1"/>
  <c r="AK358" i="16" s="1"/>
  <c r="T358" i="16"/>
  <c r="U358" i="16" s="1"/>
  <c r="V358" i="16" s="1"/>
  <c r="X358" i="16"/>
  <c r="Y358" i="16" s="1"/>
  <c r="Z358" i="16" s="1"/>
  <c r="M358" i="16"/>
  <c r="K361" i="16" l="1"/>
  <c r="L360" i="16"/>
  <c r="X359" i="16"/>
  <c r="Y359" i="16" s="1"/>
  <c r="Z359" i="16" s="1"/>
  <c r="M359" i="16"/>
  <c r="AA359" i="16"/>
  <c r="AB359" i="16" s="1"/>
  <c r="AC359" i="16" s="1"/>
  <c r="AP359" i="16"/>
  <c r="AQ359" i="16" s="1"/>
  <c r="AR359" i="16" s="1"/>
  <c r="S359" i="16"/>
  <c r="AI359" i="16"/>
  <c r="AJ359" i="16" s="1"/>
  <c r="AK359" i="16" s="1"/>
  <c r="N359" i="16"/>
  <c r="T359" i="16"/>
  <c r="U359" i="16" s="1"/>
  <c r="V359" i="16" s="1"/>
  <c r="K362" i="16" l="1"/>
  <c r="L361" i="16"/>
  <c r="AP360" i="16"/>
  <c r="AQ360" i="16" s="1"/>
  <c r="AR360" i="16" s="1"/>
  <c r="AA360" i="16"/>
  <c r="AB360" i="16" s="1"/>
  <c r="AC360" i="16" s="1"/>
  <c r="N360" i="16"/>
  <c r="M360" i="16"/>
  <c r="AI360" i="16"/>
  <c r="AJ360" i="16" s="1"/>
  <c r="AK360" i="16" s="1"/>
  <c r="T360" i="16"/>
  <c r="U360" i="16" s="1"/>
  <c r="V360" i="16" s="1"/>
  <c r="X360" i="16"/>
  <c r="Y360" i="16" s="1"/>
  <c r="Z360" i="16" s="1"/>
  <c r="S360" i="16"/>
  <c r="K363" i="16" l="1"/>
  <c r="L362" i="16"/>
  <c r="X361" i="16"/>
  <c r="Y361" i="16" s="1"/>
  <c r="Z361" i="16" s="1"/>
  <c r="M361" i="16"/>
  <c r="AI361" i="16"/>
  <c r="AJ361" i="16" s="1"/>
  <c r="T361" i="16"/>
  <c r="U361" i="16" s="1"/>
  <c r="V361" i="16" s="1"/>
  <c r="S361" i="16"/>
  <c r="AP361" i="16"/>
  <c r="AQ361" i="16" s="1"/>
  <c r="AA361" i="16"/>
  <c r="N361" i="16"/>
  <c r="E82" i="8"/>
  <c r="Y82" i="8" s="1"/>
  <c r="E77" i="8"/>
  <c r="Y77" i="8" s="1"/>
  <c r="K364" i="16" l="1"/>
  <c r="L363" i="16"/>
  <c r="X363" i="16" s="1"/>
  <c r="Y363" i="16" s="1"/>
  <c r="Z363" i="16" s="1"/>
  <c r="AR361" i="16"/>
  <c r="AK361" i="16"/>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K365" i="16" l="1"/>
  <c r="L364" i="16"/>
  <c r="AP363" i="16"/>
  <c r="AQ363" i="16" s="1"/>
  <c r="AR363" i="16" s="1"/>
  <c r="N363" i="16"/>
  <c r="T363" i="16"/>
  <c r="U363" i="16" s="1"/>
  <c r="V363" i="16" s="1"/>
  <c r="AA363" i="16"/>
  <c r="S363" i="16"/>
  <c r="M363" i="16"/>
  <c r="M9" i="16" s="1"/>
  <c r="L37" i="8" s="1"/>
  <c r="K37" i="8" s="1"/>
  <c r="AI363" i="16"/>
  <c r="AJ363" i="16" s="1"/>
  <c r="AK363" i="16" s="1"/>
  <c r="Y9" i="16"/>
  <c r="L38" i="8" s="1"/>
  <c r="E51" i="8" s="1"/>
  <c r="U69" i="8"/>
  <c r="U67" i="8"/>
  <c r="U70" i="8"/>
  <c r="U68" i="8"/>
  <c r="U71" i="8"/>
  <c r="U73" i="8"/>
  <c r="U72" i="8"/>
  <c r="X364" i="16" l="1"/>
  <c r="Y364" i="16" s="1"/>
  <c r="Z364" i="16" s="1"/>
  <c r="S364" i="16"/>
  <c r="AP364" i="16"/>
  <c r="AQ364" i="16" s="1"/>
  <c r="AR364" i="16" s="1"/>
  <c r="T364" i="16"/>
  <c r="U364" i="16" s="1"/>
  <c r="V364" i="16" s="1"/>
  <c r="M364" i="16"/>
  <c r="N364" i="16"/>
  <c r="AA364" i="16"/>
  <c r="AB364" i="16" s="1"/>
  <c r="AC364" i="16" s="1"/>
  <c r="AI364" i="16"/>
  <c r="AJ364" i="16" s="1"/>
  <c r="AK364" i="16" s="1"/>
  <c r="K366" i="16"/>
  <c r="L365" i="16"/>
  <c r="Q8" i="16"/>
  <c r="AB363" i="16"/>
  <c r="AC363" i="16" s="1"/>
  <c r="E49" i="8"/>
  <c r="AQ9" i="16"/>
  <c r="AJ9" i="16"/>
  <c r="L39" i="8" s="1"/>
  <c r="U9" i="16"/>
  <c r="Q7" i="16"/>
  <c r="S365" i="16" l="1"/>
  <c r="X365" i="16"/>
  <c r="Y365" i="16" s="1"/>
  <c r="Z365" i="16" s="1"/>
  <c r="AP365" i="16"/>
  <c r="AQ365" i="16" s="1"/>
  <c r="AR365" i="16" s="1"/>
  <c r="N365" i="16"/>
  <c r="AI365" i="16"/>
  <c r="AJ365" i="16" s="1"/>
  <c r="AK365" i="16" s="1"/>
  <c r="M365" i="16"/>
  <c r="T365" i="16"/>
  <c r="U365" i="16" s="1"/>
  <c r="V365" i="16" s="1"/>
  <c r="AA365" i="16"/>
  <c r="AB365" i="16" s="1"/>
  <c r="AC365" i="16" s="1"/>
  <c r="K367" i="16"/>
  <c r="L366" i="16"/>
  <c r="E50" i="8"/>
  <c r="U108" i="8"/>
  <c r="AB9" i="16"/>
  <c r="X366" i="16" l="1"/>
  <c r="Y366" i="16" s="1"/>
  <c r="Z366" i="16" s="1"/>
  <c r="AA366" i="16"/>
  <c r="AB366" i="16" s="1"/>
  <c r="AC366" i="16" s="1"/>
  <c r="M366" i="16"/>
  <c r="T366" i="16"/>
  <c r="U366" i="16" s="1"/>
  <c r="V366" i="16" s="1"/>
  <c r="N366" i="16"/>
  <c r="AP366" i="16"/>
  <c r="AQ366" i="16" s="1"/>
  <c r="S366" i="16"/>
  <c r="AI366" i="16"/>
  <c r="AJ366" i="16" s="1"/>
  <c r="K368" i="16"/>
  <c r="L368" i="16" s="1"/>
  <c r="L367" i="16"/>
  <c r="V17" i="16"/>
  <c r="V35" i="16"/>
  <c r="V65" i="16"/>
  <c r="V67" i="16"/>
  <c r="V71" i="16"/>
  <c r="V73" i="16"/>
  <c r="V87" i="16"/>
  <c r="V115" i="16"/>
  <c r="V117" i="16"/>
  <c r="V120" i="16"/>
  <c r="V135" i="16"/>
  <c r="V136" i="16"/>
  <c r="V148" i="16"/>
  <c r="V174" i="16"/>
  <c r="V179" i="16"/>
  <c r="V190" i="16"/>
  <c r="V204" i="16"/>
  <c r="AK36" i="16"/>
  <c r="AK62" i="16"/>
  <c r="AK145" i="16"/>
  <c r="AK178" i="16"/>
  <c r="AK185" i="16"/>
  <c r="AR62" i="16"/>
  <c r="AR138" i="16"/>
  <c r="AR144" i="16"/>
  <c r="AR178" i="16"/>
  <c r="AR203" i="16"/>
  <c r="AR211" i="16"/>
  <c r="Z20" i="16"/>
  <c r="Z35" i="16"/>
  <c r="Z43" i="16"/>
  <c r="Z56" i="16"/>
  <c r="Z71" i="16"/>
  <c r="Z87" i="16"/>
  <c r="Z93" i="16"/>
  <c r="Z94" i="16"/>
  <c r="Z99" i="16"/>
  <c r="Z100" i="16"/>
  <c r="Z135" i="16"/>
  <c r="Z150" i="16"/>
  <c r="Z178" i="16"/>
  <c r="Z179" i="16"/>
  <c r="Z190" i="16"/>
  <c r="Z204" i="16"/>
  <c r="N367" i="16" l="1"/>
  <c r="S367" i="16"/>
  <c r="AP367" i="16"/>
  <c r="AQ367" i="16" s="1"/>
  <c r="AR150" i="16" s="1"/>
  <c r="M367" i="16"/>
  <c r="X367" i="16"/>
  <c r="Y367" i="16" s="1"/>
  <c r="Z32" i="16" s="1"/>
  <c r="AI367" i="16"/>
  <c r="AJ367" i="16" s="1"/>
  <c r="AA367" i="16"/>
  <c r="T367" i="16"/>
  <c r="U367" i="16" s="1"/>
  <c r="S368" i="16"/>
  <c r="AA368" i="16"/>
  <c r="AB368" i="16" s="1"/>
  <c r="AP368" i="16"/>
  <c r="AQ368" i="16" s="1"/>
  <c r="AI368" i="16"/>
  <c r="AJ368" i="16" s="1"/>
  <c r="AL12" i="16" s="1"/>
  <c r="T368" i="16"/>
  <c r="U368" i="16" s="1"/>
  <c r="X368" i="16"/>
  <c r="Y368" i="16" s="1"/>
  <c r="N368" i="16"/>
  <c r="M368" i="16"/>
  <c r="AK366" i="16"/>
  <c r="AR366" i="16"/>
  <c r="AC204" i="16"/>
  <c r="AC148" i="16"/>
  <c r="AC150" i="16"/>
  <c r="AC195" i="16"/>
  <c r="AC120" i="16"/>
  <c r="AC71" i="16"/>
  <c r="AC190" i="16"/>
  <c r="AC20" i="16"/>
  <c r="AC179" i="16"/>
  <c r="AC178" i="16"/>
  <c r="AC109" i="16"/>
  <c r="AC35" i="16"/>
  <c r="AC174" i="16"/>
  <c r="AC170" i="16"/>
  <c r="AR12" i="16" l="1"/>
  <c r="AR14" i="16"/>
  <c r="AR24" i="16"/>
  <c r="AR28" i="16"/>
  <c r="AR35" i="16"/>
  <c r="AR42" i="16"/>
  <c r="AR51" i="16"/>
  <c r="AR48" i="16"/>
  <c r="AR50" i="16"/>
  <c r="AR82" i="16"/>
  <c r="AR98" i="16"/>
  <c r="AR117" i="16"/>
  <c r="AR124" i="16"/>
  <c r="AR148" i="16"/>
  <c r="AR160" i="16"/>
  <c r="AR165" i="16"/>
  <c r="AR168" i="16"/>
  <c r="AR169" i="16"/>
  <c r="AR173" i="16"/>
  <c r="AK12" i="16"/>
  <c r="AK50" i="16"/>
  <c r="AK90" i="16"/>
  <c r="AK146" i="16"/>
  <c r="AK189" i="16"/>
  <c r="AK56" i="16"/>
  <c r="AK72" i="16"/>
  <c r="AK191" i="16"/>
  <c r="AK202" i="16"/>
  <c r="AC172" i="16"/>
  <c r="V26" i="16"/>
  <c r="V31" i="16"/>
  <c r="V32" i="16"/>
  <c r="V100" i="16"/>
  <c r="V98" i="16"/>
  <c r="V199" i="16"/>
  <c r="V16" i="16"/>
  <c r="V112" i="16"/>
  <c r="AR43" i="16"/>
  <c r="AR55" i="16"/>
  <c r="AR69" i="16"/>
  <c r="AR72" i="16"/>
  <c r="AR83" i="16"/>
  <c r="AR95" i="16"/>
  <c r="AR109" i="16"/>
  <c r="AR130" i="16"/>
  <c r="AR146" i="16"/>
  <c r="AR161" i="16"/>
  <c r="AR171" i="16"/>
  <c r="AR180" i="16"/>
  <c r="AR202" i="16"/>
  <c r="AR185" i="16"/>
  <c r="AR210" i="16"/>
  <c r="AR156" i="16"/>
  <c r="AR85" i="16"/>
  <c r="AR140" i="16"/>
  <c r="Z31" i="16"/>
  <c r="Z30" i="16"/>
  <c r="Z42" i="16"/>
  <c r="Z47" i="16"/>
  <c r="Z66" i="16"/>
  <c r="Z88" i="16"/>
  <c r="Z95" i="16"/>
  <c r="Z98" i="16"/>
  <c r="Z123" i="16"/>
  <c r="Z144" i="16"/>
  <c r="Z145" i="16"/>
  <c r="Z149" i="16"/>
  <c r="Z153" i="16"/>
  <c r="Z162" i="16"/>
  <c r="Z175" i="16"/>
  <c r="Z172" i="16"/>
  <c r="Z199" i="16"/>
  <c r="Z210" i="16"/>
  <c r="V42" i="16"/>
  <c r="V55" i="16"/>
  <c r="V66" i="16"/>
  <c r="V79" i="16"/>
  <c r="V145" i="16"/>
  <c r="V149" i="16"/>
  <c r="V157" i="16"/>
  <c r="V159" i="16"/>
  <c r="V162" i="16"/>
  <c r="V166" i="16"/>
  <c r="V173" i="16"/>
  <c r="V175" i="16"/>
  <c r="V181" i="16"/>
  <c r="V186" i="16"/>
  <c r="V191" i="16"/>
  <c r="V206" i="16"/>
  <c r="V205" i="16"/>
  <c r="V210" i="16"/>
  <c r="AK11" i="16"/>
  <c r="AK23" i="16"/>
  <c r="AK89" i="16"/>
  <c r="AK111" i="16"/>
  <c r="AK208" i="16"/>
  <c r="AK29" i="16"/>
  <c r="AK39" i="16"/>
  <c r="AK94" i="16"/>
  <c r="AK104" i="16"/>
  <c r="AK106" i="16"/>
  <c r="AK108" i="16"/>
  <c r="AK176" i="16"/>
  <c r="AS12" i="16"/>
  <c r="AR26" i="16"/>
  <c r="AR25" i="16"/>
  <c r="AR29" i="16"/>
  <c r="AR32" i="16"/>
  <c r="AT12" i="16" s="1"/>
  <c r="AU12" i="16" s="1"/>
  <c r="AR39" i="16"/>
  <c r="AR63" i="16"/>
  <c r="AR75" i="16"/>
  <c r="AR90" i="16"/>
  <c r="AR89" i="16"/>
  <c r="AR94" i="16"/>
  <c r="AR104" i="16"/>
  <c r="AR106" i="16"/>
  <c r="AR108" i="16"/>
  <c r="AR114" i="16"/>
  <c r="AR113" i="16"/>
  <c r="AR120" i="16"/>
  <c r="AR133" i="16"/>
  <c r="AR135" i="16"/>
  <c r="AR164" i="16"/>
  <c r="AR163" i="16"/>
  <c r="AR176" i="16"/>
  <c r="AR181" i="16"/>
  <c r="AR184" i="16"/>
  <c r="AR189" i="16"/>
  <c r="AR196" i="16"/>
  <c r="AR197" i="16"/>
  <c r="AR201" i="16"/>
  <c r="AR199" i="16"/>
  <c r="AR208" i="16"/>
  <c r="Z110" i="16"/>
  <c r="Z77" i="16"/>
  <c r="Z64" i="16"/>
  <c r="Z65" i="16"/>
  <c r="Z12" i="16"/>
  <c r="Z17" i="16"/>
  <c r="Z51" i="16"/>
  <c r="Z96" i="16"/>
  <c r="Z102" i="16"/>
  <c r="Z107" i="16"/>
  <c r="Z140" i="16"/>
  <c r="Z189" i="16"/>
  <c r="Z192" i="16"/>
  <c r="Z200" i="16"/>
  <c r="Z207" i="16"/>
  <c r="Z208" i="16"/>
  <c r="Z209" i="16"/>
  <c r="AK40" i="16"/>
  <c r="AK52" i="16"/>
  <c r="AK71" i="16"/>
  <c r="AK154" i="16"/>
  <c r="AK179" i="16"/>
  <c r="V97" i="16"/>
  <c r="V207" i="16"/>
  <c r="V28" i="16"/>
  <c r="V64" i="16"/>
  <c r="V147" i="16"/>
  <c r="V150" i="16"/>
  <c r="V106" i="16"/>
  <c r="V133" i="16"/>
  <c r="V74" i="16"/>
  <c r="V107" i="16"/>
  <c r="V154" i="16"/>
  <c r="V41" i="16"/>
  <c r="V110" i="16"/>
  <c r="V92" i="16"/>
  <c r="V46" i="16"/>
  <c r="V77" i="16"/>
  <c r="V178" i="16"/>
  <c r="V49" i="16"/>
  <c r="V82" i="16"/>
  <c r="V51" i="16"/>
  <c r="V189" i="16"/>
  <c r="V56" i="16"/>
  <c r="V88" i="16"/>
  <c r="V61" i="16"/>
  <c r="V62" i="16"/>
  <c r="V95" i="16"/>
  <c r="AR40" i="16"/>
  <c r="AR67" i="16"/>
  <c r="AR99" i="16"/>
  <c r="AR132" i="16"/>
  <c r="AR191" i="16"/>
  <c r="AR193" i="16"/>
  <c r="AR206" i="16"/>
  <c r="AK367" i="16"/>
  <c r="AK92" i="16"/>
  <c r="Z133" i="16"/>
  <c r="Z62" i="16"/>
  <c r="Z139" i="16"/>
  <c r="Z117" i="16"/>
  <c r="Z41" i="16"/>
  <c r="Z74" i="16"/>
  <c r="Z92" i="16"/>
  <c r="AR145" i="16"/>
  <c r="AR142" i="16"/>
  <c r="AR92" i="16"/>
  <c r="Z24" i="16"/>
  <c r="Z40" i="16"/>
  <c r="Z50" i="16"/>
  <c r="Z57" i="16"/>
  <c r="Z70" i="16"/>
  <c r="Z78" i="16"/>
  <c r="Z89" i="16"/>
  <c r="Z91" i="16"/>
  <c r="Z111" i="16"/>
  <c r="Z119" i="16"/>
  <c r="Z124" i="16"/>
  <c r="Z151" i="16"/>
  <c r="Z155" i="16"/>
  <c r="Z156" i="16"/>
  <c r="Z176" i="16"/>
  <c r="Z182" i="16"/>
  <c r="Z196" i="16"/>
  <c r="Z201" i="16"/>
  <c r="V24" i="16"/>
  <c r="V23" i="16"/>
  <c r="V30" i="16"/>
  <c r="V81" i="16"/>
  <c r="V80" i="16"/>
  <c r="V86" i="16"/>
  <c r="V89" i="16"/>
  <c r="V91" i="16"/>
  <c r="V93" i="16"/>
  <c r="V104" i="16"/>
  <c r="V111" i="16"/>
  <c r="V119" i="16"/>
  <c r="V137" i="16"/>
  <c r="V140" i="16"/>
  <c r="V151" i="16"/>
  <c r="V155" i="16"/>
  <c r="V161" i="16"/>
  <c r="V176" i="16"/>
  <c r="V182" i="16"/>
  <c r="V192" i="16"/>
  <c r="V196" i="16"/>
  <c r="V201" i="16"/>
  <c r="V209" i="16"/>
  <c r="AK22" i="16"/>
  <c r="AK61" i="16"/>
  <c r="AK64" i="16"/>
  <c r="AK76" i="16"/>
  <c r="AK81" i="16"/>
  <c r="AK96" i="16"/>
  <c r="AK112" i="16"/>
  <c r="AK158" i="16"/>
  <c r="AK159" i="16"/>
  <c r="AK166" i="16"/>
  <c r="AK175" i="16"/>
  <c r="AK186" i="16"/>
  <c r="AR15" i="16"/>
  <c r="AR11" i="16"/>
  <c r="AR20" i="16"/>
  <c r="AR16" i="16"/>
  <c r="AR17" i="16"/>
  <c r="AR18" i="16"/>
  <c r="AR23" i="16"/>
  <c r="AR22" i="16"/>
  <c r="AR27" i="16"/>
  <c r="AR30" i="16"/>
  <c r="AR33" i="16"/>
  <c r="AR34" i="16"/>
  <c r="AR41" i="16"/>
  <c r="AR49" i="16"/>
  <c r="AR53" i="16"/>
  <c r="AR52" i="16"/>
  <c r="AR56" i="16"/>
  <c r="AR58" i="16"/>
  <c r="AR61" i="16"/>
  <c r="AR64" i="16"/>
  <c r="AR66" i="16"/>
  <c r="AR71" i="16"/>
  <c r="AR74" i="16"/>
  <c r="AR73" i="16"/>
  <c r="AR78" i="16"/>
  <c r="AR76" i="16"/>
  <c r="AR77" i="16"/>
  <c r="AR79" i="16"/>
  <c r="AR81" i="16"/>
  <c r="AR86" i="16"/>
  <c r="AR88" i="16"/>
  <c r="AR91" i="16"/>
  <c r="AR93" i="16"/>
  <c r="AR96" i="16"/>
  <c r="AR101" i="16"/>
  <c r="AR103" i="16"/>
  <c r="AR107" i="16"/>
  <c r="AR112" i="16"/>
  <c r="AR111" i="16"/>
  <c r="AR116" i="16"/>
  <c r="AR128" i="16"/>
  <c r="AR131" i="16"/>
  <c r="AR151" i="16"/>
  <c r="AR152" i="16"/>
  <c r="AR154" i="16"/>
  <c r="AR158" i="16"/>
  <c r="AR159" i="16"/>
  <c r="AR166" i="16"/>
  <c r="AR172" i="16"/>
  <c r="AR175" i="16"/>
  <c r="AR186" i="16"/>
  <c r="AR187" i="16"/>
  <c r="AR200" i="16"/>
  <c r="Z115" i="16"/>
  <c r="Z28" i="16"/>
  <c r="Z125" i="16"/>
  <c r="Z33" i="16"/>
  <c r="Z97" i="16"/>
  <c r="Z136" i="16"/>
  <c r="Z52" i="16"/>
  <c r="Z105" i="16"/>
  <c r="Z106" i="16"/>
  <c r="AR36" i="16"/>
  <c r="AR80" i="16"/>
  <c r="Z14" i="16"/>
  <c r="Z22" i="16"/>
  <c r="Z23" i="16"/>
  <c r="Z26" i="16"/>
  <c r="Z27" i="16"/>
  <c r="Z37" i="16"/>
  <c r="Z39" i="16"/>
  <c r="Z46" i="16"/>
  <c r="Z49" i="16"/>
  <c r="Z58" i="16"/>
  <c r="Z61" i="16"/>
  <c r="Z83" i="16"/>
  <c r="Z81" i="16"/>
  <c r="Z86" i="16"/>
  <c r="Z104" i="16"/>
  <c r="Z128" i="16"/>
  <c r="Z131" i="16"/>
  <c r="Z137" i="16"/>
  <c r="Z138" i="16"/>
  <c r="Z143" i="16"/>
  <c r="Z147" i="16"/>
  <c r="Z152" i="16"/>
  <c r="Z154" i="16"/>
  <c r="Z158" i="16"/>
  <c r="Z159" i="16"/>
  <c r="Z163" i="16"/>
  <c r="Z166" i="16"/>
  <c r="Z173" i="16"/>
  <c r="Z177" i="16"/>
  <c r="Z180" i="16"/>
  <c r="Z183" i="16"/>
  <c r="Z184" i="16"/>
  <c r="Z185" i="16"/>
  <c r="Z191" i="16"/>
  <c r="AR38" i="16"/>
  <c r="AR45" i="16"/>
  <c r="AR46" i="16"/>
  <c r="AR54" i="16"/>
  <c r="AR100" i="16"/>
  <c r="AR115" i="16"/>
  <c r="AR122" i="16"/>
  <c r="AR127" i="16"/>
  <c r="AR136" i="16"/>
  <c r="AR147" i="16"/>
  <c r="AR149" i="16"/>
  <c r="AR157" i="16"/>
  <c r="AR179" i="16"/>
  <c r="AR182" i="16"/>
  <c r="AR183" i="16"/>
  <c r="AR194" i="16"/>
  <c r="AR195" i="16"/>
  <c r="AR368" i="16"/>
  <c r="AC368" i="16"/>
  <c r="AS13" i="16"/>
  <c r="V367" i="16"/>
  <c r="V38" i="16"/>
  <c r="V63" i="16"/>
  <c r="V127" i="16"/>
  <c r="V129" i="16"/>
  <c r="V153" i="16"/>
  <c r="V20" i="16"/>
  <c r="V43" i="16"/>
  <c r="V130" i="16"/>
  <c r="V21" i="16"/>
  <c r="V25" i="16"/>
  <c r="V90" i="16"/>
  <c r="V113" i="16"/>
  <c r="V134" i="16"/>
  <c r="V50" i="16"/>
  <c r="V68" i="16"/>
  <c r="V52" i="16"/>
  <c r="V180" i="16"/>
  <c r="V94" i="16"/>
  <c r="V139" i="16"/>
  <c r="V188" i="16"/>
  <c r="V146" i="16"/>
  <c r="V53" i="16"/>
  <c r="V72" i="16"/>
  <c r="V121" i="16"/>
  <c r="V141" i="16"/>
  <c r="V33" i="16"/>
  <c r="V99" i="16"/>
  <c r="V123" i="16"/>
  <c r="V57" i="16"/>
  <c r="V122" i="16"/>
  <c r="V36" i="16"/>
  <c r="V60" i="16"/>
  <c r="V75" i="16"/>
  <c r="V125" i="16"/>
  <c r="V202" i="16"/>
  <c r="AB367" i="16"/>
  <c r="AC199" i="16" s="1"/>
  <c r="G120" i="8"/>
  <c r="G121" i="8"/>
  <c r="G119" i="8"/>
  <c r="B93" i="8"/>
  <c r="AL13" i="16"/>
  <c r="Z367" i="16"/>
  <c r="Z68" i="16"/>
  <c r="Z73" i="16"/>
  <c r="Z36" i="16"/>
  <c r="Z75" i="16"/>
  <c r="Z21" i="16"/>
  <c r="Z130" i="16"/>
  <c r="Z90" i="16"/>
  <c r="Z63" i="16"/>
  <c r="Z25" i="16"/>
  <c r="AR367" i="16"/>
  <c r="AR162" i="16"/>
  <c r="Z19" i="16"/>
  <c r="Z29" i="16"/>
  <c r="Z38" i="16"/>
  <c r="Z44" i="16"/>
  <c r="Z45" i="16"/>
  <c r="Z48" i="16"/>
  <c r="Z53" i="16"/>
  <c r="Z54" i="16"/>
  <c r="Z59" i="16"/>
  <c r="Z60" i="16"/>
  <c r="Z72" i="16"/>
  <c r="Z82" i="16"/>
  <c r="Z84" i="16"/>
  <c r="Z85" i="16"/>
  <c r="Z113" i="16"/>
  <c r="Z114" i="16"/>
  <c r="Z116" i="16"/>
  <c r="Z118" i="16"/>
  <c r="Z121" i="16"/>
  <c r="Z122" i="16"/>
  <c r="Q38" i="8" s="1"/>
  <c r="K38" i="8" s="1"/>
  <c r="Z126" i="16"/>
  <c r="Z127" i="16"/>
  <c r="Z129" i="16"/>
  <c r="Z134" i="16"/>
  <c r="Z141" i="16"/>
  <c r="Z146" i="16"/>
  <c r="Z164" i="16"/>
  <c r="Z165" i="16"/>
  <c r="Z169" i="16"/>
  <c r="Z171" i="16"/>
  <c r="Z181" i="16"/>
  <c r="Z202" i="16"/>
  <c r="Z368" i="16"/>
  <c r="V15" i="16"/>
  <c r="V14" i="16"/>
  <c r="V19" i="16"/>
  <c r="V22" i="16"/>
  <c r="V29" i="16"/>
  <c r="V34" i="16"/>
  <c r="V37" i="16"/>
  <c r="V40" i="16"/>
  <c r="V39" i="16"/>
  <c r="V44" i="16"/>
  <c r="V45" i="16"/>
  <c r="V47" i="16"/>
  <c r="V48" i="16"/>
  <c r="V54" i="16"/>
  <c r="V58" i="16"/>
  <c r="V59" i="16"/>
  <c r="V70" i="16"/>
  <c r="V69" i="16"/>
  <c r="V84" i="16"/>
  <c r="V85" i="16"/>
  <c r="V96" i="16"/>
  <c r="V101" i="16"/>
  <c r="V102" i="16"/>
  <c r="V105" i="16"/>
  <c r="V108" i="16"/>
  <c r="V114" i="16"/>
  <c r="V116" i="16"/>
  <c r="V118" i="16"/>
  <c r="V124" i="16"/>
  <c r="V126" i="16"/>
  <c r="V142" i="16"/>
  <c r="V143" i="16"/>
  <c r="V152" i="16"/>
  <c r="V158" i="16"/>
  <c r="V164" i="16"/>
  <c r="V165" i="16"/>
  <c r="V169" i="16"/>
  <c r="V171" i="16"/>
  <c r="V177" i="16"/>
  <c r="V185" i="16"/>
  <c r="V193" i="16"/>
  <c r="V197" i="16"/>
  <c r="V368" i="16"/>
  <c r="Q10" i="16"/>
  <c r="P7" i="16"/>
  <c r="O10" i="16"/>
  <c r="P10" i="16"/>
  <c r="AK45" i="16"/>
  <c r="AK54" i="16"/>
  <c r="AK115" i="16"/>
  <c r="AK122" i="16"/>
  <c r="Q39" i="8" s="1"/>
  <c r="K39" i="8" s="1"/>
  <c r="AK127" i="16"/>
  <c r="AK136" i="16"/>
  <c r="AK368" i="16"/>
  <c r="AC149" i="16" l="1"/>
  <c r="AC145" i="16"/>
  <c r="AC80" i="16"/>
  <c r="AC66" i="16"/>
  <c r="AC55" i="16"/>
  <c r="AC211" i="16"/>
  <c r="AC42" i="16"/>
  <c r="AC210" i="16"/>
  <c r="AC30" i="16"/>
  <c r="AC206" i="16"/>
  <c r="AC151" i="16"/>
  <c r="AC135" i="16"/>
  <c r="AC88" i="16"/>
  <c r="AC144" i="16"/>
  <c r="AC98" i="16"/>
  <c r="AC93" i="16"/>
  <c r="AC100" i="16"/>
  <c r="AC32" i="16"/>
  <c r="AC112" i="16"/>
  <c r="AC205" i="16"/>
  <c r="AC193" i="16"/>
  <c r="AC186" i="16"/>
  <c r="AC208" i="16"/>
  <c r="AC209" i="16"/>
  <c r="AC119" i="16"/>
  <c r="AC124" i="16"/>
  <c r="AC201" i="16"/>
  <c r="AC111" i="16"/>
  <c r="AC200" i="16"/>
  <c r="AC91" i="16"/>
  <c r="AC196" i="16"/>
  <c r="AC89" i="16"/>
  <c r="AC192" i="16"/>
  <c r="AC78" i="16"/>
  <c r="AC182" i="16"/>
  <c r="AC12" i="16"/>
  <c r="AT11" i="16"/>
  <c r="AU11" i="16" s="1"/>
  <c r="AC176" i="16"/>
  <c r="AC156" i="16"/>
  <c r="AC155" i="16"/>
  <c r="AC22" i="16"/>
  <c r="AC92" i="16"/>
  <c r="AC117" i="16"/>
  <c r="AC110" i="16"/>
  <c r="AC65" i="16"/>
  <c r="AC64" i="16"/>
  <c r="AC62" i="16"/>
  <c r="AC107" i="16"/>
  <c r="AC77" i="16"/>
  <c r="AC17" i="16"/>
  <c r="AC74" i="16"/>
  <c r="AC207" i="16"/>
  <c r="AC24" i="16"/>
  <c r="AC41" i="16"/>
  <c r="AC51" i="16"/>
  <c r="AC133" i="16"/>
  <c r="AC140" i="16"/>
  <c r="AC147" i="16"/>
  <c r="AC39" i="16"/>
  <c r="AC184" i="16"/>
  <c r="AC143" i="16"/>
  <c r="AC37" i="16"/>
  <c r="AC185" i="16"/>
  <c r="AC138" i="16"/>
  <c r="AC27" i="16"/>
  <c r="AC183" i="16"/>
  <c r="AC137" i="16"/>
  <c r="AC26" i="16"/>
  <c r="AC177" i="16"/>
  <c r="AC131" i="16"/>
  <c r="AC23" i="16"/>
  <c r="AC173" i="16"/>
  <c r="AC128" i="16"/>
  <c r="AC19" i="16"/>
  <c r="AC52" i="16"/>
  <c r="AC136" i="16"/>
  <c r="AC115" i="16"/>
  <c r="AC191" i="16"/>
  <c r="AC125" i="16"/>
  <c r="AC106" i="16"/>
  <c r="AC28" i="16"/>
  <c r="AC83" i="16"/>
  <c r="AC97" i="16"/>
  <c r="AC105" i="16"/>
  <c r="AC33" i="16"/>
  <c r="AC61" i="16"/>
  <c r="AC180" i="16"/>
  <c r="AC163" i="16"/>
  <c r="AC104" i="16"/>
  <c r="AC14" i="16"/>
  <c r="AC166" i="16"/>
  <c r="AC86" i="16"/>
  <c r="AC159" i="16"/>
  <c r="AC81" i="16"/>
  <c r="AC158" i="16"/>
  <c r="AC58" i="16"/>
  <c r="AC154" i="16"/>
  <c r="AC49" i="16"/>
  <c r="AC152" i="16"/>
  <c r="AC46" i="16"/>
  <c r="Q368" i="16"/>
  <c r="Q256" i="16"/>
  <c r="Q262" i="16"/>
  <c r="Q21" i="16"/>
  <c r="Q213" i="16"/>
  <c r="Q104" i="16"/>
  <c r="Q206" i="16"/>
  <c r="Q339" i="16"/>
  <c r="Q328" i="16"/>
  <c r="Q269" i="16"/>
  <c r="Q71" i="16"/>
  <c r="Q300" i="16"/>
  <c r="Q294" i="16"/>
  <c r="Q76" i="16"/>
  <c r="Q128" i="16"/>
  <c r="Q219" i="16"/>
  <c r="Q312" i="16"/>
  <c r="Q281" i="16"/>
  <c r="Q106" i="16"/>
  <c r="Q154" i="16"/>
  <c r="Q299" i="16"/>
  <c r="Q324" i="16"/>
  <c r="Q289" i="16"/>
  <c r="Q64" i="16"/>
  <c r="Q200" i="16"/>
  <c r="Q283" i="16"/>
  <c r="Q352" i="16"/>
  <c r="Q230" i="16"/>
  <c r="Q37" i="16"/>
  <c r="Q253" i="16"/>
  <c r="Q271" i="16"/>
  <c r="Q355" i="16"/>
  <c r="Q22" i="16"/>
  <c r="Q261" i="16"/>
  <c r="Q97" i="16"/>
  <c r="Q116" i="16"/>
  <c r="Q243" i="16"/>
  <c r="Q244" i="16"/>
  <c r="Q317" i="16"/>
  <c r="Q57" i="16"/>
  <c r="Q131" i="16"/>
  <c r="Q246" i="16"/>
  <c r="Q49" i="16"/>
  <c r="Q176" i="16"/>
  <c r="Q135" i="16"/>
  <c r="Q319" i="16"/>
  <c r="Q329" i="16"/>
  <c r="Q59" i="16"/>
  <c r="Q136" i="16"/>
  <c r="Q198" i="16"/>
  <c r="Q260" i="16"/>
  <c r="Q337" i="16"/>
  <c r="Q87" i="16"/>
  <c r="Q144" i="16"/>
  <c r="Q199" i="16"/>
  <c r="Q327" i="16"/>
  <c r="Q318" i="16"/>
  <c r="Q38" i="16"/>
  <c r="Q301" i="16"/>
  <c r="Q367" i="16"/>
  <c r="Q108" i="16"/>
  <c r="Q259" i="16"/>
  <c r="Q356" i="16"/>
  <c r="Q309" i="16"/>
  <c r="Q99" i="16"/>
  <c r="Q164" i="16"/>
  <c r="Q159" i="16"/>
  <c r="Q280" i="16"/>
  <c r="Q196" i="16"/>
  <c r="Q83" i="16"/>
  <c r="Q203" i="16"/>
  <c r="Q323" i="16"/>
  <c r="Q85" i="16"/>
  <c r="Q145" i="16"/>
  <c r="Q118" i="16"/>
  <c r="Q130" i="16"/>
  <c r="Q214" i="16"/>
  <c r="Q60" i="16"/>
  <c r="Q184" i="16"/>
  <c r="Q119" i="16"/>
  <c r="Q195" i="16"/>
  <c r="Q222" i="16"/>
  <c r="Q74" i="16"/>
  <c r="Q113" i="16"/>
  <c r="Q182" i="16"/>
  <c r="Q155" i="16"/>
  <c r="Q270" i="16"/>
  <c r="Q272" i="16"/>
  <c r="Q349" i="16"/>
  <c r="Q65" i="16"/>
  <c r="Q156" i="16"/>
  <c r="Q175" i="16"/>
  <c r="Q336" i="16"/>
  <c r="Q357" i="16"/>
  <c r="Q100" i="16"/>
  <c r="Q133" i="16"/>
  <c r="Q142" i="16"/>
  <c r="Q115" i="16"/>
  <c r="Q346" i="16"/>
  <c r="Q84" i="16"/>
  <c r="Q124" i="16"/>
  <c r="Q227" i="16"/>
  <c r="Q86" i="16"/>
  <c r="Q193" i="16"/>
  <c r="Q48" i="16"/>
  <c r="Q187" i="16"/>
  <c r="Q334" i="16"/>
  <c r="Q17" i="16"/>
  <c r="Q153" i="16"/>
  <c r="Q15" i="16"/>
  <c r="Q340" i="16"/>
  <c r="Q326" i="16"/>
  <c r="Q43" i="16"/>
  <c r="Q161" i="16"/>
  <c r="Q365" i="16"/>
  <c r="Q296" i="16"/>
  <c r="Q208" i="16"/>
  <c r="Q279" i="16"/>
  <c r="Q234" i="16"/>
  <c r="Q26" i="16"/>
  <c r="Q125" i="16"/>
  <c r="Q158" i="16"/>
  <c r="Q163" i="16"/>
  <c r="Q354" i="16"/>
  <c r="Q105" i="16"/>
  <c r="Q181" i="16"/>
  <c r="Q72" i="16"/>
  <c r="Q311" i="16"/>
  <c r="Q298" i="16"/>
  <c r="Q73" i="16"/>
  <c r="Q172" i="16"/>
  <c r="Q143" i="16"/>
  <c r="Q292" i="16"/>
  <c r="Q229" i="16"/>
  <c r="Q88" i="16"/>
  <c r="Q268" i="16"/>
  <c r="Q286" i="16"/>
  <c r="Q69" i="16"/>
  <c r="Q201" i="16"/>
  <c r="Q32" i="16"/>
  <c r="Q162" i="16"/>
  <c r="Q278" i="16"/>
  <c r="Q44" i="16"/>
  <c r="Q186" i="16"/>
  <c r="Q79" i="16"/>
  <c r="Q335" i="16"/>
  <c r="Q275" i="16"/>
  <c r="Q170" i="16"/>
  <c r="Q361" i="16"/>
  <c r="Q18" i="16"/>
  <c r="Q173" i="16"/>
  <c r="Q96" i="16"/>
  <c r="Q228" i="16"/>
  <c r="Q306" i="16"/>
  <c r="Q287" i="16"/>
  <c r="Q217" i="16"/>
  <c r="Q39" i="16"/>
  <c r="Q316" i="16"/>
  <c r="Q250" i="16"/>
  <c r="Q93" i="16"/>
  <c r="Q141" i="16"/>
  <c r="Q126" i="16"/>
  <c r="Q344" i="16"/>
  <c r="Q277" i="16"/>
  <c r="Q25" i="16"/>
  <c r="Q138" i="16"/>
  <c r="Q238" i="16"/>
  <c r="Q70" i="16"/>
  <c r="Q237" i="16"/>
  <c r="Q55" i="16"/>
  <c r="Q236" i="16"/>
  <c r="Q224" i="16"/>
  <c r="Q82" i="16"/>
  <c r="Q245" i="16"/>
  <c r="Q31" i="16"/>
  <c r="Q148" i="16"/>
  <c r="Q191" i="16"/>
  <c r="Q276" i="16"/>
  <c r="Q314" i="16"/>
  <c r="Q20" i="16"/>
  <c r="Q209" i="16"/>
  <c r="Q103" i="16"/>
  <c r="Q348" i="16"/>
  <c r="Q258" i="16"/>
  <c r="Q13" i="16"/>
  <c r="Q265" i="16"/>
  <c r="Q81" i="16"/>
  <c r="Q179" i="16"/>
  <c r="Q331" i="16"/>
  <c r="Q94" i="16"/>
  <c r="Q189" i="16"/>
  <c r="Q14" i="16"/>
  <c r="Q212" i="16"/>
  <c r="Q325" i="16"/>
  <c r="Q67" i="16"/>
  <c r="Q139" i="16"/>
  <c r="Q307" i="16"/>
  <c r="Q240" i="16"/>
  <c r="Q285" i="16"/>
  <c r="Q90" i="16"/>
  <c r="Q122" i="16"/>
  <c r="Q291" i="16"/>
  <c r="Q53" i="16"/>
  <c r="Q293" i="16"/>
  <c r="Q58" i="16"/>
  <c r="Q117" i="16"/>
  <c r="Q174" i="16"/>
  <c r="Q303" i="16"/>
  <c r="Q266" i="16"/>
  <c r="Q34" i="16"/>
  <c r="Q257" i="16"/>
  <c r="T32" i="8"/>
  <c r="Q239" i="16"/>
  <c r="Q347" i="16"/>
  <c r="Q247" i="16"/>
  <c r="Q313" i="16"/>
  <c r="Q91" i="16"/>
  <c r="Q120" i="16"/>
  <c r="Q235" i="16"/>
  <c r="Q231" i="16"/>
  <c r="Q225" i="16"/>
  <c r="Q16" i="16"/>
  <c r="Q190" i="16"/>
  <c r="Q210" i="16"/>
  <c r="Q68" i="16"/>
  <c r="Q132" i="16"/>
  <c r="Q211" i="16"/>
  <c r="Q288" i="16"/>
  <c r="Q333" i="16"/>
  <c r="Q51" i="16"/>
  <c r="Q140" i="16"/>
  <c r="Q207" i="16"/>
  <c r="Q54" i="16"/>
  <c r="Q341" i="16"/>
  <c r="Q35" i="16"/>
  <c r="Q165" i="16"/>
  <c r="Q366" i="16"/>
  <c r="Q146" i="16"/>
  <c r="Q192" i="16"/>
  <c r="Q29" i="16"/>
  <c r="Q305" i="16"/>
  <c r="Q107" i="16"/>
  <c r="Q112" i="16"/>
  <c r="Q251" i="16"/>
  <c r="Q304" i="16"/>
  <c r="Q188" i="16"/>
  <c r="Q92" i="16"/>
  <c r="Q168" i="16"/>
  <c r="Q151" i="16"/>
  <c r="Q295" i="16"/>
  <c r="Q273" i="16"/>
  <c r="Q56" i="16"/>
  <c r="Q223" i="16"/>
  <c r="Q338" i="16"/>
  <c r="Q33" i="16"/>
  <c r="Q180" i="16"/>
  <c r="Q127" i="16"/>
  <c r="Q255" i="16"/>
  <c r="Q218" i="16"/>
  <c r="Q52" i="16"/>
  <c r="Q109" i="16"/>
  <c r="Q111" i="16"/>
  <c r="Q359" i="16"/>
  <c r="Q226" i="16"/>
  <c r="Q36" i="16"/>
  <c r="Q194" i="16"/>
  <c r="Q42" i="16"/>
  <c r="Q152" i="16"/>
  <c r="Q267" i="16"/>
  <c r="Q30" i="16"/>
  <c r="Q353" i="16"/>
  <c r="Q11" i="16"/>
  <c r="Q160" i="16"/>
  <c r="Q167" i="16"/>
  <c r="Q308" i="16"/>
  <c r="Q350" i="16"/>
  <c r="Q89" i="16"/>
  <c r="Q137" i="16"/>
  <c r="Q134" i="16"/>
  <c r="Q248" i="16"/>
  <c r="Q321" i="16"/>
  <c r="Q40" i="16"/>
  <c r="Q284" i="16"/>
  <c r="Q290" i="16"/>
  <c r="Q77" i="16"/>
  <c r="Q149" i="16"/>
  <c r="Q110" i="16"/>
  <c r="Q360" i="16"/>
  <c r="Q330" i="16"/>
  <c r="Q98" i="16"/>
  <c r="Q157" i="16"/>
  <c r="Q362" i="16"/>
  <c r="Q220" i="16"/>
  <c r="Q322" i="16"/>
  <c r="Q66" i="16"/>
  <c r="Q343" i="16"/>
  <c r="Q358" i="16"/>
  <c r="Q12" i="16"/>
  <c r="Q129" i="16"/>
  <c r="Q150" i="16"/>
  <c r="Q351" i="16"/>
  <c r="Q302" i="16"/>
  <c r="Q101" i="16"/>
  <c r="Q185" i="16"/>
  <c r="Q95" i="16"/>
  <c r="Q114" i="16"/>
  <c r="Q204" i="16"/>
  <c r="Q41" i="16"/>
  <c r="Q178" i="16"/>
  <c r="Q242" i="16"/>
  <c r="Q78" i="16"/>
  <c r="Q197" i="16"/>
  <c r="Q80" i="16"/>
  <c r="Q123" i="16"/>
  <c r="Q282" i="16"/>
  <c r="Q61" i="16"/>
  <c r="Q205" i="16"/>
  <c r="Q364" i="16"/>
  <c r="Q147" i="16"/>
  <c r="Q274" i="16"/>
  <c r="Q45" i="16"/>
  <c r="Q297" i="16"/>
  <c r="Q28" i="16"/>
  <c r="Q169" i="16"/>
  <c r="Q363" i="16"/>
  <c r="Q215" i="16"/>
  <c r="Q310" i="16"/>
  <c r="Q19" i="16"/>
  <c r="Q177" i="16"/>
  <c r="Q63" i="16"/>
  <c r="Q332" i="16"/>
  <c r="Q254" i="16"/>
  <c r="Q102" i="16"/>
  <c r="Q221" i="16"/>
  <c r="Q24" i="16"/>
  <c r="Q263" i="16"/>
  <c r="Q342" i="16"/>
  <c r="Q75" i="16"/>
  <c r="Q171" i="16"/>
  <c r="Q315" i="16"/>
  <c r="Q264" i="16"/>
  <c r="Q233" i="16"/>
  <c r="Q23" i="16"/>
  <c r="Q252" i="16"/>
  <c r="Q232" i="16"/>
  <c r="Q62" i="16"/>
  <c r="Q241" i="16"/>
  <c r="Q47" i="16"/>
  <c r="Q320" i="16"/>
  <c r="Q216" i="16"/>
  <c r="Q46" i="16"/>
  <c r="Q345" i="16"/>
  <c r="Q50" i="16"/>
  <c r="Q202" i="16"/>
  <c r="Q166" i="16"/>
  <c r="Q249" i="16"/>
  <c r="Q27" i="16"/>
  <c r="Q121" i="16"/>
  <c r="Q183" i="16"/>
  <c r="V39" i="8"/>
  <c r="AM11" i="16"/>
  <c r="AC181" i="16"/>
  <c r="AC123" i="16"/>
  <c r="AC85" i="16"/>
  <c r="AC34" i="16"/>
  <c r="AC171" i="16"/>
  <c r="AC122" i="16"/>
  <c r="AC84" i="16"/>
  <c r="AC31" i="16"/>
  <c r="AC169" i="16"/>
  <c r="AC118" i="16"/>
  <c r="AC70" i="16"/>
  <c r="AC29" i="16"/>
  <c r="O305" i="16"/>
  <c r="O349" i="16"/>
  <c r="O282" i="16"/>
  <c r="O130" i="16"/>
  <c r="O146" i="16"/>
  <c r="O129" i="16"/>
  <c r="O310" i="16"/>
  <c r="O107" i="16"/>
  <c r="O302" i="16"/>
  <c r="O111" i="16"/>
  <c r="O154" i="16"/>
  <c r="O104" i="16"/>
  <c r="O157" i="16"/>
  <c r="O23" i="16"/>
  <c r="O45" i="16"/>
  <c r="O75" i="16"/>
  <c r="O270" i="16"/>
  <c r="O127" i="16"/>
  <c r="O70" i="16"/>
  <c r="O227" i="16"/>
  <c r="O336" i="16"/>
  <c r="O268" i="16"/>
  <c r="O210" i="16"/>
  <c r="O176" i="16"/>
  <c r="O352" i="16"/>
  <c r="O95" i="16"/>
  <c r="O134" i="16"/>
  <c r="O65" i="16"/>
  <c r="O92" i="16"/>
  <c r="O366" i="16"/>
  <c r="O53" i="16"/>
  <c r="O123" i="16"/>
  <c r="O24" i="16"/>
  <c r="O245" i="16"/>
  <c r="O169" i="16"/>
  <c r="O238" i="16"/>
  <c r="O38" i="16"/>
  <c r="O138" i="16"/>
  <c r="O234" i="16"/>
  <c r="O326" i="16"/>
  <c r="O360" i="16"/>
  <c r="O122" i="16"/>
  <c r="O214" i="16"/>
  <c r="O155" i="16"/>
  <c r="O206" i="16"/>
  <c r="O159" i="16"/>
  <c r="O82" i="16"/>
  <c r="O152" i="16"/>
  <c r="O71" i="16"/>
  <c r="O278" i="16"/>
  <c r="O174" i="16"/>
  <c r="O175" i="16"/>
  <c r="O275" i="16"/>
  <c r="O316" i="16"/>
  <c r="O224" i="16"/>
  <c r="O143" i="16"/>
  <c r="O362" i="16"/>
  <c r="O26" i="16"/>
  <c r="O357" i="16"/>
  <c r="O17" i="16"/>
  <c r="O337" i="16"/>
  <c r="O185" i="16"/>
  <c r="O201" i="16"/>
  <c r="O353" i="16"/>
  <c r="O118" i="16"/>
  <c r="O203" i="16"/>
  <c r="O110" i="16"/>
  <c r="O207" i="16"/>
  <c r="O41" i="16"/>
  <c r="O200" i="16"/>
  <c r="O286" i="16"/>
  <c r="O119" i="16"/>
  <c r="O182" i="16"/>
  <c r="O171" i="16"/>
  <c r="O78" i="16"/>
  <c r="O223" i="16"/>
  <c r="O72" i="16"/>
  <c r="O323" i="16"/>
  <c r="O117" i="16"/>
  <c r="O39" i="16"/>
  <c r="O342" i="16"/>
  <c r="O272" i="16"/>
  <c r="O142" i="16"/>
  <c r="O191" i="16"/>
  <c r="O40" i="16"/>
  <c r="O290" i="16"/>
  <c r="O188" i="16"/>
  <c r="O88" i="16"/>
  <c r="O236" i="16"/>
  <c r="O140" i="16"/>
  <c r="O324" i="16"/>
  <c r="O298" i="16"/>
  <c r="O364" i="16"/>
  <c r="O257" i="16"/>
  <c r="O355" i="16"/>
  <c r="O359" i="16"/>
  <c r="O354" i="16"/>
  <c r="O22" i="16"/>
  <c r="O251" i="16"/>
  <c r="O14" i="16"/>
  <c r="O255" i="16"/>
  <c r="O329" i="16"/>
  <c r="O248" i="16"/>
  <c r="O190" i="16"/>
  <c r="O167" i="16"/>
  <c r="O86" i="16"/>
  <c r="O219" i="16"/>
  <c r="O20" i="16"/>
  <c r="O271" i="16"/>
  <c r="O120" i="16"/>
  <c r="O231" i="16"/>
  <c r="O21" i="16"/>
  <c r="O87" i="16"/>
  <c r="O237" i="16"/>
  <c r="O322" i="16"/>
  <c r="O46" i="16"/>
  <c r="O335" i="16"/>
  <c r="O249" i="16"/>
  <c r="O199" i="16"/>
  <c r="O33" i="16"/>
  <c r="O50" i="16"/>
  <c r="O177" i="16"/>
  <c r="O42" i="16"/>
  <c r="O325" i="16"/>
  <c r="O317" i="16"/>
  <c r="O202" i="16"/>
  <c r="O48" i="16"/>
  <c r="O299" i="16"/>
  <c r="O52" i="16"/>
  <c r="O303" i="16"/>
  <c r="O301" i="16"/>
  <c r="O19" i="16"/>
  <c r="O94" i="16"/>
  <c r="O215" i="16"/>
  <c r="O16" i="16"/>
  <c r="O267" i="16"/>
  <c r="O68" i="16"/>
  <c r="O178" i="16"/>
  <c r="O168" i="16"/>
  <c r="O279" i="16"/>
  <c r="O254" i="16"/>
  <c r="O135" i="16"/>
  <c r="O109" i="16"/>
  <c r="O91" i="16"/>
  <c r="O36" i="16"/>
  <c r="O339" i="16"/>
  <c r="O136" i="16"/>
  <c r="O341" i="16"/>
  <c r="O284" i="16"/>
  <c r="O34" i="16"/>
  <c r="O242" i="16"/>
  <c r="O321" i="16"/>
  <c r="O250" i="16"/>
  <c r="O229" i="16"/>
  <c r="O221" i="16"/>
  <c r="O97" i="16"/>
  <c r="O96" i="16"/>
  <c r="O347" i="16"/>
  <c r="O100" i="16"/>
  <c r="O296" i="16"/>
  <c r="O165" i="16"/>
  <c r="O163" i="16"/>
  <c r="O12" i="16"/>
  <c r="O311" i="16"/>
  <c r="O64" i="16"/>
  <c r="O315" i="16"/>
  <c r="O116" i="16"/>
  <c r="O137" i="16"/>
  <c r="O216" i="16"/>
  <c r="O43" i="16"/>
  <c r="O158" i="16"/>
  <c r="O183" i="16"/>
  <c r="O13" i="16"/>
  <c r="O283" i="16"/>
  <c r="O84" i="16"/>
  <c r="O74" i="16"/>
  <c r="O184" i="16"/>
  <c r="O197" i="16"/>
  <c r="O348" i="16"/>
  <c r="O226" i="16"/>
  <c r="O105" i="16"/>
  <c r="O170" i="16"/>
  <c r="O367" i="16"/>
  <c r="O368" i="16"/>
  <c r="O125" i="16"/>
  <c r="O18" i="16"/>
  <c r="O144" i="16"/>
  <c r="O66" i="16"/>
  <c r="O148" i="16"/>
  <c r="O67" i="16"/>
  <c r="O61" i="16"/>
  <c r="O319" i="16"/>
  <c r="O60" i="16"/>
  <c r="O58" i="16"/>
  <c r="O112" i="16"/>
  <c r="O162" i="16"/>
  <c r="O164" i="16"/>
  <c r="O328" i="16"/>
  <c r="O264" i="16"/>
  <c r="O187" i="16"/>
  <c r="O62" i="16"/>
  <c r="O327" i="16"/>
  <c r="O246" i="16"/>
  <c r="O343" i="16"/>
  <c r="O132" i="16"/>
  <c r="O274" i="16"/>
  <c r="O232" i="16"/>
  <c r="O85" i="16"/>
  <c r="O55" i="16"/>
  <c r="O156" i="16"/>
  <c r="O260" i="16"/>
  <c r="O195" i="16"/>
  <c r="O235" i="16"/>
  <c r="O54" i="16"/>
  <c r="O258" i="16"/>
  <c r="O205" i="16"/>
  <c r="O222" i="16"/>
  <c r="O151" i="16"/>
  <c r="O83" i="16"/>
  <c r="O217" i="16"/>
  <c r="O93" i="16"/>
  <c r="O89" i="16"/>
  <c r="O297" i="16"/>
  <c r="O314" i="16"/>
  <c r="O361" i="16"/>
  <c r="O346" i="16"/>
  <c r="O266" i="16"/>
  <c r="O306" i="16"/>
  <c r="O192" i="16"/>
  <c r="O25" i="16"/>
  <c r="O196" i="16"/>
  <c r="O115" i="16"/>
  <c r="O294" i="16"/>
  <c r="O90" i="16"/>
  <c r="O108" i="16"/>
  <c r="O114" i="16"/>
  <c r="O160" i="16"/>
  <c r="O121" i="16"/>
  <c r="O212" i="16"/>
  <c r="O253" i="16"/>
  <c r="O312" i="16"/>
  <c r="O239" i="16"/>
  <c r="O28" i="16"/>
  <c r="O139" i="16"/>
  <c r="O150" i="16"/>
  <c r="O338" i="16"/>
  <c r="O180" i="16"/>
  <c r="O233" i="16"/>
  <c r="O280" i="16"/>
  <c r="O318" i="16"/>
  <c r="O103" i="16"/>
  <c r="O35" i="16"/>
  <c r="O340" i="16"/>
  <c r="O29" i="16"/>
  <c r="O32" i="16"/>
  <c r="O51" i="16"/>
  <c r="O281" i="16"/>
  <c r="O358" i="16"/>
  <c r="O365" i="16"/>
  <c r="O332" i="16"/>
  <c r="O113" i="16"/>
  <c r="O81" i="16"/>
  <c r="O265" i="16"/>
  <c r="O240" i="16"/>
  <c r="O313" i="16"/>
  <c r="O244" i="16"/>
  <c r="O211" i="16"/>
  <c r="O198" i="16"/>
  <c r="O98" i="16"/>
  <c r="O73" i="16"/>
  <c r="O208" i="16"/>
  <c r="O320" i="16"/>
  <c r="O133" i="16"/>
  <c r="O76" i="16"/>
  <c r="O228" i="16"/>
  <c r="O126" i="16"/>
  <c r="O350" i="16"/>
  <c r="O269" i="16"/>
  <c r="O273" i="16"/>
  <c r="O209" i="16"/>
  <c r="O145" i="16"/>
  <c r="O161" i="16"/>
  <c r="O333" i="16"/>
  <c r="O288" i="16"/>
  <c r="O309" i="16"/>
  <c r="O292" i="16"/>
  <c r="O259" i="16"/>
  <c r="O102" i="16"/>
  <c r="O57" i="16"/>
  <c r="O204" i="16"/>
  <c r="O351" i="16"/>
  <c r="O256" i="16"/>
  <c r="O261" i="16"/>
  <c r="O308" i="16"/>
  <c r="O291" i="16"/>
  <c r="O124" i="16"/>
  <c r="O331" i="16"/>
  <c r="O276" i="16"/>
  <c r="O277" i="16"/>
  <c r="O11" i="16"/>
  <c r="O289" i="16"/>
  <c r="O225" i="16"/>
  <c r="O193" i="16"/>
  <c r="O241" i="16"/>
  <c r="O189" i="16"/>
  <c r="O356" i="16"/>
  <c r="O173" i="16"/>
  <c r="O15" i="16"/>
  <c r="O307" i="16"/>
  <c r="O363" i="16"/>
  <c r="O345" i="16"/>
  <c r="O252" i="16"/>
  <c r="O285" i="16"/>
  <c r="O304" i="16"/>
  <c r="O141" i="16"/>
  <c r="O31" i="16"/>
  <c r="O262" i="16"/>
  <c r="O131" i="16"/>
  <c r="O194" i="16"/>
  <c r="O172" i="16"/>
  <c r="O287" i="16"/>
  <c r="O80" i="16"/>
  <c r="O213" i="16"/>
  <c r="O330" i="16"/>
  <c r="O334" i="16"/>
  <c r="O99" i="16"/>
  <c r="O30" i="16"/>
  <c r="O247" i="16"/>
  <c r="O181" i="16"/>
  <c r="O49" i="16"/>
  <c r="O106" i="16"/>
  <c r="O218" i="16"/>
  <c r="O186" i="16"/>
  <c r="O344" i="16"/>
  <c r="O77" i="16"/>
  <c r="O59" i="16"/>
  <c r="O69" i="16"/>
  <c r="O63" i="16"/>
  <c r="O263" i="16"/>
  <c r="O56" i="16"/>
  <c r="O293" i="16"/>
  <c r="O300" i="16"/>
  <c r="O149" i="16"/>
  <c r="O27" i="16"/>
  <c r="O37" i="16"/>
  <c r="O79" i="16"/>
  <c r="O166" i="16"/>
  <c r="O179" i="16"/>
  <c r="O153" i="16"/>
  <c r="O220" i="16"/>
  <c r="O147" i="16"/>
  <c r="O128" i="16"/>
  <c r="O101" i="16"/>
  <c r="O47" i="16"/>
  <c r="O230" i="16"/>
  <c r="O243" i="16"/>
  <c r="O44" i="16"/>
  <c r="O295" i="16"/>
  <c r="AC167" i="16"/>
  <c r="AC116" i="16"/>
  <c r="AC60" i="16"/>
  <c r="R223" i="16"/>
  <c r="R249" i="16"/>
  <c r="R51" i="16"/>
  <c r="R151" i="16"/>
  <c r="R214" i="16"/>
  <c r="R112" i="16"/>
  <c r="R81" i="16"/>
  <c r="R131" i="16"/>
  <c r="R339" i="16"/>
  <c r="R232" i="16"/>
  <c r="R295" i="16"/>
  <c r="R93" i="16"/>
  <c r="R251" i="16"/>
  <c r="R165" i="16"/>
  <c r="R154" i="16"/>
  <c r="R270" i="16"/>
  <c r="R132" i="16"/>
  <c r="R305" i="16"/>
  <c r="R94" i="16"/>
  <c r="R263" i="16"/>
  <c r="R153" i="16"/>
  <c r="R230" i="16"/>
  <c r="R304" i="16"/>
  <c r="R146" i="16"/>
  <c r="R211" i="16"/>
  <c r="R155" i="16"/>
  <c r="R47" i="16"/>
  <c r="R360" i="16"/>
  <c r="R133" i="16"/>
  <c r="R44" i="16"/>
  <c r="R361" i="16"/>
  <c r="R345" i="16"/>
  <c r="R102" i="16"/>
  <c r="R235" i="16"/>
  <c r="R181" i="16"/>
  <c r="R229" i="16"/>
  <c r="R265" i="16"/>
  <c r="R35" i="16"/>
  <c r="R39" i="16"/>
  <c r="R184" i="16"/>
  <c r="R343" i="16"/>
  <c r="R228" i="16"/>
  <c r="R299" i="16"/>
  <c r="R85" i="16"/>
  <c r="R41" i="16"/>
  <c r="R253" i="16"/>
  <c r="R354" i="16"/>
  <c r="R248" i="16"/>
  <c r="R18" i="16"/>
  <c r="R311" i="16"/>
  <c r="R61" i="16"/>
  <c r="R142" i="16"/>
  <c r="R352" i="16"/>
  <c r="R50" i="16"/>
  <c r="R271" i="16"/>
  <c r="R141" i="16"/>
  <c r="R194" i="16"/>
  <c r="R326" i="16"/>
  <c r="R104" i="16"/>
  <c r="R128" i="16"/>
  <c r="R129" i="16"/>
  <c r="R268" i="16"/>
  <c r="R122" i="16"/>
  <c r="R283" i="16"/>
  <c r="R117" i="16"/>
  <c r="R293" i="16"/>
  <c r="R205" i="16"/>
  <c r="R70" i="16"/>
  <c r="R113" i="16"/>
  <c r="R123" i="16"/>
  <c r="R71" i="16"/>
  <c r="R180" i="16"/>
  <c r="R347" i="16"/>
  <c r="R224" i="16"/>
  <c r="R191" i="16"/>
  <c r="R161" i="16"/>
  <c r="R277" i="16"/>
  <c r="R296" i="16"/>
  <c r="R66" i="16"/>
  <c r="R359" i="16"/>
  <c r="R212" i="16"/>
  <c r="R178" i="16"/>
  <c r="R342" i="16"/>
  <c r="R48" i="16"/>
  <c r="R319" i="16"/>
  <c r="R45" i="16"/>
  <c r="R121" i="16"/>
  <c r="R130" i="16"/>
  <c r="R37" i="16"/>
  <c r="R52" i="16"/>
  <c r="R306" i="16"/>
  <c r="R316" i="16"/>
  <c r="R26" i="16"/>
  <c r="R331" i="16"/>
  <c r="R21" i="16"/>
  <c r="R346" i="16"/>
  <c r="R276" i="16"/>
  <c r="R106" i="16"/>
  <c r="R273" i="16"/>
  <c r="R23" i="16"/>
  <c r="R145" i="16"/>
  <c r="R115" i="16"/>
  <c r="R103" i="16"/>
  <c r="R176" i="16"/>
  <c r="R255" i="16"/>
  <c r="R77" i="16"/>
  <c r="R46" i="16"/>
  <c r="R344" i="16"/>
  <c r="R40" i="16"/>
  <c r="R174" i="16"/>
  <c r="R164" i="16"/>
  <c r="R89" i="16"/>
  <c r="R246" i="16"/>
  <c r="R96" i="16"/>
  <c r="R217" i="16"/>
  <c r="R204" i="16"/>
  <c r="R219" i="16"/>
  <c r="R72" i="16"/>
  <c r="R20" i="16"/>
  <c r="R140" i="16"/>
  <c r="R63" i="16"/>
  <c r="R318" i="16"/>
  <c r="R12" i="16"/>
  <c r="R14" i="16"/>
  <c r="R192" i="16"/>
  <c r="R242" i="16"/>
  <c r="R324" i="16"/>
  <c r="R119" i="16"/>
  <c r="R221" i="16"/>
  <c r="R54" i="16"/>
  <c r="R281" i="16"/>
  <c r="R148" i="16"/>
  <c r="R163" i="16"/>
  <c r="R107" i="16"/>
  <c r="R303" i="16"/>
  <c r="R220" i="16"/>
  <c r="R162" i="16"/>
  <c r="R358" i="16"/>
  <c r="R88" i="16"/>
  <c r="R201" i="16"/>
  <c r="R83" i="16"/>
  <c r="R203" i="16"/>
  <c r="R187" i="16"/>
  <c r="R364" i="16"/>
  <c r="R206" i="16"/>
  <c r="R156" i="16"/>
  <c r="R275" i="16"/>
  <c r="R213" i="16"/>
  <c r="R116" i="16"/>
  <c r="R362" i="16"/>
  <c r="R202" i="16"/>
  <c r="R349" i="16"/>
  <c r="R60" i="16"/>
  <c r="R49" i="16"/>
  <c r="R139" i="16"/>
  <c r="R95" i="16"/>
  <c r="R302" i="16"/>
  <c r="R314" i="16"/>
  <c r="R280" i="16"/>
  <c r="R98" i="16"/>
  <c r="R236" i="16"/>
  <c r="R38" i="16"/>
  <c r="R289" i="16"/>
  <c r="R134" i="16"/>
  <c r="R351" i="16"/>
  <c r="R172" i="16"/>
  <c r="R57" i="16"/>
  <c r="R262" i="16"/>
  <c r="R136" i="16"/>
  <c r="R313" i="16"/>
  <c r="R62" i="16"/>
  <c r="R267" i="16"/>
  <c r="AC32" i="8"/>
  <c r="R65" i="16"/>
  <c r="R231" i="16"/>
  <c r="R67" i="16"/>
  <c r="R323" i="16"/>
  <c r="R34" i="16"/>
  <c r="R200" i="16"/>
  <c r="R56" i="16"/>
  <c r="R137" i="16"/>
  <c r="R33" i="16"/>
  <c r="R108" i="16"/>
  <c r="R257" i="16"/>
  <c r="R43" i="16"/>
  <c r="R218" i="16"/>
  <c r="R317" i="16"/>
  <c r="R325" i="16"/>
  <c r="R328" i="16"/>
  <c r="R282" i="16"/>
  <c r="R284" i="16"/>
  <c r="R90" i="16"/>
  <c r="R240" i="16"/>
  <c r="R22" i="16"/>
  <c r="R135" i="16"/>
  <c r="R99" i="16"/>
  <c r="R195" i="16"/>
  <c r="R237" i="16"/>
  <c r="R258" i="16"/>
  <c r="R252" i="16"/>
  <c r="R11" i="16"/>
  <c r="R315" i="16"/>
  <c r="R149" i="16"/>
  <c r="R55" i="16"/>
  <c r="R329" i="16"/>
  <c r="R138" i="16"/>
  <c r="R225" i="16"/>
  <c r="R76" i="16"/>
  <c r="R24" i="16"/>
  <c r="R144" i="16"/>
  <c r="R227" i="16"/>
  <c r="R185" i="16"/>
  <c r="R367" i="16"/>
  <c r="R353" i="16"/>
  <c r="R86" i="16"/>
  <c r="R159" i="16"/>
  <c r="R182" i="16"/>
  <c r="R111" i="16"/>
  <c r="R294" i="16"/>
  <c r="R261" i="16"/>
  <c r="R332" i="16"/>
  <c r="R250" i="16"/>
  <c r="R288" i="16"/>
  <c r="R82" i="16"/>
  <c r="R179" i="16"/>
  <c r="R118" i="16"/>
  <c r="R259" i="16"/>
  <c r="R157" i="16"/>
  <c r="R197" i="16"/>
  <c r="R300" i="16"/>
  <c r="R58" i="16"/>
  <c r="R209" i="16"/>
  <c r="R53" i="16"/>
  <c r="R266" i="16"/>
  <c r="R260" i="16"/>
  <c r="R42" i="16"/>
  <c r="R222" i="16"/>
  <c r="R363" i="16"/>
  <c r="R120" i="16"/>
  <c r="R68" i="16"/>
  <c r="R279" i="16"/>
  <c r="R125" i="16"/>
  <c r="R290" i="16"/>
  <c r="R272" i="16"/>
  <c r="R114" i="16"/>
  <c r="R239" i="16"/>
  <c r="R177" i="16"/>
  <c r="R226" i="16"/>
  <c r="R301" i="16"/>
  <c r="R127" i="16"/>
  <c r="R286" i="16"/>
  <c r="R171" i="16"/>
  <c r="R336" i="16"/>
  <c r="R32" i="16"/>
  <c r="R297" i="16"/>
  <c r="R27" i="16"/>
  <c r="R307" i="16"/>
  <c r="R69" i="16"/>
  <c r="R110" i="16"/>
  <c r="R348" i="16"/>
  <c r="R166" i="16"/>
  <c r="R190" i="16"/>
  <c r="R208" i="16"/>
  <c r="R78" i="16"/>
  <c r="R308" i="16"/>
  <c r="R365" i="16"/>
  <c r="R241" i="16"/>
  <c r="R97" i="16"/>
  <c r="R152" i="16"/>
  <c r="R327" i="16"/>
  <c r="R29" i="16"/>
  <c r="R274" i="16"/>
  <c r="R320" i="16"/>
  <c r="R19" i="16"/>
  <c r="R287" i="16"/>
  <c r="R109" i="16"/>
  <c r="R167" i="16"/>
  <c r="R150" i="16"/>
  <c r="R234" i="16"/>
  <c r="R285" i="16"/>
  <c r="R143" i="16"/>
  <c r="R278" i="16"/>
  <c r="R80" i="16"/>
  <c r="R244" i="16"/>
  <c r="R74" i="16"/>
  <c r="R355" i="16"/>
  <c r="R216" i="16"/>
  <c r="R170" i="16"/>
  <c r="R350" i="16"/>
  <c r="R298" i="16"/>
  <c r="R215" i="16"/>
  <c r="R160" i="16"/>
  <c r="R31" i="16"/>
  <c r="R356" i="16"/>
  <c r="R322" i="16"/>
  <c r="R337" i="16"/>
  <c r="R92" i="16"/>
  <c r="R28" i="16"/>
  <c r="R366" i="16"/>
  <c r="R233" i="16"/>
  <c r="R196" i="16"/>
  <c r="R79" i="16"/>
  <c r="R310" i="16"/>
  <c r="R16" i="16"/>
  <c r="R335" i="16"/>
  <c r="R13" i="16"/>
  <c r="R243" i="16"/>
  <c r="R173" i="16"/>
  <c r="R175" i="16"/>
  <c r="R87" i="16"/>
  <c r="R25" i="16"/>
  <c r="R269" i="16"/>
  <c r="R341" i="16"/>
  <c r="R292" i="16"/>
  <c r="R36" i="16"/>
  <c r="R158" i="16"/>
  <c r="R168" i="16"/>
  <c r="R73" i="16"/>
  <c r="R254" i="16"/>
  <c r="R245" i="16"/>
  <c r="R321" i="16"/>
  <c r="R75" i="16"/>
  <c r="R186" i="16"/>
  <c r="R334" i="16"/>
  <c r="R309" i="16"/>
  <c r="R264" i="16"/>
  <c r="R189" i="16"/>
  <c r="R124" i="16"/>
  <c r="R357" i="16"/>
  <c r="R17" i="16"/>
  <c r="R147" i="16"/>
  <c r="R210" i="16"/>
  <c r="R333" i="16"/>
  <c r="R64" i="16"/>
  <c r="R126" i="16"/>
  <c r="R188" i="16"/>
  <c r="R291" i="16"/>
  <c r="R101" i="16"/>
  <c r="R247" i="16"/>
  <c r="R169" i="16"/>
  <c r="R183" i="16"/>
  <c r="R15" i="16"/>
  <c r="R198" i="16"/>
  <c r="R340" i="16"/>
  <c r="R84" i="16"/>
  <c r="R193" i="16"/>
  <c r="R91" i="16"/>
  <c r="R199" i="16"/>
  <c r="R207" i="16"/>
  <c r="R330" i="16"/>
  <c r="R256" i="16"/>
  <c r="R30" i="16"/>
  <c r="R105" i="16"/>
  <c r="R238" i="16"/>
  <c r="R338" i="16"/>
  <c r="R312" i="16"/>
  <c r="R100" i="16"/>
  <c r="R59" i="16"/>
  <c r="AC367" i="16"/>
  <c r="AC99" i="16"/>
  <c r="AC146" i="16"/>
  <c r="AC21" i="16"/>
  <c r="AC68" i="16"/>
  <c r="AC175" i="16"/>
  <c r="AC73" i="16"/>
  <c r="AC43" i="16"/>
  <c r="AC36" i="16"/>
  <c r="AC56" i="16"/>
  <c r="AC141" i="16"/>
  <c r="AC165" i="16"/>
  <c r="AC87" i="16"/>
  <c r="AC127" i="16"/>
  <c r="AC72" i="16"/>
  <c r="AC121" i="16"/>
  <c r="AC40" i="16"/>
  <c r="AC90" i="16"/>
  <c r="AC69" i="16"/>
  <c r="AC75" i="16"/>
  <c r="AC53" i="16"/>
  <c r="AC94" i="16"/>
  <c r="AC139" i="16"/>
  <c r="AC16" i="16"/>
  <c r="AC25" i="16"/>
  <c r="AC38" i="16"/>
  <c r="AC129" i="16"/>
  <c r="AC82" i="16"/>
  <c r="AC63" i="16"/>
  <c r="AC130" i="16"/>
  <c r="AC164" i="16"/>
  <c r="AC114" i="16"/>
  <c r="AC59" i="16"/>
  <c r="AC18" i="16"/>
  <c r="AT13" i="16"/>
  <c r="AU13" i="16" s="1"/>
  <c r="AS14" i="16"/>
  <c r="AC162" i="16"/>
  <c r="AC113" i="16"/>
  <c r="AC57" i="16"/>
  <c r="AC15" i="16"/>
  <c r="AC161" i="16"/>
  <c r="AC108" i="16"/>
  <c r="AC54" i="16"/>
  <c r="AC160" i="16"/>
  <c r="AC103" i="16"/>
  <c r="AC48" i="16"/>
  <c r="V38" i="8"/>
  <c r="AC202" i="16"/>
  <c r="AC153" i="16"/>
  <c r="AC102" i="16"/>
  <c r="AC50" i="16"/>
  <c r="AC197" i="16"/>
  <c r="AC142" i="16"/>
  <c r="AC101" i="16"/>
  <c r="AC47" i="16"/>
  <c r="P264" i="16"/>
  <c r="P226" i="16"/>
  <c r="P260" i="16"/>
  <c r="P240" i="16"/>
  <c r="P246" i="16"/>
  <c r="P49" i="16"/>
  <c r="P305" i="16"/>
  <c r="P284" i="16"/>
  <c r="P214" i="16"/>
  <c r="P28" i="16"/>
  <c r="P267" i="16"/>
  <c r="P311" i="16"/>
  <c r="P29" i="16"/>
  <c r="P255" i="16"/>
  <c r="P272" i="16"/>
  <c r="P341" i="16"/>
  <c r="P35" i="16"/>
  <c r="P115" i="16"/>
  <c r="P132" i="16"/>
  <c r="P116" i="16"/>
  <c r="P339" i="16"/>
  <c r="P283" i="16"/>
  <c r="P331" i="16"/>
  <c r="P327" i="16"/>
  <c r="P300" i="16"/>
  <c r="P361" i="16"/>
  <c r="P218" i="16"/>
  <c r="P22" i="16"/>
  <c r="P317" i="16"/>
  <c r="P46" i="16"/>
  <c r="P234" i="16"/>
  <c r="P44" i="16"/>
  <c r="P230" i="16"/>
  <c r="P332" i="16"/>
  <c r="P252" i="16"/>
  <c r="P310" i="16"/>
  <c r="P321" i="16"/>
  <c r="P42" i="16"/>
  <c r="P229" i="16"/>
  <c r="P354" i="16"/>
  <c r="P250" i="16"/>
  <c r="P337" i="16"/>
  <c r="P257" i="16"/>
  <c r="P261" i="16"/>
  <c r="P254" i="16"/>
  <c r="P315" i="16"/>
  <c r="P59" i="16"/>
  <c r="P237" i="16"/>
  <c r="P355" i="16"/>
  <c r="P271" i="16"/>
  <c r="P23" i="16"/>
  <c r="P309" i="16"/>
  <c r="P319" i="16"/>
  <c r="P352" i="16"/>
  <c r="P51" i="16"/>
  <c r="P363" i="16"/>
  <c r="P247" i="16"/>
  <c r="P31" i="16"/>
  <c r="P191" i="16"/>
  <c r="P111" i="16"/>
  <c r="P108" i="16"/>
  <c r="P269" i="16"/>
  <c r="P33" i="16"/>
  <c r="P48" i="16"/>
  <c r="P304" i="16"/>
  <c r="P222" i="16"/>
  <c r="P11" i="16"/>
  <c r="P275" i="16"/>
  <c r="P346" i="16"/>
  <c r="P223" i="16"/>
  <c r="P251" i="16"/>
  <c r="P38" i="16"/>
  <c r="P280" i="16"/>
  <c r="P294" i="16"/>
  <c r="P34" i="16"/>
  <c r="P326" i="16"/>
  <c r="P213" i="16"/>
  <c r="P357" i="16"/>
  <c r="P82" i="16"/>
  <c r="P179" i="16"/>
  <c r="P184" i="16"/>
  <c r="P70" i="16"/>
  <c r="P139" i="16"/>
  <c r="P96" i="16"/>
  <c r="P80" i="16"/>
  <c r="P365" i="16"/>
  <c r="P291" i="16"/>
  <c r="P299" i="16"/>
  <c r="P253" i="16"/>
  <c r="P256" i="16"/>
  <c r="P325" i="16"/>
  <c r="P318" i="16"/>
  <c r="P227" i="16"/>
  <c r="P322" i="16"/>
  <c r="P350" i="16"/>
  <c r="P243" i="16"/>
  <c r="P338" i="16"/>
  <c r="P13" i="16"/>
  <c r="P329" i="16"/>
  <c r="P245" i="16"/>
  <c r="P343" i="16"/>
  <c r="P20" i="16"/>
  <c r="P266" i="16"/>
  <c r="P52" i="16"/>
  <c r="P314" i="16"/>
  <c r="P53" i="16"/>
  <c r="P60" i="16"/>
  <c r="P279" i="16"/>
  <c r="K32" i="8"/>
  <c r="P36" i="16"/>
  <c r="P320" i="16"/>
  <c r="P50" i="16"/>
  <c r="P27" i="16"/>
  <c r="P335" i="16"/>
  <c r="P353" i="16"/>
  <c r="P212" i="16"/>
  <c r="P224" i="16"/>
  <c r="P278" i="16"/>
  <c r="P26" i="16"/>
  <c r="P366" i="16"/>
  <c r="P81" i="16"/>
  <c r="P85" i="16"/>
  <c r="P340" i="16"/>
  <c r="P287" i="16"/>
  <c r="P336" i="16"/>
  <c r="P19" i="16"/>
  <c r="P290" i="16"/>
  <c r="P24" i="16"/>
  <c r="P232" i="16"/>
  <c r="P45" i="16"/>
  <c r="P292" i="16"/>
  <c r="P351" i="16"/>
  <c r="P288" i="16"/>
  <c r="P14" i="16"/>
  <c r="P307" i="16"/>
  <c r="P349" i="16"/>
  <c r="P265" i="16"/>
  <c r="P268" i="16"/>
  <c r="P39" i="16"/>
  <c r="P203" i="16"/>
  <c r="P194" i="16"/>
  <c r="P188" i="16"/>
  <c r="P270" i="16"/>
  <c r="P21" i="16"/>
  <c r="P262" i="16"/>
  <c r="P217" i="16"/>
  <c r="P281" i="16"/>
  <c r="P40" i="16"/>
  <c r="P296" i="16"/>
  <c r="P313" i="16"/>
  <c r="P244" i="16"/>
  <c r="P219" i="16"/>
  <c r="P236" i="16"/>
  <c r="P345" i="16"/>
  <c r="P259" i="16"/>
  <c r="P293" i="16"/>
  <c r="P242" i="16"/>
  <c r="P347" i="16"/>
  <c r="P333" i="16"/>
  <c r="P148" i="16"/>
  <c r="P66" i="16"/>
  <c r="P157" i="16"/>
  <c r="P199" i="16"/>
  <c r="P162" i="16"/>
  <c r="P130" i="16"/>
  <c r="P86" i="16"/>
  <c r="P258" i="16"/>
  <c r="P362" i="16"/>
  <c r="P47" i="16"/>
  <c r="P297" i="16"/>
  <c r="P249" i="16"/>
  <c r="P55" i="16"/>
  <c r="P154" i="16"/>
  <c r="P89" i="16"/>
  <c r="P177" i="16"/>
  <c r="P140" i="16"/>
  <c r="P72" i="16"/>
  <c r="P173" i="16"/>
  <c r="P79" i="16"/>
  <c r="P92" i="16"/>
  <c r="P158" i="16"/>
  <c r="P192" i="16"/>
  <c r="P367" i="16"/>
  <c r="P308" i="16"/>
  <c r="P216" i="16"/>
  <c r="P360" i="16"/>
  <c r="P276" i="16"/>
  <c r="P344" i="16"/>
  <c r="P285" i="16"/>
  <c r="P183" i="16"/>
  <c r="P180" i="16"/>
  <c r="P204" i="16"/>
  <c r="P125" i="16"/>
  <c r="P71" i="16"/>
  <c r="P167" i="16"/>
  <c r="P135" i="16"/>
  <c r="P98" i="16"/>
  <c r="P161" i="16"/>
  <c r="P131" i="16"/>
  <c r="P263" i="16"/>
  <c r="P289" i="16"/>
  <c r="P228" i="16"/>
  <c r="P225" i="16"/>
  <c r="P233" i="16"/>
  <c r="P150" i="16"/>
  <c r="P99" i="16"/>
  <c r="P76" i="16"/>
  <c r="P87" i="16"/>
  <c r="P88" i="16"/>
  <c r="P126" i="16"/>
  <c r="P136" i="16"/>
  <c r="P120" i="16"/>
  <c r="P189" i="16"/>
  <c r="P168" i="16"/>
  <c r="P112" i="16"/>
  <c r="P330" i="16"/>
  <c r="P16" i="16"/>
  <c r="P334" i="16"/>
  <c r="P303" i="16"/>
  <c r="P238" i="16"/>
  <c r="P137" i="16"/>
  <c r="P163" i="16"/>
  <c r="P110" i="16"/>
  <c r="P172" i="16"/>
  <c r="P107" i="16"/>
  <c r="P174" i="16"/>
  <c r="P103" i="16"/>
  <c r="P205" i="16"/>
  <c r="P102" i="16"/>
  <c r="P207" i="16"/>
  <c r="P117" i="16"/>
  <c r="P358" i="16"/>
  <c r="P32" i="16"/>
  <c r="P356" i="16"/>
  <c r="P221" i="16"/>
  <c r="P277" i="16"/>
  <c r="P175" i="16"/>
  <c r="P105" i="16"/>
  <c r="P119" i="16"/>
  <c r="P63" i="16"/>
  <c r="P200" i="16"/>
  <c r="P155" i="16"/>
  <c r="P93" i="16"/>
  <c r="P104" i="16"/>
  <c r="P138" i="16"/>
  <c r="P210" i="16"/>
  <c r="P198" i="16"/>
  <c r="P328" i="16"/>
  <c r="P41" i="16"/>
  <c r="P302" i="16"/>
  <c r="P15" i="16"/>
  <c r="P295" i="16"/>
  <c r="P208" i="16"/>
  <c r="P83" i="16"/>
  <c r="P64" i="16"/>
  <c r="P141" i="16"/>
  <c r="P95" i="16"/>
  <c r="P100" i="16"/>
  <c r="P176" i="16"/>
  <c r="P78" i="16"/>
  <c r="P206" i="16"/>
  <c r="R8" i="16"/>
  <c r="B36" i="8" s="1"/>
  <c r="P113" i="16"/>
  <c r="P231" i="16"/>
  <c r="P215" i="16"/>
  <c r="P220" i="16"/>
  <c r="P25" i="16"/>
  <c r="P56" i="16"/>
  <c r="P101" i="16"/>
  <c r="P122" i="16"/>
  <c r="P209" i="16"/>
  <c r="P211" i="16"/>
  <c r="P114" i="16"/>
  <c r="P123" i="16"/>
  <c r="P91" i="16"/>
  <c r="P201" i="16"/>
  <c r="P185" i="16"/>
  <c r="P152" i="16"/>
  <c r="P171" i="16"/>
  <c r="P368" i="16"/>
  <c r="P58" i="16"/>
  <c r="P306" i="16"/>
  <c r="P241" i="16"/>
  <c r="P342" i="16"/>
  <c r="P43" i="16"/>
  <c r="P166" i="16"/>
  <c r="P151" i="16"/>
  <c r="P65" i="16"/>
  <c r="P127" i="16"/>
  <c r="P129" i="16"/>
  <c r="P97" i="16"/>
  <c r="P84" i="16"/>
  <c r="P68" i="16"/>
  <c r="P169" i="16"/>
  <c r="P190" i="16"/>
  <c r="P67" i="16"/>
  <c r="P359" i="16"/>
  <c r="P324" i="16"/>
  <c r="P298" i="16"/>
  <c r="P301" i="16"/>
  <c r="P286" i="16"/>
  <c r="P18" i="16"/>
  <c r="P170" i="16"/>
  <c r="P69" i="16"/>
  <c r="P77" i="16"/>
  <c r="P182" i="16"/>
  <c r="P147" i="16"/>
  <c r="P202" i="16"/>
  <c r="P193" i="16"/>
  <c r="P156" i="16"/>
  <c r="P124" i="16"/>
  <c r="P164" i="16"/>
  <c r="P312" i="16"/>
  <c r="P248" i="16"/>
  <c r="P316" i="16"/>
  <c r="P17" i="16"/>
  <c r="P348" i="16"/>
  <c r="P239" i="16"/>
  <c r="P134" i="16"/>
  <c r="P146" i="16"/>
  <c r="P159" i="16"/>
  <c r="P145" i="16"/>
  <c r="P197" i="16"/>
  <c r="P178" i="16"/>
  <c r="P186" i="16"/>
  <c r="P187" i="16"/>
  <c r="P118" i="16"/>
  <c r="P153" i="16"/>
  <c r="P61" i="16"/>
  <c r="P54" i="16"/>
  <c r="P273" i="16"/>
  <c r="P282" i="16"/>
  <c r="P30" i="16"/>
  <c r="P323" i="16"/>
  <c r="P121" i="16"/>
  <c r="P142" i="16"/>
  <c r="P73" i="16"/>
  <c r="P195" i="16"/>
  <c r="P106" i="16"/>
  <c r="P181" i="16"/>
  <c r="P160" i="16"/>
  <c r="P144" i="16"/>
  <c r="P128" i="16"/>
  <c r="P62" i="16"/>
  <c r="P57" i="16"/>
  <c r="P37" i="16"/>
  <c r="P12" i="16"/>
  <c r="P274" i="16"/>
  <c r="P364" i="16"/>
  <c r="P235" i="16"/>
  <c r="P196" i="16"/>
  <c r="P90" i="16"/>
  <c r="P94" i="16"/>
  <c r="P75" i="16"/>
  <c r="P109" i="16"/>
  <c r="P143" i="16"/>
  <c r="P165" i="16"/>
  <c r="P149" i="16"/>
  <c r="P133" i="16"/>
  <c r="P74" i="16"/>
  <c r="B94" i="8"/>
  <c r="AM13" i="16"/>
  <c r="AN13" i="16" s="1"/>
  <c r="AL14" i="16"/>
  <c r="AC189" i="16"/>
  <c r="AC134" i="16"/>
  <c r="AC96" i="16"/>
  <c r="AC45" i="16"/>
  <c r="R368" i="16"/>
  <c r="AM12" i="16"/>
  <c r="AN12" i="16" s="1"/>
  <c r="U93" i="8" s="1"/>
  <c r="AC188" i="16"/>
  <c r="AC126" i="16"/>
  <c r="AC95" i="16"/>
  <c r="AC44" i="16"/>
  <c r="U94" i="8" l="1"/>
  <c r="E94" i="8"/>
  <c r="Y94" i="8" s="1"/>
  <c r="K51" i="8"/>
  <c r="K49" i="8"/>
  <c r="K50" i="8"/>
  <c r="K48" i="8"/>
  <c r="B95" i="8"/>
  <c r="AL15" i="16"/>
  <c r="AM14" i="16"/>
  <c r="AN14" i="16" s="1"/>
  <c r="U95" i="8" s="1"/>
  <c r="O51" i="8"/>
  <c r="O49" i="8"/>
  <c r="O48" i="8"/>
  <c r="O50" i="8"/>
  <c r="M51" i="8"/>
  <c r="M50" i="8"/>
  <c r="M48" i="8"/>
  <c r="M49" i="8"/>
  <c r="E93" i="8"/>
  <c r="Y93" i="8" s="1"/>
  <c r="AS15" i="16"/>
  <c r="AT14" i="16"/>
  <c r="AU14" i="16" s="1"/>
  <c r="E92" i="8"/>
  <c r="Y92" i="8" s="1"/>
  <c r="AN11" i="16"/>
  <c r="U92" i="8" s="1"/>
  <c r="Q118" i="8" l="1"/>
  <c r="Q119" i="8"/>
  <c r="Q121" i="8"/>
  <c r="Q120" i="8"/>
  <c r="B96" i="8"/>
  <c r="AM15" i="16"/>
  <c r="AN15" i="16" s="1"/>
  <c r="U96" i="8" s="1"/>
  <c r="AL16" i="16"/>
  <c r="E95" i="8"/>
  <c r="Y95" i="8" s="1"/>
  <c r="M120" i="8"/>
  <c r="M121" i="8"/>
  <c r="M118" i="8"/>
  <c r="M119" i="8"/>
  <c r="AT15" i="16"/>
  <c r="AU15" i="16" s="1"/>
  <c r="AS16" i="16"/>
  <c r="O121" i="8"/>
  <c r="O119" i="8"/>
  <c r="O120" i="8"/>
  <c r="O118" i="8"/>
  <c r="B97" i="8" l="1"/>
  <c r="AL17" i="16"/>
  <c r="AM16" i="16"/>
  <c r="AN16" i="16" s="1"/>
  <c r="U97" i="8" s="1"/>
  <c r="E96" i="8"/>
  <c r="Y96" i="8" s="1"/>
  <c r="AS17" i="16"/>
  <c r="AT16" i="16"/>
  <c r="AU16" i="16" s="1"/>
  <c r="AT17" i="16" l="1"/>
  <c r="AU17" i="16" s="1"/>
  <c r="AS18" i="16"/>
  <c r="AL18" i="16"/>
  <c r="AM17" i="16"/>
  <c r="AN17" i="16" s="1"/>
  <c r="B98" i="8"/>
  <c r="E97" i="8"/>
  <c r="Y97" i="8" s="1"/>
  <c r="E98" i="8" l="1"/>
  <c r="Y98" i="8" s="1"/>
  <c r="U98" i="8"/>
  <c r="AM18" i="16"/>
  <c r="AN18" i="16" s="1"/>
  <c r="B99" i="8"/>
  <c r="AL19" i="16"/>
  <c r="AS19" i="16"/>
  <c r="AT18" i="16"/>
  <c r="AU18" i="16" s="1"/>
  <c r="AS20" i="16" l="1"/>
  <c r="AT19" i="16"/>
  <c r="AU19" i="16" s="1"/>
  <c r="AL20" i="16"/>
  <c r="AM19" i="16"/>
  <c r="AN19" i="16" s="1"/>
  <c r="B100" i="8"/>
  <c r="U99" i="8"/>
  <c r="E99" i="8"/>
  <c r="Y99" i="8" s="1"/>
  <c r="E100" i="8" l="1"/>
  <c r="Y100" i="8" s="1"/>
  <c r="U100" i="8"/>
  <c r="AL21" i="16"/>
  <c r="AM20" i="16"/>
  <c r="AN20" i="16" s="1"/>
  <c r="B101" i="8"/>
  <c r="AS21" i="16"/>
  <c r="AT20" i="16"/>
  <c r="AU20" i="16" s="1"/>
  <c r="AT21" i="16" l="1"/>
  <c r="AU21" i="16" s="1"/>
  <c r="AS22" i="16"/>
  <c r="U101" i="8"/>
  <c r="E101" i="8"/>
  <c r="Y101" i="8" s="1"/>
  <c r="B102" i="8"/>
  <c r="AL22" i="16"/>
  <c r="AM21" i="16"/>
  <c r="AN21" i="16" s="1"/>
  <c r="B103" i="8" l="1"/>
  <c r="AL23" i="16"/>
  <c r="AM22" i="16"/>
  <c r="AN22" i="16" s="1"/>
  <c r="E102" i="8"/>
  <c r="Y102" i="8" s="1"/>
  <c r="U102" i="8"/>
  <c r="AS23" i="16"/>
  <c r="AT22" i="16"/>
  <c r="AU22" i="16" s="1"/>
  <c r="AS24" i="16" l="1"/>
  <c r="AT23" i="16"/>
  <c r="AU23" i="16" s="1"/>
  <c r="AM23" i="16"/>
  <c r="AN23" i="16" s="1"/>
  <c r="AL24" i="16"/>
  <c r="B104" i="8"/>
  <c r="U103" i="8"/>
  <c r="E103" i="8"/>
  <c r="Y103" i="8" s="1"/>
  <c r="W109" i="8"/>
  <c r="U104" i="8" l="1"/>
  <c r="E104" i="8"/>
  <c r="Y104" i="8" s="1"/>
  <c r="AL25" i="16"/>
  <c r="B105" i="8"/>
  <c r="AM24" i="16"/>
  <c r="AN24" i="16" s="1"/>
  <c r="AS25" i="16"/>
  <c r="AT24" i="16"/>
  <c r="AU24" i="16" s="1"/>
  <c r="AT25" i="16" l="1"/>
  <c r="AU25" i="16" s="1"/>
  <c r="AS26" i="16"/>
  <c r="E105" i="8"/>
  <c r="Y105" i="8" s="1"/>
  <c r="U105" i="8"/>
  <c r="B106" i="8"/>
  <c r="AL26" i="16"/>
  <c r="AM25" i="16"/>
  <c r="AN25" i="16" s="1"/>
  <c r="AL27" i="16" l="1"/>
  <c r="AM26" i="16"/>
  <c r="AN26" i="16" s="1"/>
  <c r="B107" i="8"/>
  <c r="U106" i="8"/>
  <c r="E106" i="8"/>
  <c r="Y106" i="8" s="1"/>
  <c r="AT26" i="16"/>
  <c r="AU26" i="16" s="1"/>
  <c r="AS27" i="16"/>
  <c r="AT27" i="16" l="1"/>
  <c r="AU27" i="16" s="1"/>
  <c r="AS28" i="16"/>
  <c r="E107" i="8"/>
  <c r="Y107" i="8" s="1"/>
  <c r="U107" i="8"/>
  <c r="AL28" i="16"/>
  <c r="AM27" i="16"/>
  <c r="AN27" i="16" s="1"/>
  <c r="AM28" i="16" l="1"/>
  <c r="AN28" i="16" s="1"/>
  <c r="AL29" i="16"/>
  <c r="AS29" i="16"/>
  <c r="AT28" i="16"/>
  <c r="AU28" i="16" s="1"/>
  <c r="AS30" i="16" l="1"/>
  <c r="AT29" i="16"/>
  <c r="AU29" i="16" s="1"/>
  <c r="AL30" i="16"/>
  <c r="AM29" i="16"/>
  <c r="AN29" i="16" s="1"/>
  <c r="AM30" i="16" l="1"/>
  <c r="AN30" i="16" s="1"/>
  <c r="AL31" i="16"/>
  <c r="AT30" i="16"/>
  <c r="AU30" i="16" s="1"/>
  <c r="AS31" i="16"/>
  <c r="AS32" i="16" l="1"/>
  <c r="AT31" i="16"/>
  <c r="AU31" i="16" s="1"/>
  <c r="AL32" i="16"/>
  <c r="AM31" i="16"/>
  <c r="AN31" i="16" s="1"/>
  <c r="AL33" i="16" l="1"/>
  <c r="AM32" i="16"/>
  <c r="AN32" i="16" s="1"/>
  <c r="AS33" i="16"/>
  <c r="AT32" i="16"/>
  <c r="AU32" i="16" s="1"/>
  <c r="AT33" i="16" l="1"/>
  <c r="AU33" i="16" s="1"/>
  <c r="AS34" i="16"/>
  <c r="AM33" i="16"/>
  <c r="AN33" i="16" s="1"/>
  <c r="AL34" i="16"/>
  <c r="AL35" i="16" l="1"/>
  <c r="AM34" i="16"/>
  <c r="AN34" i="16" s="1"/>
  <c r="AS35" i="16"/>
  <c r="AT34" i="16"/>
  <c r="AU34" i="16" s="1"/>
  <c r="AS36" i="16" l="1"/>
  <c r="AT35" i="16"/>
  <c r="AU35" i="16" s="1"/>
  <c r="AL36" i="16"/>
  <c r="AM35" i="16"/>
  <c r="AN35" i="16" s="1"/>
  <c r="AM36" i="16" l="1"/>
  <c r="AN36" i="16" s="1"/>
  <c r="AL37" i="16"/>
  <c r="AS37" i="16"/>
  <c r="AT36" i="16"/>
  <c r="AU36" i="16" s="1"/>
  <c r="AS38" i="16" l="1"/>
  <c r="AT37" i="16"/>
  <c r="AU37" i="16" s="1"/>
  <c r="AL38" i="16"/>
  <c r="AM37" i="16"/>
  <c r="AN37" i="16" s="1"/>
  <c r="AM38" i="16" l="1"/>
  <c r="AN38" i="16" s="1"/>
  <c r="AL39" i="16"/>
  <c r="AS39" i="16"/>
  <c r="AT38" i="16"/>
  <c r="AU38" i="16" s="1"/>
  <c r="AS40" i="16" l="1"/>
  <c r="AT39" i="16"/>
  <c r="AU39" i="16" s="1"/>
  <c r="AL40" i="16"/>
  <c r="AM39" i="16"/>
  <c r="AN39" i="16" s="1"/>
  <c r="AL41" i="16" l="1"/>
  <c r="AM40" i="16"/>
  <c r="AN40" i="16" s="1"/>
  <c r="AS41" i="16"/>
  <c r="AT40" i="16"/>
  <c r="AU40" i="16" s="1"/>
  <c r="AT41" i="16" l="1"/>
  <c r="AU41" i="16" s="1"/>
  <c r="AS42" i="16"/>
  <c r="AM41" i="16"/>
  <c r="AN41" i="16" s="1"/>
  <c r="AL42" i="16"/>
  <c r="AM42" i="16" l="1"/>
  <c r="AN42" i="16" s="1"/>
  <c r="AL43" i="16"/>
  <c r="AS43" i="16"/>
  <c r="AT42" i="16"/>
  <c r="AU42" i="16" s="1"/>
  <c r="AS44" i="16" l="1"/>
  <c r="AT43" i="16"/>
  <c r="AU43" i="16" s="1"/>
  <c r="AL44" i="16"/>
  <c r="AM43" i="16"/>
  <c r="AN43" i="16" s="1"/>
  <c r="AL45" i="16" l="1"/>
  <c r="AM44" i="16"/>
  <c r="AN44" i="16" s="1"/>
  <c r="AT44" i="16"/>
  <c r="AU44" i="16" s="1"/>
  <c r="AS45" i="16"/>
  <c r="AS46" i="16" l="1"/>
  <c r="AT45" i="16"/>
  <c r="AU45" i="16" s="1"/>
  <c r="AL46" i="16"/>
  <c r="AM45" i="16"/>
  <c r="AN45" i="16" s="1"/>
  <c r="AL47" i="16" l="1"/>
  <c r="AM46" i="16"/>
  <c r="AN46" i="16" s="1"/>
  <c r="AT46" i="16"/>
  <c r="AU46" i="16" s="1"/>
  <c r="AS47" i="16"/>
  <c r="AS48" i="16" l="1"/>
  <c r="AT47" i="16"/>
  <c r="AU47" i="16" s="1"/>
  <c r="AM47" i="16"/>
  <c r="AN47" i="16" s="1"/>
  <c r="AL48" i="16"/>
  <c r="AL49" i="16" l="1"/>
  <c r="AM48" i="16"/>
  <c r="AN48" i="16" s="1"/>
  <c r="AS49" i="16"/>
  <c r="AT48" i="16"/>
  <c r="AU48" i="16" s="1"/>
  <c r="AS50" i="16" l="1"/>
  <c r="AT49" i="16"/>
  <c r="AU49" i="16" s="1"/>
  <c r="AM49" i="16"/>
  <c r="AN49" i="16" s="1"/>
  <c r="AL50" i="16"/>
  <c r="AL51" i="16" l="1"/>
  <c r="AM50" i="16"/>
  <c r="AN50" i="16" s="1"/>
  <c r="AS51" i="16"/>
  <c r="AT50" i="16"/>
  <c r="AU50" i="16" s="1"/>
  <c r="AT51" i="16" l="1"/>
  <c r="AU51" i="16" s="1"/>
  <c r="AS52" i="16"/>
  <c r="AL52" i="16"/>
  <c r="AM51" i="16"/>
  <c r="AN51" i="16" s="1"/>
  <c r="AM52" i="16" l="1"/>
  <c r="AN52" i="16" s="1"/>
  <c r="AL53" i="16"/>
  <c r="AS53" i="16"/>
  <c r="AT52" i="16"/>
  <c r="AU52" i="16" s="1"/>
  <c r="AT53" i="16" l="1"/>
  <c r="AU53" i="16" s="1"/>
  <c r="AS54" i="16"/>
  <c r="AL54" i="16"/>
  <c r="AM53" i="16"/>
  <c r="AN53" i="16" s="1"/>
  <c r="AL55" i="16" l="1"/>
  <c r="AM54" i="16"/>
  <c r="AN54" i="16" s="1"/>
  <c r="AT54" i="16"/>
  <c r="AU54" i="16" s="1"/>
  <c r="AS55" i="16"/>
  <c r="AT55" i="16" l="1"/>
  <c r="AU55" i="16" s="1"/>
  <c r="AS56" i="16"/>
  <c r="AM55" i="16"/>
  <c r="AN55" i="16" s="1"/>
  <c r="AL56" i="16"/>
  <c r="AL57" i="16" l="1"/>
  <c r="AM56" i="16"/>
  <c r="AN56" i="16" s="1"/>
  <c r="AT56" i="16"/>
  <c r="AU56" i="16" s="1"/>
  <c r="AS57" i="16"/>
  <c r="AS58" i="16" l="1"/>
  <c r="AT57" i="16"/>
  <c r="AU57" i="16" s="1"/>
  <c r="AM57" i="16"/>
  <c r="AN57" i="16" s="1"/>
  <c r="AL58" i="16"/>
  <c r="AL59" i="16" l="1"/>
  <c r="AM58" i="16"/>
  <c r="AN58" i="16" s="1"/>
  <c r="AT58" i="16"/>
  <c r="AU58" i="16" s="1"/>
  <c r="AS59" i="16"/>
  <c r="AS60" i="16" l="1"/>
  <c r="AT59" i="16"/>
  <c r="AU59" i="16" s="1"/>
  <c r="AM59" i="16"/>
  <c r="AN59" i="16" s="1"/>
  <c r="AL60" i="16"/>
  <c r="AM60" i="16" l="1"/>
  <c r="AN60" i="16" s="1"/>
  <c r="AL61" i="16"/>
  <c r="AT60" i="16"/>
  <c r="AU60" i="16" s="1"/>
  <c r="AS61" i="16"/>
  <c r="AT61" i="16" l="1"/>
  <c r="AU61" i="16" s="1"/>
  <c r="AS62" i="16"/>
  <c r="AM61" i="16"/>
  <c r="AN61" i="16" s="1"/>
  <c r="AL62" i="16"/>
  <c r="AL63" i="16" l="1"/>
  <c r="AM62" i="16"/>
  <c r="AN62" i="16" s="1"/>
  <c r="AS63" i="16"/>
  <c r="AT62" i="16"/>
  <c r="AU62" i="16" s="1"/>
  <c r="AT63" i="16" l="1"/>
  <c r="AU63" i="16" s="1"/>
  <c r="AS64" i="16"/>
  <c r="AL64" i="16"/>
  <c r="AM63" i="16"/>
  <c r="AN63" i="16" s="1"/>
  <c r="AM64" i="16" l="1"/>
  <c r="AN64" i="16" s="1"/>
  <c r="AL65" i="16"/>
  <c r="AS65" i="16"/>
  <c r="AT64" i="16"/>
  <c r="AU64" i="16" s="1"/>
  <c r="AS66" i="16" l="1"/>
  <c r="AT65" i="16"/>
  <c r="AU65" i="16" s="1"/>
  <c r="AM65" i="16"/>
  <c r="AN65" i="16" s="1"/>
  <c r="AL66" i="16"/>
  <c r="AM66" i="16" l="1"/>
  <c r="AN66" i="16" s="1"/>
  <c r="AL67" i="16"/>
  <c r="AS67" i="16"/>
  <c r="AT66" i="16"/>
  <c r="AU66" i="16" s="1"/>
  <c r="AT67" i="16" l="1"/>
  <c r="AU67" i="16" s="1"/>
  <c r="AS68" i="16"/>
  <c r="AL68" i="16"/>
  <c r="AM67" i="16"/>
  <c r="AN67" i="16" s="1"/>
  <c r="AL69" i="16" l="1"/>
  <c r="AM68" i="16"/>
  <c r="AN68" i="16" s="1"/>
  <c r="AT68" i="16"/>
  <c r="AU68" i="16" s="1"/>
  <c r="AS69" i="16"/>
  <c r="AT69" i="16" l="1"/>
  <c r="AU69" i="16" s="1"/>
  <c r="AS70" i="16"/>
  <c r="AL70" i="16"/>
  <c r="AM69" i="16"/>
  <c r="AN69" i="16" s="1"/>
  <c r="AL71" i="16" l="1"/>
  <c r="AM70" i="16"/>
  <c r="AN70" i="16" s="1"/>
  <c r="AT70" i="16"/>
  <c r="AU70" i="16" s="1"/>
  <c r="AS71" i="16"/>
  <c r="AS72" i="16" l="1"/>
  <c r="AT71" i="16"/>
  <c r="AU71" i="16" s="1"/>
  <c r="AL72" i="16"/>
  <c r="AM71" i="16"/>
  <c r="AN71" i="16" s="1"/>
  <c r="AL73" i="16" l="1"/>
  <c r="AM72" i="16"/>
  <c r="AN72" i="16" s="1"/>
  <c r="AT72" i="16"/>
  <c r="AU72" i="16" s="1"/>
  <c r="AS73" i="16"/>
  <c r="AS74" i="16" l="1"/>
  <c r="AT73" i="16"/>
  <c r="AU73" i="16" s="1"/>
  <c r="AL74" i="16"/>
  <c r="AM73" i="16"/>
  <c r="AN73" i="16" s="1"/>
  <c r="AM74" i="16" l="1"/>
  <c r="AN74" i="16" s="1"/>
  <c r="AL75" i="16"/>
  <c r="AS75" i="16"/>
  <c r="AT74" i="16"/>
  <c r="AU74" i="16" s="1"/>
  <c r="AT75" i="16" l="1"/>
  <c r="AU75" i="16" s="1"/>
  <c r="AS76" i="16"/>
  <c r="AM75" i="16"/>
  <c r="AN75" i="16" s="1"/>
  <c r="AL76" i="16"/>
  <c r="AL77" i="16" l="1"/>
  <c r="AM76" i="16"/>
  <c r="AN76" i="16" s="1"/>
  <c r="AS77" i="16"/>
  <c r="AT76" i="16"/>
  <c r="AU76" i="16" s="1"/>
  <c r="AT77" i="16" l="1"/>
  <c r="AU77" i="16" s="1"/>
  <c r="AS78" i="16"/>
  <c r="AL78" i="16"/>
  <c r="AM77" i="16"/>
  <c r="AN77" i="16" s="1"/>
  <c r="AL79" i="16" l="1"/>
  <c r="AM78" i="16"/>
  <c r="AN78" i="16" s="1"/>
  <c r="AS79" i="16"/>
  <c r="AT78" i="16"/>
  <c r="AU78" i="16" s="1"/>
  <c r="AT79" i="16" l="1"/>
  <c r="AU79" i="16" s="1"/>
  <c r="AS80" i="16"/>
  <c r="AM79" i="16"/>
  <c r="AN79" i="16" s="1"/>
  <c r="AL80" i="16"/>
  <c r="AL81" i="16" l="1"/>
  <c r="AM80" i="16"/>
  <c r="AN80" i="16" s="1"/>
  <c r="AS81" i="16"/>
  <c r="AT80" i="16"/>
  <c r="AU80" i="16" s="1"/>
  <c r="AS82" i="16" l="1"/>
  <c r="AT81" i="16"/>
  <c r="AU81" i="16" s="1"/>
  <c r="AM81" i="16"/>
  <c r="AN81" i="16" s="1"/>
  <c r="AL82" i="16"/>
  <c r="AL83" i="16" l="1"/>
  <c r="AM82" i="16"/>
  <c r="AN82" i="16" s="1"/>
  <c r="AS83" i="16"/>
  <c r="AT82" i="16"/>
  <c r="AU82" i="16" s="1"/>
  <c r="AT83" i="16" l="1"/>
  <c r="AU83" i="16" s="1"/>
  <c r="AS84" i="16"/>
  <c r="AL84" i="16"/>
  <c r="AM83" i="16"/>
  <c r="AN83" i="16" s="1"/>
  <c r="AM84" i="16" l="1"/>
  <c r="AN84" i="16" s="1"/>
  <c r="AL85" i="16"/>
  <c r="AT84" i="16"/>
  <c r="AU84" i="16" s="1"/>
  <c r="AS85" i="16"/>
  <c r="AT85" i="16" l="1"/>
  <c r="AU85" i="16" s="1"/>
  <c r="AS86" i="16"/>
  <c r="AL86" i="16"/>
  <c r="AM85" i="16"/>
  <c r="AN85" i="16" s="1"/>
  <c r="AM86" i="16" l="1"/>
  <c r="AN86" i="16" s="1"/>
  <c r="AL87" i="16"/>
  <c r="AT86" i="16"/>
  <c r="AU86" i="16" s="1"/>
  <c r="AS87" i="16"/>
  <c r="AS88" i="16" l="1"/>
  <c r="AT87" i="16"/>
  <c r="AU87" i="16" s="1"/>
  <c r="AL88" i="16"/>
  <c r="AM87" i="16"/>
  <c r="AN87" i="16" s="1"/>
  <c r="AL89" i="16" l="1"/>
  <c r="AM88" i="16"/>
  <c r="AN88" i="16" s="1"/>
  <c r="AS89" i="16"/>
  <c r="AT88" i="16"/>
  <c r="AU88" i="16" s="1"/>
  <c r="AS90" i="16" l="1"/>
  <c r="AT89" i="16"/>
  <c r="AU89" i="16" s="1"/>
  <c r="AL90" i="16"/>
  <c r="AM89" i="16"/>
  <c r="AN89" i="16" s="1"/>
  <c r="AL91" i="16" l="1"/>
  <c r="AM90" i="16"/>
  <c r="AN90" i="16" s="1"/>
  <c r="AT90" i="16"/>
  <c r="AU90" i="16" s="1"/>
  <c r="AS91" i="16"/>
  <c r="AS92" i="16" l="1"/>
  <c r="AT91" i="16"/>
  <c r="AU91" i="16" s="1"/>
  <c r="AL92" i="16"/>
  <c r="AM91" i="16"/>
  <c r="AN91" i="16" s="1"/>
  <c r="AL93" i="16" l="1"/>
  <c r="AM92" i="16"/>
  <c r="AN92" i="16" s="1"/>
  <c r="AT92" i="16"/>
  <c r="AU92" i="16" s="1"/>
  <c r="AS93" i="16"/>
  <c r="AS94" i="16" l="1"/>
  <c r="AT93" i="16"/>
  <c r="AU93" i="16" s="1"/>
  <c r="AM93" i="16"/>
  <c r="AN93" i="16" s="1"/>
  <c r="AL94" i="16"/>
  <c r="AL95" i="16" l="1"/>
  <c r="AM94" i="16"/>
  <c r="AN94" i="16" s="1"/>
  <c r="AT94" i="16"/>
  <c r="AU94" i="16" s="1"/>
  <c r="AS95" i="16"/>
  <c r="AT95" i="16" l="1"/>
  <c r="AU95" i="16" s="1"/>
  <c r="AS96" i="16"/>
  <c r="AL96" i="16"/>
  <c r="AM95" i="16"/>
  <c r="AN95" i="16" s="1"/>
  <c r="AM96" i="16" l="1"/>
  <c r="AN96" i="16" s="1"/>
  <c r="AL97" i="16"/>
  <c r="AT96" i="16"/>
  <c r="AU96" i="16" s="1"/>
  <c r="AS97" i="16"/>
  <c r="AS98" i="16" l="1"/>
  <c r="AT97" i="16"/>
  <c r="AU97" i="16" s="1"/>
  <c r="AM97" i="16"/>
  <c r="AN97" i="16" s="1"/>
  <c r="AL98" i="16"/>
  <c r="AL99" i="16" l="1"/>
  <c r="AM98" i="16"/>
  <c r="AN98" i="16" s="1"/>
  <c r="AS99" i="16"/>
  <c r="AT98" i="16"/>
  <c r="AU98" i="16" s="1"/>
  <c r="AS100" i="16" l="1"/>
  <c r="AT99" i="16"/>
  <c r="AU99" i="16" s="1"/>
  <c r="AM99" i="16"/>
  <c r="AN99" i="16" s="1"/>
  <c r="AL100" i="16"/>
  <c r="AM100" i="16" l="1"/>
  <c r="AN100" i="16" s="1"/>
  <c r="AL101" i="16"/>
  <c r="AT100" i="16"/>
  <c r="AU100" i="16" s="1"/>
  <c r="AS101" i="16"/>
  <c r="AS102" i="16" l="1"/>
  <c r="AT101" i="16"/>
  <c r="AU101" i="16" s="1"/>
  <c r="AM101" i="16"/>
  <c r="AN101" i="16" s="1"/>
  <c r="AL102" i="16"/>
  <c r="AM102" i="16" l="1"/>
  <c r="AN102" i="16" s="1"/>
  <c r="AL103" i="16"/>
  <c r="AT102" i="16"/>
  <c r="AU102" i="16" s="1"/>
  <c r="AS103" i="16"/>
  <c r="AS104" i="16" l="1"/>
  <c r="AT103" i="16"/>
  <c r="AU103" i="16" s="1"/>
  <c r="AM103" i="16"/>
  <c r="AN103" i="16" s="1"/>
  <c r="AL104" i="16"/>
  <c r="AM104" i="16" l="1"/>
  <c r="AN104" i="16" s="1"/>
  <c r="AL105" i="16"/>
  <c r="AS105" i="16"/>
  <c r="AT104" i="16"/>
  <c r="AU104" i="16" s="1"/>
  <c r="AS106" i="16" l="1"/>
  <c r="AT105" i="16"/>
  <c r="AU105" i="16" s="1"/>
  <c r="AM105" i="16"/>
  <c r="AN105" i="16" s="1"/>
  <c r="AL106" i="16"/>
  <c r="AM106" i="16" l="1"/>
  <c r="AN106" i="16" s="1"/>
  <c r="AL107" i="16"/>
  <c r="AS107" i="16"/>
  <c r="AT106" i="16"/>
  <c r="AU106" i="16" s="1"/>
  <c r="AS108" i="16" l="1"/>
  <c r="AT107" i="16"/>
  <c r="AU107" i="16" s="1"/>
  <c r="AM107" i="16"/>
  <c r="AN107" i="16" s="1"/>
  <c r="AL108" i="16"/>
  <c r="AM108" i="16" l="1"/>
  <c r="AN108" i="16" s="1"/>
  <c r="AL109" i="16"/>
  <c r="AS109" i="16"/>
  <c r="AT108" i="16"/>
  <c r="AU108" i="16" s="1"/>
  <c r="AS110" i="16" l="1"/>
  <c r="AT109" i="16"/>
  <c r="AU109" i="16" s="1"/>
  <c r="AL110" i="16"/>
  <c r="AM109" i="16"/>
  <c r="AN109" i="16" s="1"/>
  <c r="AM110" i="16" l="1"/>
  <c r="AN110" i="16" s="1"/>
  <c r="AL111" i="16"/>
  <c r="AS111" i="16"/>
  <c r="AT110" i="16"/>
  <c r="AU110" i="16" s="1"/>
  <c r="AT111" i="16" l="1"/>
  <c r="AU111" i="16" s="1"/>
  <c r="AS112" i="16"/>
  <c r="AM111" i="16"/>
  <c r="AN111" i="16" s="1"/>
  <c r="AL112" i="16"/>
  <c r="AM112" i="16" l="1"/>
  <c r="AN112" i="16" s="1"/>
  <c r="AL113" i="16"/>
  <c r="AS113" i="16"/>
  <c r="AT112" i="16"/>
  <c r="AU112" i="16" s="1"/>
  <c r="AT113" i="16" l="1"/>
  <c r="AU113" i="16" s="1"/>
  <c r="AS114" i="16"/>
  <c r="AM113" i="16"/>
  <c r="AN113" i="16" s="1"/>
  <c r="AL114" i="16"/>
  <c r="AL115" i="16" l="1"/>
  <c r="AM114" i="16"/>
  <c r="AN114" i="16" s="1"/>
  <c r="AS115" i="16"/>
  <c r="AT114" i="16"/>
  <c r="AU114" i="16" s="1"/>
  <c r="AT115" i="16" l="1"/>
  <c r="AU115" i="16" s="1"/>
  <c r="AS116" i="16"/>
  <c r="AL116" i="16"/>
  <c r="AM115" i="16"/>
  <c r="AN115" i="16" s="1"/>
  <c r="AL117" i="16" l="1"/>
  <c r="AM116" i="16"/>
  <c r="AN116" i="16" s="1"/>
  <c r="AT116" i="16"/>
  <c r="AU116" i="16" s="1"/>
  <c r="AS117" i="16"/>
  <c r="AS118" i="16" l="1"/>
  <c r="AT117" i="16"/>
  <c r="AU117" i="16" s="1"/>
  <c r="AL118" i="16"/>
  <c r="AM117" i="16"/>
  <c r="AN117" i="16" s="1"/>
  <c r="AM118" i="16" l="1"/>
  <c r="AN118" i="16" s="1"/>
  <c r="AL119" i="16"/>
  <c r="AT118" i="16"/>
  <c r="AU118" i="16" s="1"/>
  <c r="AS119" i="16"/>
  <c r="AS120" i="16" l="1"/>
  <c r="AT119" i="16"/>
  <c r="AU119" i="16" s="1"/>
  <c r="AL120" i="16"/>
  <c r="AM119" i="16"/>
  <c r="AN119" i="16" s="1"/>
  <c r="AL121" i="16" l="1"/>
  <c r="AM120" i="16"/>
  <c r="AN120" i="16" s="1"/>
  <c r="AS121" i="16"/>
  <c r="AT120" i="16"/>
  <c r="AU120" i="16" s="1"/>
  <c r="AS122" i="16" l="1"/>
  <c r="AT121" i="16"/>
  <c r="AU121" i="16" s="1"/>
  <c r="AL122" i="16"/>
  <c r="AM121" i="16"/>
  <c r="AN121" i="16" s="1"/>
  <c r="AM122" i="16" l="1"/>
  <c r="AN122" i="16" s="1"/>
  <c r="AL123" i="16"/>
  <c r="AS123" i="16"/>
  <c r="AT122" i="16"/>
  <c r="AU122" i="16" s="1"/>
  <c r="AT123" i="16" l="1"/>
  <c r="AU123" i="16" s="1"/>
  <c r="AS124" i="16"/>
  <c r="AL124" i="16"/>
  <c r="AM123" i="16"/>
  <c r="AN123" i="16" s="1"/>
  <c r="AM124" i="16" l="1"/>
  <c r="AN124" i="16" s="1"/>
  <c r="AL125" i="16"/>
  <c r="AT124" i="16"/>
  <c r="AU124" i="16" s="1"/>
  <c r="AS125" i="16"/>
  <c r="AT125" i="16" l="1"/>
  <c r="AU125" i="16" s="1"/>
  <c r="AS126" i="16"/>
  <c r="AL126" i="16"/>
  <c r="AM125" i="16"/>
  <c r="AN125" i="16" s="1"/>
  <c r="AL127" i="16" l="1"/>
  <c r="AM126" i="16"/>
  <c r="AN126" i="16" s="1"/>
  <c r="AT126" i="16"/>
  <c r="AU126" i="16" s="1"/>
  <c r="AS127" i="16"/>
  <c r="AS128" i="16" l="1"/>
  <c r="AT127" i="16"/>
  <c r="AU127" i="16" s="1"/>
  <c r="AM127" i="16"/>
  <c r="AN127" i="16" s="1"/>
  <c r="AL128" i="16"/>
  <c r="AL129" i="16" l="1"/>
  <c r="AM128" i="16"/>
  <c r="AN128" i="16" s="1"/>
  <c r="AT128" i="16"/>
  <c r="AU128" i="16" s="1"/>
  <c r="AS129" i="16"/>
  <c r="AS130" i="16" l="1"/>
  <c r="AT129" i="16"/>
  <c r="AU129" i="16" s="1"/>
  <c r="AM129" i="16"/>
  <c r="AN129" i="16" s="1"/>
  <c r="AL130" i="16"/>
  <c r="AM130" i="16" l="1"/>
  <c r="AN130" i="16" s="1"/>
  <c r="AL131" i="16"/>
  <c r="AT130" i="16"/>
  <c r="AU130" i="16" s="1"/>
  <c r="AS131" i="16"/>
  <c r="AS132" i="16" l="1"/>
  <c r="AT131" i="16"/>
  <c r="AU131" i="16" s="1"/>
  <c r="AL132" i="16"/>
  <c r="AM131" i="16"/>
  <c r="AN131" i="16" s="1"/>
  <c r="AM132" i="16" l="1"/>
  <c r="AN132" i="16" s="1"/>
  <c r="AL133" i="16"/>
  <c r="AS133" i="16"/>
  <c r="AT132" i="16"/>
  <c r="AU132" i="16" s="1"/>
  <c r="AS134" i="16" l="1"/>
  <c r="AT133" i="16"/>
  <c r="AU133" i="16" s="1"/>
  <c r="AM133" i="16"/>
  <c r="AN133" i="16" s="1"/>
  <c r="AL134" i="16"/>
  <c r="AL135" i="16" l="1"/>
  <c r="AM134" i="16"/>
  <c r="AN134" i="16" s="1"/>
  <c r="AT134" i="16"/>
  <c r="AU134" i="16" s="1"/>
  <c r="AS135" i="16"/>
  <c r="AS136" i="16" l="1"/>
  <c r="AT135" i="16"/>
  <c r="AU135" i="16" s="1"/>
  <c r="AM135" i="16"/>
  <c r="AN135" i="16" s="1"/>
  <c r="AL136" i="16"/>
  <c r="AL137" i="16" l="1"/>
  <c r="AM136" i="16"/>
  <c r="AN136" i="16" s="1"/>
  <c r="AS137" i="16"/>
  <c r="AT136" i="16"/>
  <c r="AU136" i="16" s="1"/>
  <c r="AS138" i="16" l="1"/>
  <c r="AT137" i="16"/>
  <c r="AU137" i="16" s="1"/>
  <c r="AM137" i="16"/>
  <c r="AN137" i="16" s="1"/>
  <c r="AL138" i="16"/>
  <c r="AL139" i="16" l="1"/>
  <c r="AM138" i="16"/>
  <c r="AN138" i="16" s="1"/>
  <c r="AS139" i="16"/>
  <c r="AT138" i="16"/>
  <c r="AU138" i="16" s="1"/>
  <c r="AS140" i="16" l="1"/>
  <c r="AT139" i="16"/>
  <c r="AU139" i="16" s="1"/>
  <c r="AM139" i="16"/>
  <c r="AN139" i="16" s="1"/>
  <c r="AL140" i="16"/>
  <c r="AL141" i="16" l="1"/>
  <c r="AM140" i="16"/>
  <c r="AN140" i="16" s="1"/>
  <c r="AS141" i="16"/>
  <c r="AT140" i="16"/>
  <c r="AU140" i="16" s="1"/>
  <c r="AS142" i="16" l="1"/>
  <c r="AT141" i="16"/>
  <c r="AU141" i="16" s="1"/>
  <c r="AL142" i="16"/>
  <c r="AM141" i="16"/>
  <c r="AN141" i="16" s="1"/>
  <c r="AL143" i="16" l="1"/>
  <c r="AM142" i="16"/>
  <c r="AN142" i="16" s="1"/>
  <c r="AS143" i="16"/>
  <c r="AT142" i="16"/>
  <c r="AU142" i="16" s="1"/>
  <c r="AT143" i="16" l="1"/>
  <c r="AU143" i="16" s="1"/>
  <c r="AS144" i="16"/>
  <c r="AL144" i="16"/>
  <c r="AM143" i="16"/>
  <c r="AN143" i="16" s="1"/>
  <c r="AM144" i="16" l="1"/>
  <c r="AN144" i="16" s="1"/>
  <c r="AL145" i="16"/>
  <c r="AS145" i="16"/>
  <c r="AT144" i="16"/>
  <c r="AU144" i="16" s="1"/>
  <c r="AS146" i="16" l="1"/>
  <c r="AT145" i="16"/>
  <c r="AU145" i="16" s="1"/>
  <c r="AL146" i="16"/>
  <c r="AM145" i="16"/>
  <c r="AN145" i="16" s="1"/>
  <c r="AL147" i="16" l="1"/>
  <c r="AM146" i="16"/>
  <c r="AN146" i="16" s="1"/>
  <c r="AS147" i="16"/>
  <c r="AT146" i="16"/>
  <c r="AU146" i="16" s="1"/>
  <c r="AT147" i="16" l="1"/>
  <c r="AU147" i="16" s="1"/>
  <c r="AS148" i="16"/>
  <c r="AL148" i="16"/>
  <c r="AM147" i="16"/>
  <c r="AN147" i="16" s="1"/>
  <c r="AM148" i="16" l="1"/>
  <c r="AN148" i="16" s="1"/>
  <c r="AL149" i="16"/>
  <c r="AS149" i="16"/>
  <c r="AT148" i="16"/>
  <c r="AU148" i="16" s="1"/>
  <c r="AS150" i="16" l="1"/>
  <c r="AT149" i="16"/>
  <c r="AU149" i="16" s="1"/>
  <c r="AM149" i="16"/>
  <c r="AN149" i="16" s="1"/>
  <c r="AL150" i="16"/>
  <c r="AM150" i="16" l="1"/>
  <c r="AN150" i="16" s="1"/>
  <c r="AL151" i="16"/>
  <c r="AT150" i="16"/>
  <c r="AU150" i="16" s="1"/>
  <c r="AS151" i="16"/>
  <c r="AT151" i="16" l="1"/>
  <c r="AU151" i="16" s="1"/>
  <c r="AS152" i="16"/>
  <c r="AL152" i="16"/>
  <c r="AM151" i="16"/>
  <c r="AN151" i="16" s="1"/>
  <c r="AL153" i="16" l="1"/>
  <c r="AM152" i="16"/>
  <c r="AN152" i="16" s="1"/>
  <c r="AS153" i="16"/>
  <c r="AT152" i="16"/>
  <c r="AU152" i="16" s="1"/>
  <c r="AS154" i="16" l="1"/>
  <c r="AT153" i="16"/>
  <c r="AU153" i="16" s="1"/>
  <c r="AM153" i="16"/>
  <c r="AN153" i="16" s="1"/>
  <c r="AL154" i="16"/>
  <c r="AM154" i="16" l="1"/>
  <c r="AN154" i="16" s="1"/>
  <c r="AL155" i="16"/>
  <c r="AT154" i="16"/>
  <c r="AU154" i="16" s="1"/>
  <c r="AS155" i="16"/>
  <c r="AS156" i="16" l="1"/>
  <c r="AT155" i="16"/>
  <c r="AU155" i="16" s="1"/>
  <c r="AM155" i="16"/>
  <c r="AN155" i="16" s="1"/>
  <c r="AL156" i="16"/>
  <c r="AM156" i="16" l="1"/>
  <c r="AN156" i="16" s="1"/>
  <c r="AL157" i="16"/>
  <c r="AS157" i="16"/>
  <c r="AT156" i="16"/>
  <c r="AU156" i="16" s="1"/>
  <c r="AT157" i="16" l="1"/>
  <c r="AU157" i="16" s="1"/>
  <c r="AS158" i="16"/>
  <c r="AL158" i="16"/>
  <c r="AM157" i="16"/>
  <c r="AN157" i="16" s="1"/>
  <c r="AL159" i="16" l="1"/>
  <c r="AM158" i="16"/>
  <c r="AN158" i="16" s="1"/>
  <c r="AT158" i="16"/>
  <c r="AU158" i="16" s="1"/>
  <c r="AS159" i="16"/>
  <c r="AT159" i="16" l="1"/>
  <c r="AU159" i="16" s="1"/>
  <c r="AS160" i="16"/>
  <c r="AM159" i="16"/>
  <c r="AN159" i="16" s="1"/>
  <c r="AL160" i="16"/>
  <c r="AL161" i="16" l="1"/>
  <c r="AM160" i="16"/>
  <c r="AN160" i="16" s="1"/>
  <c r="AS161" i="16"/>
  <c r="AT160" i="16"/>
  <c r="AU160" i="16" s="1"/>
  <c r="AT161" i="16" l="1"/>
  <c r="AU161" i="16" s="1"/>
  <c r="AS162" i="16"/>
  <c r="AL162" i="16"/>
  <c r="AM161" i="16"/>
  <c r="AN161" i="16" s="1"/>
  <c r="AL163" i="16" l="1"/>
  <c r="AM162" i="16"/>
  <c r="AN162" i="16" s="1"/>
  <c r="AT162" i="16"/>
  <c r="AU162" i="16" s="1"/>
  <c r="AS163" i="16"/>
  <c r="AS164" i="16" l="1"/>
  <c r="AT163" i="16"/>
  <c r="AU163" i="16" s="1"/>
  <c r="AM163" i="16"/>
  <c r="AN163" i="16" s="1"/>
  <c r="AL164" i="16"/>
  <c r="AM164" i="16" l="1"/>
  <c r="AN164" i="16" s="1"/>
  <c r="AL165" i="16"/>
  <c r="AT164" i="16"/>
  <c r="AU164" i="16" s="1"/>
  <c r="AS165" i="16"/>
  <c r="AT165" i="16" l="1"/>
  <c r="AU165" i="16" s="1"/>
  <c r="AS166" i="16"/>
  <c r="AM165" i="16"/>
  <c r="AN165" i="16" s="1"/>
  <c r="AL166" i="16"/>
  <c r="AL167" i="16" l="1"/>
  <c r="AM166" i="16"/>
  <c r="AN166" i="16" s="1"/>
  <c r="AS167" i="16"/>
  <c r="AT166" i="16"/>
  <c r="AU166" i="16" s="1"/>
  <c r="AS168" i="16" l="1"/>
  <c r="AT167" i="16"/>
  <c r="AU167" i="16" s="1"/>
  <c r="AM167" i="16"/>
  <c r="AN167" i="16" s="1"/>
  <c r="AL168" i="16"/>
  <c r="AL169" i="16" l="1"/>
  <c r="AM168" i="16"/>
  <c r="AN168" i="16" s="1"/>
  <c r="AT168" i="16"/>
  <c r="AU168" i="16" s="1"/>
  <c r="AS169" i="16"/>
  <c r="AS170" i="16" l="1"/>
  <c r="AT169" i="16"/>
  <c r="AU169" i="16" s="1"/>
  <c r="AL170" i="16"/>
  <c r="AM169" i="16"/>
  <c r="AN169" i="16" s="1"/>
  <c r="AM170" i="16" l="1"/>
  <c r="AN170" i="16" s="1"/>
  <c r="AL171" i="16"/>
  <c r="AS171" i="16"/>
  <c r="AT170" i="16"/>
  <c r="AU170" i="16" s="1"/>
  <c r="AS172" i="16" l="1"/>
  <c r="AT171" i="16"/>
  <c r="AU171" i="16" s="1"/>
  <c r="AL172" i="16"/>
  <c r="AM171" i="16"/>
  <c r="AN171" i="16" s="1"/>
  <c r="AL173" i="16" l="1"/>
  <c r="AM172" i="16"/>
  <c r="AN172" i="16" s="1"/>
  <c r="AS173" i="16"/>
  <c r="AT172" i="16"/>
  <c r="AU172" i="16" s="1"/>
  <c r="AT173" i="16" l="1"/>
  <c r="AU173" i="16" s="1"/>
  <c r="AS174" i="16"/>
  <c r="AM173" i="16"/>
  <c r="AN173" i="16" s="1"/>
  <c r="AL174" i="16"/>
  <c r="AL175" i="16" l="1"/>
  <c r="AM174" i="16"/>
  <c r="AN174" i="16" s="1"/>
  <c r="AT174" i="16"/>
  <c r="AU174" i="16" s="1"/>
  <c r="AS175" i="16"/>
  <c r="AT175" i="16" l="1"/>
  <c r="AU175" i="16" s="1"/>
  <c r="AS176" i="16"/>
  <c r="AM175" i="16"/>
  <c r="AN175" i="16" s="1"/>
  <c r="AL176" i="16"/>
  <c r="AM176" i="16" l="1"/>
  <c r="AN176" i="16" s="1"/>
  <c r="AL177" i="16"/>
  <c r="AT176" i="16"/>
  <c r="AU176" i="16" s="1"/>
  <c r="AS177" i="16"/>
  <c r="AT177" i="16" l="1"/>
  <c r="AU177" i="16" s="1"/>
  <c r="AS178" i="16"/>
  <c r="AM177" i="16"/>
  <c r="AN177" i="16" s="1"/>
  <c r="AL178" i="16"/>
  <c r="AM178" i="16" l="1"/>
  <c r="AN178" i="16" s="1"/>
  <c r="AL179" i="16"/>
  <c r="AS179" i="16"/>
  <c r="AT178" i="16"/>
  <c r="AU178" i="16" s="1"/>
  <c r="AT179" i="16" l="1"/>
  <c r="AU179" i="16" s="1"/>
  <c r="AS180" i="16"/>
  <c r="AL180" i="16"/>
  <c r="AM179" i="16"/>
  <c r="AN179" i="16" s="1"/>
  <c r="AL181" i="16" l="1"/>
  <c r="AM180" i="16"/>
  <c r="AN180" i="16" s="1"/>
  <c r="AS181" i="16"/>
  <c r="AT180" i="16"/>
  <c r="AU180" i="16" s="1"/>
  <c r="AT181" i="16" l="1"/>
  <c r="AU181" i="16" s="1"/>
  <c r="AS182" i="16"/>
  <c r="AL182" i="16"/>
  <c r="AM181" i="16"/>
  <c r="AN181" i="16" s="1"/>
  <c r="AM182" i="16" l="1"/>
  <c r="AN182" i="16" s="1"/>
  <c r="AL183" i="16"/>
  <c r="AS183" i="16"/>
  <c r="AT182" i="16"/>
  <c r="AU182" i="16" s="1"/>
  <c r="AS184" i="16" l="1"/>
  <c r="AT183" i="16"/>
  <c r="AU183" i="16" s="1"/>
  <c r="AL184" i="16"/>
  <c r="AM183" i="16"/>
  <c r="AN183" i="16" s="1"/>
  <c r="AL185" i="16" l="1"/>
  <c r="AM184" i="16"/>
  <c r="AN184" i="16" s="1"/>
  <c r="AS185" i="16"/>
  <c r="AT184" i="16"/>
  <c r="AU184" i="16" s="1"/>
  <c r="AS186" i="16" l="1"/>
  <c r="AT185" i="16"/>
  <c r="AU185" i="16" s="1"/>
  <c r="AM185" i="16"/>
  <c r="AN185" i="16" s="1"/>
  <c r="AL186" i="16"/>
  <c r="AM186" i="16" l="1"/>
  <c r="AN186" i="16" s="1"/>
  <c r="AL187" i="16"/>
  <c r="AS187" i="16"/>
  <c r="AT186" i="16"/>
  <c r="AU186" i="16" s="1"/>
  <c r="AT187" i="16" l="1"/>
  <c r="AU187" i="16" s="1"/>
  <c r="AS188" i="16"/>
  <c r="AM187" i="16"/>
  <c r="AN187" i="16" s="1"/>
  <c r="AL188" i="16"/>
  <c r="AL189" i="16" l="1"/>
  <c r="AM188" i="16"/>
  <c r="AN188" i="16" s="1"/>
  <c r="AT188" i="16"/>
  <c r="AU188" i="16" s="1"/>
  <c r="AS189" i="16"/>
  <c r="AT189" i="16" l="1"/>
  <c r="AU189" i="16" s="1"/>
  <c r="AS190" i="16"/>
  <c r="AL190" i="16"/>
  <c r="AM189" i="16"/>
  <c r="AN189" i="16" s="1"/>
  <c r="AM190" i="16" l="1"/>
  <c r="AN190" i="16" s="1"/>
  <c r="AL191" i="16"/>
  <c r="AT190" i="16"/>
  <c r="AU190" i="16" s="1"/>
  <c r="AS191" i="16"/>
  <c r="AT191" i="16" l="1"/>
  <c r="AU191" i="16" s="1"/>
  <c r="AS192" i="16"/>
  <c r="AL192" i="16"/>
  <c r="AM191" i="16"/>
  <c r="AN191" i="16" s="1"/>
  <c r="AL193" i="16" l="1"/>
  <c r="AM192" i="16"/>
  <c r="AN192" i="16" s="1"/>
  <c r="AT192" i="16"/>
  <c r="AU192" i="16" s="1"/>
  <c r="AS193" i="16"/>
  <c r="AS194" i="16" l="1"/>
  <c r="AT193" i="16"/>
  <c r="AU193" i="16" s="1"/>
  <c r="AL194" i="16"/>
  <c r="AM193" i="16"/>
  <c r="AN193" i="16" s="1"/>
  <c r="AM194" i="16" l="1"/>
  <c r="AN194" i="16" s="1"/>
  <c r="AL195" i="16"/>
  <c r="AS195" i="16"/>
  <c r="AT194" i="16"/>
  <c r="AU194" i="16" s="1"/>
  <c r="AT195" i="16" l="1"/>
  <c r="AU195" i="16" s="1"/>
  <c r="AS196" i="16"/>
  <c r="AM195" i="16"/>
  <c r="AN195" i="16" s="1"/>
  <c r="AL196" i="16"/>
  <c r="AM196" i="16" l="1"/>
  <c r="AN196" i="16" s="1"/>
  <c r="AL197" i="16"/>
  <c r="AS197" i="16"/>
  <c r="AT196" i="16"/>
  <c r="AU196" i="16" s="1"/>
  <c r="AT197" i="16" l="1"/>
  <c r="AU197" i="16" s="1"/>
  <c r="AS198" i="16"/>
  <c r="AM197" i="16"/>
  <c r="AN197" i="16" s="1"/>
  <c r="AL198" i="16"/>
  <c r="AM198" i="16" l="1"/>
  <c r="AN198" i="16" s="1"/>
  <c r="AL199" i="16"/>
  <c r="AT198" i="16"/>
  <c r="AU198" i="16" s="1"/>
  <c r="AS199" i="16"/>
  <c r="AS200" i="16" l="1"/>
  <c r="AT199" i="16"/>
  <c r="AU199" i="16" s="1"/>
  <c r="AL200" i="16"/>
  <c r="AM199" i="16"/>
  <c r="AN199" i="16" s="1"/>
  <c r="AL201" i="16" l="1"/>
  <c r="AM200" i="16"/>
  <c r="AN200" i="16" s="1"/>
  <c r="AT200" i="16"/>
  <c r="AU200" i="16" s="1"/>
  <c r="AS201" i="16"/>
  <c r="AS202" i="16" l="1"/>
  <c r="AT201" i="16"/>
  <c r="AU201" i="16" s="1"/>
  <c r="AL202" i="16"/>
  <c r="AM201" i="16"/>
  <c r="AN201" i="16" s="1"/>
  <c r="AM202" i="16" l="1"/>
  <c r="AN202" i="16" s="1"/>
  <c r="AL203" i="16"/>
  <c r="AS203" i="16"/>
  <c r="AT202" i="16"/>
  <c r="AU202" i="16" s="1"/>
  <c r="AS204" i="16" l="1"/>
  <c r="AT203" i="16"/>
  <c r="AU203" i="16" s="1"/>
  <c r="AM203" i="16"/>
  <c r="AN203" i="16" s="1"/>
  <c r="AL204" i="16"/>
  <c r="AM204" i="16" l="1"/>
  <c r="AN204" i="16" s="1"/>
  <c r="AL205" i="16"/>
  <c r="AS205" i="16"/>
  <c r="AT204" i="16"/>
  <c r="AU204" i="16" s="1"/>
  <c r="AT205" i="16" l="1"/>
  <c r="AU205" i="16" s="1"/>
  <c r="AS206" i="16"/>
  <c r="AL206" i="16"/>
  <c r="AM205" i="16"/>
  <c r="AN205" i="16" s="1"/>
  <c r="AL207" i="16" l="1"/>
  <c r="AM206" i="16"/>
  <c r="AN206" i="16" s="1"/>
  <c r="AS207" i="16"/>
  <c r="AT206" i="16"/>
  <c r="AU206" i="16" s="1"/>
  <c r="AT207" i="16" l="1"/>
  <c r="AU207" i="16" s="1"/>
  <c r="AS208" i="16"/>
  <c r="AL208" i="16"/>
  <c r="AM207" i="16"/>
  <c r="AN207" i="16" s="1"/>
  <c r="AM208" i="16" l="1"/>
  <c r="AN208" i="16" s="1"/>
  <c r="AL209" i="16"/>
  <c r="AS209" i="16"/>
  <c r="AT208" i="16"/>
  <c r="AU208" i="16" s="1"/>
  <c r="AS210" i="16" l="1"/>
  <c r="AT209" i="16"/>
  <c r="AU209" i="16" s="1"/>
  <c r="AL210" i="16"/>
  <c r="AM209" i="16"/>
  <c r="AN209" i="16" s="1"/>
  <c r="AL211" i="16" l="1"/>
  <c r="AM210" i="16"/>
  <c r="AN210" i="16" s="1"/>
  <c r="AS211" i="16"/>
  <c r="AT210" i="16"/>
  <c r="AU210" i="16" s="1"/>
  <c r="AS212" i="16" l="1"/>
  <c r="AT211" i="16"/>
  <c r="AU211" i="16" s="1"/>
  <c r="AL212" i="16"/>
  <c r="AM211" i="16"/>
  <c r="AN211" i="16" s="1"/>
  <c r="AM212" i="16" l="1"/>
  <c r="AN212" i="16" s="1"/>
  <c r="AL213" i="16"/>
  <c r="AS213" i="16"/>
  <c r="AT212" i="16"/>
  <c r="AU212" i="16" s="1"/>
  <c r="AT213" i="16" l="1"/>
  <c r="AU213" i="16" s="1"/>
  <c r="AS214" i="16"/>
  <c r="AL214" i="16"/>
  <c r="AM213" i="16"/>
  <c r="AN213" i="16" s="1"/>
  <c r="AL215" i="16" l="1"/>
  <c r="AM214" i="16"/>
  <c r="AN214" i="16" s="1"/>
  <c r="AS215" i="16"/>
  <c r="AT214" i="16"/>
  <c r="AU214" i="16" s="1"/>
  <c r="AT215" i="16" l="1"/>
  <c r="AU215" i="16" s="1"/>
  <c r="AS216" i="16"/>
  <c r="AM215" i="16"/>
  <c r="AN215" i="16" s="1"/>
  <c r="AL216" i="16"/>
  <c r="AL217" i="16" l="1"/>
  <c r="AM216" i="16"/>
  <c r="AN216" i="16" s="1"/>
  <c r="AS217" i="16"/>
  <c r="AT216" i="16"/>
  <c r="AU216" i="16" s="1"/>
  <c r="AT217" i="16" l="1"/>
  <c r="AU217" i="16" s="1"/>
  <c r="AS218" i="16"/>
  <c r="AM217" i="16"/>
  <c r="AN217" i="16" s="1"/>
  <c r="AL218" i="16"/>
  <c r="AM218" i="16" l="1"/>
  <c r="AN218" i="16" s="1"/>
  <c r="AL219" i="16"/>
  <c r="AT218" i="16"/>
  <c r="AU218" i="16" s="1"/>
  <c r="AS219" i="16"/>
  <c r="AT219" i="16" l="1"/>
  <c r="AU219" i="16" s="1"/>
  <c r="AS220" i="16"/>
  <c r="AL220" i="16"/>
  <c r="AM219" i="16"/>
  <c r="AN219" i="16" s="1"/>
  <c r="AM220" i="16" l="1"/>
  <c r="AN220" i="16" s="1"/>
  <c r="AL221" i="16"/>
  <c r="AS221" i="16"/>
  <c r="AT220" i="16"/>
  <c r="AU220" i="16" s="1"/>
  <c r="AT221" i="16" l="1"/>
  <c r="AU221" i="16" s="1"/>
  <c r="AS222" i="16"/>
  <c r="AL222" i="16"/>
  <c r="AM221" i="16"/>
  <c r="AN221" i="16" s="1"/>
  <c r="AM222" i="16" l="1"/>
  <c r="AN222" i="16" s="1"/>
  <c r="AL223" i="16"/>
  <c r="AT222" i="16"/>
  <c r="AU222" i="16" s="1"/>
  <c r="AS223" i="16"/>
  <c r="AS224" i="16" l="1"/>
  <c r="AT223" i="16"/>
  <c r="AU223" i="16" s="1"/>
  <c r="AM223" i="16"/>
  <c r="AN223" i="16" s="1"/>
  <c r="AL224" i="16"/>
  <c r="AM224" i="16" l="1"/>
  <c r="AN224" i="16" s="1"/>
  <c r="AL225" i="16"/>
  <c r="AT224" i="16"/>
  <c r="AU224" i="16" s="1"/>
  <c r="AS225" i="16"/>
  <c r="AT225" i="16" l="1"/>
  <c r="AU225" i="16" s="1"/>
  <c r="AS226" i="16"/>
  <c r="AL226" i="16"/>
  <c r="AM225" i="16"/>
  <c r="AN225" i="16" s="1"/>
  <c r="AL227" i="16" l="1"/>
  <c r="AM226" i="16"/>
  <c r="AN226" i="16" s="1"/>
  <c r="AS227" i="16"/>
  <c r="AT226" i="16"/>
  <c r="AU226" i="16" s="1"/>
  <c r="AT227" i="16" l="1"/>
  <c r="AU227" i="16" s="1"/>
  <c r="AS228" i="16"/>
  <c r="AL228" i="16"/>
  <c r="AM227" i="16"/>
  <c r="AN227" i="16" s="1"/>
  <c r="AL229" i="16" l="1"/>
  <c r="AM228" i="16"/>
  <c r="AN228" i="16" s="1"/>
  <c r="AT228" i="16"/>
  <c r="AU228" i="16" s="1"/>
  <c r="AS229" i="16"/>
  <c r="AS230" i="16" l="1"/>
  <c r="AT229" i="16"/>
  <c r="AU229" i="16" s="1"/>
  <c r="AM229" i="16"/>
  <c r="AN229" i="16" s="1"/>
  <c r="AL230" i="16"/>
  <c r="AL231" i="16" l="1"/>
  <c r="AM230" i="16"/>
  <c r="AN230" i="16" s="1"/>
  <c r="AS231" i="16"/>
  <c r="AT230" i="16"/>
  <c r="AU230" i="16" s="1"/>
  <c r="AT231" i="16" l="1"/>
  <c r="AU231" i="16" s="1"/>
  <c r="AS232" i="16"/>
  <c r="AM231" i="16"/>
  <c r="AN231" i="16" s="1"/>
  <c r="AL232" i="16"/>
  <c r="AL233" i="16" l="1"/>
  <c r="AM232" i="16"/>
  <c r="AN232" i="16" s="1"/>
  <c r="AT232" i="16"/>
  <c r="AU232" i="16" s="1"/>
  <c r="AS233" i="16"/>
  <c r="AS234" i="16" l="1"/>
  <c r="AT233" i="16"/>
  <c r="AU233" i="16" s="1"/>
  <c r="AM233" i="16"/>
  <c r="AN233" i="16" s="1"/>
  <c r="AL234" i="16"/>
  <c r="AM234" i="16" l="1"/>
  <c r="AN234" i="16" s="1"/>
  <c r="AL235" i="16"/>
  <c r="AS235" i="16"/>
  <c r="AT234" i="16"/>
  <c r="AU234" i="16" s="1"/>
  <c r="AS236" i="16" l="1"/>
  <c r="AT235" i="16"/>
  <c r="AU235" i="16" s="1"/>
  <c r="AL236" i="16"/>
  <c r="AM235" i="16"/>
  <c r="AN235" i="16" s="1"/>
  <c r="AM236" i="16" l="1"/>
  <c r="AN236" i="16" s="1"/>
  <c r="AL237" i="16"/>
  <c r="AS237" i="16"/>
  <c r="AT236" i="16"/>
  <c r="AU236" i="16" s="1"/>
  <c r="AT237" i="16" l="1"/>
  <c r="AU237" i="16" s="1"/>
  <c r="AS238" i="16"/>
  <c r="AM237" i="16"/>
  <c r="AN237" i="16" s="1"/>
  <c r="AL238" i="16"/>
  <c r="AM238" i="16" l="1"/>
  <c r="AN238" i="16" s="1"/>
  <c r="AL239" i="16"/>
  <c r="AS239" i="16"/>
  <c r="AT238" i="16"/>
  <c r="AU238" i="16" s="1"/>
  <c r="AT239" i="16" l="1"/>
  <c r="AU239" i="16" s="1"/>
  <c r="AS240" i="16"/>
  <c r="AL240" i="16"/>
  <c r="AM239" i="16"/>
  <c r="AN239" i="16" s="1"/>
  <c r="AM240" i="16" l="1"/>
  <c r="AN240" i="16" s="1"/>
  <c r="AL241" i="16"/>
  <c r="AT240" i="16"/>
  <c r="AU240" i="16" s="1"/>
  <c r="AS241" i="16"/>
  <c r="AT241" i="16" l="1"/>
  <c r="AU241" i="16" s="1"/>
  <c r="AS242" i="16"/>
  <c r="AM241" i="16"/>
  <c r="AN241" i="16" s="1"/>
  <c r="AL242" i="16"/>
  <c r="AL243" i="16" l="1"/>
  <c r="AM242" i="16"/>
  <c r="AN242" i="16" s="1"/>
  <c r="AS243" i="16"/>
  <c r="AT242" i="16"/>
  <c r="AU242" i="16" s="1"/>
  <c r="AT243" i="16" l="1"/>
  <c r="AU243" i="16" s="1"/>
  <c r="AS244" i="16"/>
  <c r="AM243" i="16"/>
  <c r="AN243" i="16" s="1"/>
  <c r="AL244" i="16"/>
  <c r="AL245" i="16" l="1"/>
  <c r="AM244" i="16"/>
  <c r="AN244" i="16" s="1"/>
  <c r="AS245" i="16"/>
  <c r="AT244" i="16"/>
  <c r="AU244" i="16" s="1"/>
  <c r="AS246" i="16" l="1"/>
  <c r="AT245" i="16"/>
  <c r="AU245" i="16" s="1"/>
  <c r="AL246" i="16"/>
  <c r="AM245" i="16"/>
  <c r="AN245" i="16" s="1"/>
  <c r="AL247" i="16" l="1"/>
  <c r="AM246" i="16"/>
  <c r="AN246" i="16" s="1"/>
  <c r="AT246" i="16"/>
  <c r="AU246" i="16" s="1"/>
  <c r="AS247" i="16"/>
  <c r="AS248" i="16" l="1"/>
  <c r="AT247" i="16"/>
  <c r="AU247" i="16" s="1"/>
  <c r="AL248" i="16"/>
  <c r="AM247" i="16"/>
  <c r="AN247" i="16" s="1"/>
  <c r="AM248" i="16" l="1"/>
  <c r="AN248" i="16" s="1"/>
  <c r="AL249" i="16"/>
  <c r="AT248" i="16"/>
  <c r="AU248" i="16" s="1"/>
  <c r="AS249" i="16"/>
  <c r="AS250" i="16" l="1"/>
  <c r="AT249" i="16"/>
  <c r="AU249" i="16" s="1"/>
  <c r="AM249" i="16"/>
  <c r="AN249" i="16" s="1"/>
  <c r="AL250" i="16"/>
  <c r="AM250" i="16" l="1"/>
  <c r="AN250" i="16" s="1"/>
  <c r="AL251" i="16"/>
  <c r="AT250" i="16"/>
  <c r="AU250" i="16" s="1"/>
  <c r="AS251" i="16"/>
  <c r="AT251" i="16" l="1"/>
  <c r="AU251" i="16" s="1"/>
  <c r="AS252" i="16"/>
  <c r="AM251" i="16"/>
  <c r="AN251" i="16" s="1"/>
  <c r="AL252" i="16"/>
  <c r="AL253" i="16" l="1"/>
  <c r="AM252" i="16"/>
  <c r="AN252" i="16" s="1"/>
  <c r="AT252" i="16"/>
  <c r="AU252" i="16" s="1"/>
  <c r="AS253" i="16"/>
  <c r="AT253" i="16" l="1"/>
  <c r="AU253" i="16" s="1"/>
  <c r="AS254" i="16"/>
  <c r="AM253" i="16"/>
  <c r="AN253" i="16" s="1"/>
  <c r="AL254" i="16"/>
  <c r="AM254" i="16" l="1"/>
  <c r="AN254" i="16" s="1"/>
  <c r="AL255" i="16"/>
  <c r="AT254" i="16"/>
  <c r="AU254" i="16" s="1"/>
  <c r="AS255" i="16"/>
  <c r="AS256" i="16" l="1"/>
  <c r="AT255" i="16"/>
  <c r="AU255" i="16" s="1"/>
  <c r="AM255" i="16"/>
  <c r="AN255" i="16" s="1"/>
  <c r="AL256" i="16"/>
  <c r="AM256" i="16" l="1"/>
  <c r="AN256" i="16" s="1"/>
  <c r="AL257" i="16"/>
  <c r="AT256" i="16"/>
  <c r="AU256" i="16" s="1"/>
  <c r="AS257" i="16"/>
  <c r="AS258" i="16" l="1"/>
  <c r="AT257" i="16"/>
  <c r="AU257" i="16" s="1"/>
  <c r="AL258" i="16"/>
  <c r="AM257" i="16"/>
  <c r="AN257" i="16" s="1"/>
  <c r="AM258" i="16" l="1"/>
  <c r="AN258" i="16" s="1"/>
  <c r="AL259" i="16"/>
  <c r="AS259" i="16"/>
  <c r="AT258" i="16"/>
  <c r="AU258" i="16" s="1"/>
  <c r="AT259" i="16" l="1"/>
  <c r="AU259" i="16" s="1"/>
  <c r="AS260" i="16"/>
  <c r="AM259" i="16"/>
  <c r="AN259" i="16" s="1"/>
  <c r="AL260" i="16"/>
  <c r="AM260" i="16" l="1"/>
  <c r="AN260" i="16" s="1"/>
  <c r="AL261" i="16"/>
  <c r="AS261" i="16"/>
  <c r="AT260" i="16"/>
  <c r="AU260" i="16" s="1"/>
  <c r="AS262" i="16" l="1"/>
  <c r="AT261" i="16"/>
  <c r="AU261" i="16" s="1"/>
  <c r="AL262" i="16"/>
  <c r="AM261" i="16"/>
  <c r="AN261" i="16" s="1"/>
  <c r="AM262" i="16" l="1"/>
  <c r="AN262" i="16" s="1"/>
  <c r="AL263" i="16"/>
  <c r="AS263" i="16"/>
  <c r="AT262" i="16"/>
  <c r="AU262" i="16" s="1"/>
  <c r="AS264" i="16" l="1"/>
  <c r="AT263" i="16"/>
  <c r="AU263" i="16" s="1"/>
  <c r="AM263" i="16"/>
  <c r="AN263" i="16" s="1"/>
  <c r="AL264" i="16"/>
  <c r="AM264" i="16" l="1"/>
  <c r="AN264" i="16" s="1"/>
  <c r="AL265" i="16"/>
  <c r="AT264" i="16"/>
  <c r="AU264" i="16" s="1"/>
  <c r="AS265" i="16"/>
  <c r="AT265" i="16" l="1"/>
  <c r="AU265" i="16" s="1"/>
  <c r="AS266" i="16"/>
  <c r="AM265" i="16"/>
  <c r="AN265" i="16" s="1"/>
  <c r="AL266" i="16"/>
  <c r="AM266" i="16" l="1"/>
  <c r="AN266" i="16" s="1"/>
  <c r="AL267" i="16"/>
  <c r="AT266" i="16"/>
  <c r="AU266" i="16" s="1"/>
  <c r="AS267" i="16"/>
  <c r="AS268" i="16" l="1"/>
  <c r="AT267" i="16"/>
  <c r="AU267" i="16" s="1"/>
  <c r="AL268" i="16"/>
  <c r="AM267" i="16"/>
  <c r="AN267" i="16" s="1"/>
  <c r="AM268" i="16" l="1"/>
  <c r="AN268" i="16" s="1"/>
  <c r="AL269" i="16"/>
  <c r="AT268" i="16"/>
  <c r="AU268" i="16" s="1"/>
  <c r="AS269" i="16"/>
  <c r="AT269" i="16" l="1"/>
  <c r="AU269" i="16" s="1"/>
  <c r="AS270" i="16"/>
  <c r="AL270" i="16"/>
  <c r="AM269" i="16"/>
  <c r="AN269" i="16" s="1"/>
  <c r="AL271" i="16" l="1"/>
  <c r="AM270" i="16"/>
  <c r="AN270" i="16" s="1"/>
  <c r="AT270" i="16"/>
  <c r="AU270" i="16" s="1"/>
  <c r="AS271" i="16"/>
  <c r="AT271" i="16" l="1"/>
  <c r="AU271" i="16" s="1"/>
  <c r="AS272" i="16"/>
  <c r="AL272" i="16"/>
  <c r="AM271" i="16"/>
  <c r="AN271" i="16" s="1"/>
  <c r="AM272" i="16" l="1"/>
  <c r="AN272" i="16" s="1"/>
  <c r="AL273" i="16"/>
  <c r="AS273" i="16"/>
  <c r="AT272" i="16"/>
  <c r="AU272" i="16" s="1"/>
  <c r="AS274" i="16" l="1"/>
  <c r="AT273" i="16"/>
  <c r="AU273" i="16" s="1"/>
  <c r="AL274" i="16"/>
  <c r="AM273" i="16"/>
  <c r="AN273" i="16" s="1"/>
  <c r="AM274" i="16" l="1"/>
  <c r="AN274" i="16" s="1"/>
  <c r="AL275" i="16"/>
  <c r="AT274" i="16"/>
  <c r="AU274" i="16" s="1"/>
  <c r="AS275" i="16"/>
  <c r="AT275" i="16" l="1"/>
  <c r="AU275" i="16" s="1"/>
  <c r="AS276" i="16"/>
  <c r="AL276" i="16"/>
  <c r="AM275" i="16"/>
  <c r="AN275" i="16" s="1"/>
  <c r="AM276" i="16" l="1"/>
  <c r="AN276" i="16" s="1"/>
  <c r="AL277" i="16"/>
  <c r="AS277" i="16"/>
  <c r="AT276" i="16"/>
  <c r="AU276" i="16" s="1"/>
  <c r="AT277" i="16" l="1"/>
  <c r="AU277" i="16" s="1"/>
  <c r="AS278" i="16"/>
  <c r="AL278" i="16"/>
  <c r="AM277" i="16"/>
  <c r="AN277" i="16" s="1"/>
  <c r="AM278" i="16" l="1"/>
  <c r="AN278" i="16" s="1"/>
  <c r="AL279" i="16"/>
  <c r="AT278" i="16"/>
  <c r="AU278" i="16" s="1"/>
  <c r="AS279" i="16"/>
  <c r="AS280" i="16" l="1"/>
  <c r="AT279" i="16"/>
  <c r="AU279" i="16" s="1"/>
  <c r="AL280" i="16"/>
  <c r="AM279" i="16"/>
  <c r="AN279" i="16" s="1"/>
  <c r="AL281" i="16" l="1"/>
  <c r="AM280" i="16"/>
  <c r="AN280" i="16" s="1"/>
  <c r="AT280" i="16"/>
  <c r="AU280" i="16" s="1"/>
  <c r="AS281" i="16"/>
  <c r="AT281" i="16" l="1"/>
  <c r="AU281" i="16" s="1"/>
  <c r="AS282" i="16"/>
  <c r="AM281" i="16"/>
  <c r="AN281" i="16" s="1"/>
  <c r="AL282" i="16"/>
  <c r="AL283" i="16" l="1"/>
  <c r="AM282" i="16"/>
  <c r="AN282" i="16" s="1"/>
  <c r="AS283" i="16"/>
  <c r="AT282" i="16"/>
  <c r="AU282" i="16" s="1"/>
  <c r="AT283" i="16" l="1"/>
  <c r="AU283" i="16" s="1"/>
  <c r="AS284" i="16"/>
  <c r="AL284" i="16"/>
  <c r="AM283" i="16"/>
  <c r="AN283" i="16" s="1"/>
  <c r="AM284" i="16" l="1"/>
  <c r="AN284" i="16" s="1"/>
  <c r="AL285" i="16"/>
  <c r="AS285" i="16"/>
  <c r="AT284" i="16"/>
  <c r="AU284" i="16" s="1"/>
  <c r="AS286" i="16" l="1"/>
  <c r="AT285" i="16"/>
  <c r="AU285" i="16" s="1"/>
  <c r="AL286" i="16"/>
  <c r="AM285" i="16"/>
  <c r="AN285" i="16" s="1"/>
  <c r="AL287" i="16" l="1"/>
  <c r="AM286" i="16"/>
  <c r="AN286" i="16" s="1"/>
  <c r="AT286" i="16"/>
  <c r="AU286" i="16" s="1"/>
  <c r="AS287" i="16"/>
  <c r="AT287" i="16" l="1"/>
  <c r="AU287" i="16" s="1"/>
  <c r="AS288" i="16"/>
  <c r="AM287" i="16"/>
  <c r="AN287" i="16" s="1"/>
  <c r="AL288" i="16"/>
  <c r="AM288" i="16" l="1"/>
  <c r="AN288" i="16" s="1"/>
  <c r="AL289" i="16"/>
  <c r="AS289" i="16"/>
  <c r="AT288" i="16"/>
  <c r="AU288" i="16" s="1"/>
  <c r="AS290" i="16" l="1"/>
  <c r="AT289" i="16"/>
  <c r="AU289" i="16" s="1"/>
  <c r="AM289" i="16"/>
  <c r="AN289" i="16" s="1"/>
  <c r="AL290" i="16"/>
  <c r="AL291" i="16" l="1"/>
  <c r="AM290" i="16"/>
  <c r="AN290" i="16" s="1"/>
  <c r="AT290" i="16"/>
  <c r="AU290" i="16" s="1"/>
  <c r="AS291" i="16"/>
  <c r="AT291" i="16" l="1"/>
  <c r="AU291" i="16" s="1"/>
  <c r="AS292" i="16"/>
  <c r="AM291" i="16"/>
  <c r="AN291" i="16" s="1"/>
  <c r="AL292" i="16"/>
  <c r="AM292" i="16" l="1"/>
  <c r="AN292" i="16" s="1"/>
  <c r="AL293" i="16"/>
  <c r="AS293" i="16"/>
  <c r="AT292" i="16"/>
  <c r="AU292" i="16" s="1"/>
  <c r="AS294" i="16" l="1"/>
  <c r="AT293" i="16"/>
  <c r="AU293" i="16" s="1"/>
  <c r="AM293" i="16"/>
  <c r="AN293" i="16" s="1"/>
  <c r="AL294" i="16"/>
  <c r="AL295" i="16" l="1"/>
  <c r="AM294" i="16"/>
  <c r="AN294" i="16" s="1"/>
  <c r="AS295" i="16"/>
  <c r="AT294" i="16"/>
  <c r="AU294" i="16" s="1"/>
  <c r="AT295" i="16" l="1"/>
  <c r="AU295" i="16" s="1"/>
  <c r="AS296" i="16"/>
  <c r="AL296" i="16"/>
  <c r="AM295" i="16"/>
  <c r="AN295" i="16" s="1"/>
  <c r="AL297" i="16" l="1"/>
  <c r="AM296" i="16"/>
  <c r="AN296" i="16" s="1"/>
  <c r="AT296" i="16"/>
  <c r="AU296" i="16" s="1"/>
  <c r="AS297" i="16"/>
  <c r="AT297" i="16" l="1"/>
  <c r="AU297" i="16" s="1"/>
  <c r="AS298" i="16"/>
  <c r="AM297" i="16"/>
  <c r="AN297" i="16" s="1"/>
  <c r="AL298" i="16"/>
  <c r="AM298" i="16" l="1"/>
  <c r="AN298" i="16" s="1"/>
  <c r="AL299" i="16"/>
  <c r="AT298" i="16"/>
  <c r="AU298" i="16" s="1"/>
  <c r="AS299" i="16"/>
  <c r="AS300" i="16" l="1"/>
  <c r="AT299" i="16"/>
  <c r="AU299" i="16" s="1"/>
  <c r="AM299" i="16"/>
  <c r="AN299" i="16" s="1"/>
  <c r="AL300" i="16"/>
  <c r="AL301" i="16" l="1"/>
  <c r="AM300" i="16"/>
  <c r="AN300" i="16" s="1"/>
  <c r="AS301" i="16"/>
  <c r="AT300" i="16"/>
  <c r="AU300" i="16" s="1"/>
  <c r="AT301" i="16" l="1"/>
  <c r="AU301" i="16" s="1"/>
  <c r="AS302" i="16"/>
  <c r="AL302" i="16"/>
  <c r="AM301" i="16"/>
  <c r="AN301" i="16" s="1"/>
  <c r="AM302" i="16" l="1"/>
  <c r="AN302" i="16" s="1"/>
  <c r="AL303" i="16"/>
  <c r="AS303" i="16"/>
  <c r="AT302" i="16"/>
  <c r="AU302" i="16" s="1"/>
  <c r="AS304" i="16" l="1"/>
  <c r="AT303" i="16"/>
  <c r="AU303" i="16" s="1"/>
  <c r="AL304" i="16"/>
  <c r="AM303" i="16"/>
  <c r="AN303" i="16" s="1"/>
  <c r="AM304" i="16" l="1"/>
  <c r="AN304" i="16" s="1"/>
  <c r="AL305" i="16"/>
  <c r="AS305" i="16"/>
  <c r="AT304" i="16"/>
  <c r="AU304" i="16" s="1"/>
  <c r="AT305" i="16" l="1"/>
  <c r="AU305" i="16" s="1"/>
  <c r="AS306" i="16"/>
  <c r="AM305" i="16"/>
  <c r="AN305" i="16" s="1"/>
  <c r="AL306" i="16"/>
  <c r="AM306" i="16" l="1"/>
  <c r="AN306" i="16" s="1"/>
  <c r="AL307" i="16"/>
  <c r="AS307" i="16"/>
  <c r="AT306" i="16"/>
  <c r="AU306" i="16" s="1"/>
  <c r="AS308" i="16" l="1"/>
  <c r="AT307" i="16"/>
  <c r="AU307" i="16" s="1"/>
  <c r="AM307" i="16"/>
  <c r="AN307" i="16" s="1"/>
  <c r="AL308" i="16"/>
  <c r="AM308" i="16" l="1"/>
  <c r="AN308" i="16" s="1"/>
  <c r="AL309" i="16"/>
  <c r="AT308" i="16"/>
  <c r="AU308" i="16" s="1"/>
  <c r="AS309" i="16"/>
  <c r="AS310" i="16" l="1"/>
  <c r="AT309" i="16"/>
  <c r="AU309" i="16" s="1"/>
  <c r="AM309" i="16"/>
  <c r="AN309" i="16" s="1"/>
  <c r="AL310" i="16"/>
  <c r="AM310" i="16" l="1"/>
  <c r="AN310" i="16" s="1"/>
  <c r="AL311" i="16"/>
  <c r="AS311" i="16"/>
  <c r="AT310" i="16"/>
  <c r="AU310" i="16" s="1"/>
  <c r="AT311" i="16" l="1"/>
  <c r="AU311" i="16" s="1"/>
  <c r="AS312" i="16"/>
  <c r="AL312" i="16"/>
  <c r="AM311" i="16"/>
  <c r="AN311" i="16" s="1"/>
  <c r="AM312" i="16" l="1"/>
  <c r="AN312" i="16" s="1"/>
  <c r="AL313" i="16"/>
  <c r="AT312" i="16"/>
  <c r="AU312" i="16" s="1"/>
  <c r="AS313" i="16"/>
  <c r="AT313" i="16" l="1"/>
  <c r="AU313" i="16" s="1"/>
  <c r="AS314" i="16"/>
  <c r="AL314" i="16"/>
  <c r="AM313" i="16"/>
  <c r="AN313" i="16" s="1"/>
  <c r="AM314" i="16" l="1"/>
  <c r="AN314" i="16" s="1"/>
  <c r="AL315" i="16"/>
  <c r="AS315" i="16"/>
  <c r="AT314" i="16"/>
  <c r="AU314" i="16" s="1"/>
  <c r="AS316" i="16" l="1"/>
  <c r="AT315" i="16"/>
  <c r="AU315" i="16" s="1"/>
  <c r="AM315" i="16"/>
  <c r="AN315" i="16" s="1"/>
  <c r="AL316" i="16"/>
  <c r="AM316" i="16" l="1"/>
  <c r="AN316" i="16" s="1"/>
  <c r="AL317" i="16"/>
  <c r="AS317" i="16"/>
  <c r="AT316" i="16"/>
  <c r="AU316" i="16" s="1"/>
  <c r="AT317" i="16" l="1"/>
  <c r="AU317" i="16" s="1"/>
  <c r="AS318" i="16"/>
  <c r="AL318" i="16"/>
  <c r="AM317" i="16"/>
  <c r="AN317" i="16" s="1"/>
  <c r="AM318" i="16" l="1"/>
  <c r="AN318" i="16" s="1"/>
  <c r="AL319" i="16"/>
  <c r="AT318" i="16"/>
  <c r="AU318" i="16" s="1"/>
  <c r="AS319" i="16"/>
  <c r="AT319" i="16" l="1"/>
  <c r="AU319" i="16" s="1"/>
  <c r="AS320" i="16"/>
  <c r="AM319" i="16"/>
  <c r="AN319" i="16" s="1"/>
  <c r="AL320" i="16"/>
  <c r="AL321" i="16" l="1"/>
  <c r="AM320" i="16"/>
  <c r="AN320" i="16" s="1"/>
  <c r="AT320" i="16"/>
  <c r="AU320" i="16" s="1"/>
  <c r="AS321" i="16"/>
  <c r="AT321" i="16" l="1"/>
  <c r="AU321" i="16" s="1"/>
  <c r="AS322" i="16"/>
  <c r="AM321" i="16"/>
  <c r="AN321" i="16" s="1"/>
  <c r="AL322" i="16"/>
  <c r="AL323" i="16" l="1"/>
  <c r="AM322" i="16"/>
  <c r="AN322" i="16" s="1"/>
  <c r="AS323" i="16"/>
  <c r="AT322" i="16"/>
  <c r="AU322" i="16" s="1"/>
  <c r="AT323" i="16" l="1"/>
  <c r="AU323" i="16" s="1"/>
  <c r="AS324" i="16"/>
  <c r="AL324" i="16"/>
  <c r="AM323" i="16"/>
  <c r="AN323" i="16" s="1"/>
  <c r="AL325" i="16" l="1"/>
  <c r="AM324" i="16"/>
  <c r="AN324" i="16" s="1"/>
  <c r="AS325" i="16"/>
  <c r="AT324" i="16"/>
  <c r="AU324" i="16" s="1"/>
  <c r="AT325" i="16" l="1"/>
  <c r="AU325" i="16" s="1"/>
  <c r="AS326" i="16"/>
  <c r="AM325" i="16"/>
  <c r="AN325" i="16" s="1"/>
  <c r="AL326" i="16"/>
  <c r="AL327" i="16" l="1"/>
  <c r="AM326" i="16"/>
  <c r="AN326" i="16" s="1"/>
  <c r="AT326" i="16"/>
  <c r="AU326" i="16" s="1"/>
  <c r="AS327" i="16"/>
  <c r="AS328" i="16" l="1"/>
  <c r="AT327" i="16"/>
  <c r="AU327" i="16" s="1"/>
  <c r="AM327" i="16"/>
  <c r="AN327" i="16" s="1"/>
  <c r="AL328" i="16"/>
  <c r="AM328" i="16" l="1"/>
  <c r="AN328" i="16" s="1"/>
  <c r="AL329" i="16"/>
  <c r="AS329" i="16"/>
  <c r="AT328" i="16"/>
  <c r="AU328" i="16" s="1"/>
  <c r="AS330" i="16" l="1"/>
  <c r="AT329" i="16"/>
  <c r="AU329" i="16" s="1"/>
  <c r="AL330" i="16"/>
  <c r="AM329" i="16"/>
  <c r="AN329" i="16" s="1"/>
  <c r="AL331" i="16" l="1"/>
  <c r="AM330" i="16"/>
  <c r="AN330" i="16" s="1"/>
  <c r="AS331" i="16"/>
  <c r="AT330" i="16"/>
  <c r="AU330" i="16" s="1"/>
  <c r="AT331" i="16" l="1"/>
  <c r="AU331" i="16" s="1"/>
  <c r="AS332" i="16"/>
  <c r="AL332" i="16"/>
  <c r="AM331" i="16"/>
  <c r="AN331" i="16" s="1"/>
  <c r="AL333" i="16" l="1"/>
  <c r="AM332" i="16"/>
  <c r="AN332" i="16" s="1"/>
  <c r="AT332" i="16"/>
  <c r="AU332" i="16" s="1"/>
  <c r="AS333" i="16"/>
  <c r="AS334" i="16" l="1"/>
  <c r="AT333" i="16"/>
  <c r="AU333" i="16" s="1"/>
  <c r="AL334" i="16"/>
  <c r="AM333" i="16"/>
  <c r="AN333" i="16" s="1"/>
  <c r="AL335" i="16" l="1"/>
  <c r="AM334" i="16"/>
  <c r="AN334" i="16" s="1"/>
  <c r="AT334" i="16"/>
  <c r="AU334" i="16" s="1"/>
  <c r="AS335" i="16"/>
  <c r="AT335" i="16" l="1"/>
  <c r="AU335" i="16" s="1"/>
  <c r="AS336" i="16"/>
  <c r="AL336" i="16"/>
  <c r="AM335" i="16"/>
  <c r="AN335" i="16" s="1"/>
  <c r="AL337" i="16" l="1"/>
  <c r="AM336" i="16"/>
  <c r="AN336" i="16" s="1"/>
  <c r="AT336" i="16"/>
  <c r="AU336" i="16" s="1"/>
  <c r="AS337" i="16"/>
  <c r="AS338" i="16" l="1"/>
  <c r="AT337" i="16"/>
  <c r="AU337" i="16" s="1"/>
  <c r="AL338" i="16"/>
  <c r="AM337" i="16"/>
  <c r="AN337" i="16" s="1"/>
  <c r="AM338" i="16" l="1"/>
  <c r="AN338" i="16" s="1"/>
  <c r="AL339" i="16"/>
  <c r="AS339" i="16"/>
  <c r="AT338" i="16"/>
  <c r="AU338" i="16" s="1"/>
  <c r="AT339" i="16" l="1"/>
  <c r="AU339" i="16" s="1"/>
  <c r="AS340" i="16"/>
  <c r="AL340" i="16"/>
  <c r="AM339" i="16"/>
  <c r="AN339" i="16" s="1"/>
  <c r="AL341" i="16" l="1"/>
  <c r="AM340" i="16"/>
  <c r="AN340" i="16" s="1"/>
  <c r="AS341" i="16"/>
  <c r="AT340" i="16"/>
  <c r="AU340" i="16" s="1"/>
  <c r="AT341" i="16" l="1"/>
  <c r="AU341" i="16" s="1"/>
  <c r="AS342" i="16"/>
  <c r="AL342" i="16"/>
  <c r="AM341" i="16"/>
  <c r="AN341" i="16" s="1"/>
  <c r="AM342" i="16" l="1"/>
  <c r="AN342" i="16" s="1"/>
  <c r="AL343" i="16"/>
  <c r="AT342" i="16"/>
  <c r="AU342" i="16" s="1"/>
  <c r="AS343" i="16"/>
  <c r="AS344" i="16" l="1"/>
  <c r="AT343" i="16"/>
  <c r="AU343" i="16" s="1"/>
  <c r="AL344" i="16"/>
  <c r="AM343" i="16"/>
  <c r="AN343" i="16" s="1"/>
  <c r="AM344" i="16" l="1"/>
  <c r="AN344" i="16" s="1"/>
  <c r="AL345" i="16"/>
  <c r="AS345" i="16"/>
  <c r="AT344" i="16"/>
  <c r="AU344" i="16" s="1"/>
  <c r="AS346" i="16" l="1"/>
  <c r="AT345" i="16"/>
  <c r="AU345" i="16" s="1"/>
  <c r="AL346" i="16"/>
  <c r="AM345" i="16"/>
  <c r="AN345" i="16" s="1"/>
  <c r="AM346" i="16" l="1"/>
  <c r="AN346" i="16" s="1"/>
  <c r="AL347" i="16"/>
  <c r="AT346" i="16"/>
  <c r="AU346" i="16" s="1"/>
  <c r="AS347" i="16"/>
  <c r="AT347" i="16" l="1"/>
  <c r="AU347" i="16" s="1"/>
  <c r="AS348" i="16"/>
  <c r="AL348" i="16"/>
  <c r="AM347" i="16"/>
  <c r="AN347" i="16" s="1"/>
  <c r="AM348" i="16" l="1"/>
  <c r="AN348" i="16" s="1"/>
  <c r="AL349" i="16"/>
  <c r="AT348" i="16"/>
  <c r="AU348" i="16" s="1"/>
  <c r="AS349" i="16"/>
  <c r="AT349" i="16" l="1"/>
  <c r="AU349" i="16" s="1"/>
  <c r="AS350" i="16"/>
  <c r="AL350" i="16"/>
  <c r="AM349" i="16"/>
  <c r="AN349" i="16" s="1"/>
  <c r="AL351" i="16" l="1"/>
  <c r="AM350" i="16"/>
  <c r="AN350" i="16" s="1"/>
  <c r="AT350" i="16"/>
  <c r="AU350" i="16" s="1"/>
  <c r="AS351" i="16"/>
  <c r="AT351" i="16" l="1"/>
  <c r="AU351" i="16" s="1"/>
  <c r="AS352" i="16"/>
  <c r="AL352" i="16"/>
  <c r="AM351" i="16"/>
  <c r="AN351" i="16" s="1"/>
  <c r="AL353" i="16" l="1"/>
  <c r="AM352" i="16"/>
  <c r="AN352" i="16" s="1"/>
  <c r="AS353" i="16"/>
  <c r="AT352" i="16"/>
  <c r="AU352" i="16" s="1"/>
  <c r="AT353" i="16" l="1"/>
  <c r="AU353" i="16" s="1"/>
  <c r="AS354" i="16"/>
  <c r="AM353" i="16"/>
  <c r="AN353" i="16" s="1"/>
  <c r="AL354" i="16"/>
  <c r="AM354" i="16" l="1"/>
  <c r="AN354" i="16" s="1"/>
  <c r="AL355" i="16"/>
  <c r="AT354" i="16"/>
  <c r="AU354" i="16" s="1"/>
  <c r="AS355" i="16"/>
  <c r="AT355" i="16" l="1"/>
  <c r="AU355" i="16" s="1"/>
  <c r="AS356" i="16"/>
  <c r="AM355" i="16"/>
  <c r="AN355" i="16" s="1"/>
  <c r="AL356" i="16"/>
  <c r="AM356" i="16" l="1"/>
  <c r="AN356" i="16" s="1"/>
  <c r="AL357" i="16"/>
  <c r="AS357" i="16"/>
  <c r="AT356" i="16"/>
  <c r="AU356" i="16" s="1"/>
  <c r="AS358" i="16" l="1"/>
  <c r="AT357" i="16"/>
  <c r="AU357" i="16" s="1"/>
  <c r="AM357" i="16"/>
  <c r="AN357" i="16" s="1"/>
  <c r="AL358" i="16"/>
  <c r="AM358" i="16" l="1"/>
  <c r="AN358" i="16" s="1"/>
  <c r="AL359" i="16"/>
  <c r="AT358" i="16"/>
  <c r="AU358" i="16" s="1"/>
  <c r="AS359" i="16"/>
  <c r="AS360" i="16" l="1"/>
  <c r="AT359" i="16"/>
  <c r="AU359" i="16" s="1"/>
  <c r="AL360" i="16"/>
  <c r="AM359" i="16"/>
  <c r="AN359" i="16" s="1"/>
  <c r="AM360" i="16" l="1"/>
  <c r="AN360" i="16" s="1"/>
  <c r="AL361" i="16"/>
  <c r="AT360" i="16"/>
  <c r="AU360" i="16" s="1"/>
  <c r="AS361" i="16"/>
  <c r="AT361" i="16" l="1"/>
  <c r="AU361" i="16" s="1"/>
  <c r="AS362" i="16"/>
  <c r="AL362" i="16"/>
  <c r="AM361" i="16"/>
  <c r="AN361" i="16" s="1"/>
  <c r="AL363" i="16" l="1"/>
  <c r="AM362" i="16"/>
  <c r="AN362" i="16" s="1"/>
  <c r="AS363" i="16"/>
  <c r="AT362" i="16"/>
  <c r="AU362" i="16" s="1"/>
  <c r="AS364" i="16" l="1"/>
  <c r="AT363" i="16"/>
  <c r="AU363" i="16" s="1"/>
  <c r="AL364" i="16"/>
  <c r="AM363" i="16"/>
  <c r="AN363" i="16" s="1"/>
  <c r="AL365" i="16" l="1"/>
  <c r="AM364" i="16"/>
  <c r="AN364" i="16" s="1"/>
  <c r="AS365" i="16"/>
  <c r="AT364" i="16"/>
  <c r="AU364" i="16" s="1"/>
  <c r="AS366" i="16" l="1"/>
  <c r="AT365" i="16"/>
  <c r="AU365" i="16" s="1"/>
  <c r="AL366" i="16"/>
  <c r="AM365" i="16"/>
  <c r="AN365" i="16" s="1"/>
  <c r="AL367" i="16" l="1"/>
  <c r="AM366" i="16"/>
  <c r="AN366" i="16" s="1"/>
  <c r="AS367" i="16"/>
  <c r="AT366" i="16"/>
  <c r="AU366" i="16" s="1"/>
  <c r="AS368" i="16" l="1"/>
  <c r="AT368" i="16" s="1"/>
  <c r="AU368" i="16" s="1"/>
  <c r="AT367" i="16"/>
  <c r="AU367" i="16" s="1"/>
  <c r="AL368" i="16"/>
  <c r="AM368" i="16" s="1"/>
  <c r="AN368" i="16" s="1"/>
  <c r="AM367" i="16"/>
  <c r="AN367" i="16" s="1"/>
</calcChain>
</file>

<file path=xl/sharedStrings.xml><?xml version="1.0" encoding="utf-8"?>
<sst xmlns="http://schemas.openxmlformats.org/spreadsheetml/2006/main" count="9904" uniqueCount="910">
  <si>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</si>
  <si>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</si>
  <si>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</si>
  <si>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</si>
  <si>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</si>
  <si>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</si>
  <si>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</si>
  <si>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</si>
  <si>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</si>
  <si>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</si>
  <si>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</si>
  <si>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</si>
  <si>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</si>
  <si>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</si>
  <si>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</si>
  <si>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</si>
  <si>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</si>
  <si>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</si>
  <si>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</si>
  <si>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</si>
  <si>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</si>
  <si>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</si>
  <si>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</si>
  <si>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</si>
  <si>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</si>
  <si>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</si>
  <si>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</si>
  <si>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</si>
  <si>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</si>
  <si>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</si>
  <si>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</si>
  <si>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</si>
  <si>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</si>
  <si>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</si>
  <si>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</si>
  <si>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</si>
  <si>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</si>
  <si>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</si>
  <si>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</si>
  <si>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</si>
  <si>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</si>
  <si>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</si>
  <si>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</si>
  <si>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</si>
  <si>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</si>
  <si>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</si>
  <si>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</si>
  <si>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</si>
  <si>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</si>
  <si>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</si>
  <si>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</si>
  <si>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</si>
  <si>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</si>
  <si>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</si>
  <si>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</si>
  <si>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</si>
  <si>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</si>
  <si>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</si>
  <si>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</si>
  <si>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</si>
  <si>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</si>
  <si>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</si>
  <si>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</si>
  <si>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</si>
  <si>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</si>
  <si>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</si>
  <si>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</si>
  <si>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</si>
  <si>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</si>
  <si>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</si>
  <si>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</si>
  <si>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</si>
  <si>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</si>
  <si>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</si>
  <si>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</si>
  <si>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</si>
  <si>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</si>
  <si>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</si>
  <si>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</si>
  <si>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</si>
  <si>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</si>
  <si>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</si>
  <si>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</si>
  <si>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</si>
  <si>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</si>
  <si>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</si>
  <si>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</si>
  <si>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</si>
  <si>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</si>
  <si>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</si>
  <si>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</si>
  <si>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</si>
  <si>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</si>
  <si>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</si>
  <si>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</si>
  <si>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</si>
  <si>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</si>
  <si>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</si>
  <si>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</si>
  <si>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</si>
  <si>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</si>
  <si>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</si>
  <si>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</si>
  <si>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</si>
  <si>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</si>
  <si>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</si>
  <si>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</si>
  <si>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</si>
  <si>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</si>
  <si>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</si>
  <si>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</si>
  <si>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</si>
  <si>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</si>
  <si>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</si>
  <si>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</si>
  <si>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</si>
  <si>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</si>
  <si>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</si>
  <si>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</si>
  <si>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</si>
  <si>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</si>
  <si>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</si>
  <si>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</si>
  <si>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</si>
  <si>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</si>
  <si>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</si>
  <si>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</si>
  <si>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</si>
  <si>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</si>
  <si>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</si>
  <si>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</si>
  <si>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</si>
  <si>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</si>
  <si>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</si>
  <si>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</si>
  <si>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</si>
  <si>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</si>
  <si>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</si>
  <si>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</si>
  <si>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</si>
  <si>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</si>
  <si>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</si>
  <si>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</si>
  <si>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</si>
  <si>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</si>
  <si>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</si>
  <si>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</si>
  <si>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</si>
  <si>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</si>
  <si>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</si>
  <si>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</si>
  <si>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</si>
  <si>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</si>
  <si>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</si>
  <si>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</si>
  <si>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</si>
  <si>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</si>
  <si>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</si>
  <si>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</si>
  <si>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</si>
  <si>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</si>
  <si>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</si>
  <si>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</si>
  <si>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</si>
  <si>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</si>
  <si>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</si>
  <si>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</si>
  <si>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</si>
  <si>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</si>
  <si>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</si>
  <si>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</si>
  <si>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</si>
  <si>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</si>
  <si>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</si>
  <si>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</si>
  <si>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</si>
  <si>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</si>
  <si>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</si>
  <si>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</si>
  <si>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</si>
  <si>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</si>
  <si>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</si>
  <si>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</si>
  <si>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</si>
  <si>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</si>
  <si>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</si>
  <si>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</si>
  <si>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</si>
  <si>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</si>
  <si>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</si>
  <si>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</si>
  <si>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</si>
  <si>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</si>
  <si>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</si>
  <si>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</si>
  <si>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</si>
  <si>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</si>
  <si>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</si>
  <si>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</si>
  <si>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</si>
  <si>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</si>
  <si>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</si>
  <si>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</si>
  <si>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</si>
  <si>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</si>
  <si>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</si>
  <si>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</si>
  <si>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</si>
  <si>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</si>
  <si>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</si>
  <si>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</si>
  <si>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</si>
  <si>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</si>
  <si>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</si>
  <si>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</si>
  <si>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</si>
  <si>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</si>
  <si>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</si>
  <si>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</si>
  <si>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</si>
  <si>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</si>
  <si>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</si>
  <si>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</si>
  <si>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</si>
  <si>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</si>
  <si>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</si>
  <si>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</si>
  <si>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</si>
  <si>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</si>
  <si>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</si>
  <si>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</si>
  <si>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</si>
  <si>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</si>
  <si>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</si>
  <si>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</si>
  <si>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</si>
  <si>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</si>
  <si>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</si>
  <si>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</si>
  <si>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</si>
  <si>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</si>
  <si>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</si>
  <si>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</si>
  <si>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</si>
  <si>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</si>
  <si>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</si>
  <si>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</si>
  <si>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</si>
  <si>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</si>
  <si>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</si>
  <si>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</si>
  <si>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</si>
  <si>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</si>
  <si>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</si>
  <si>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</si>
  <si>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</si>
  <si>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</si>
  <si>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</si>
  <si>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</si>
  <si>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</si>
  <si>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</si>
  <si>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</si>
  <si>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</si>
  <si>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</si>
  <si>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</si>
  <si>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</si>
  <si>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</si>
  <si>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</si>
  <si>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</si>
  <si>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</si>
  <si>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</si>
  <si>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</si>
  <si>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</si>
  <si>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</si>
  <si>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</si>
  <si>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</si>
  <si>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</si>
  <si>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</si>
  <si>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</si>
  <si>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</si>
  <si>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</si>
  <si>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</si>
  <si>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</si>
  <si>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</si>
  <si>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</si>
  <si>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</si>
  <si>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</si>
  <si>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</si>
  <si>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</si>
  <si>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</si>
  <si>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</si>
  <si>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</si>
  <si>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</si>
  <si>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</si>
  <si>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</si>
  <si>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</si>
  <si>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</si>
  <si>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</si>
  <si>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</si>
  <si>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</si>
  <si>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</si>
  <si>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</si>
  <si>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</si>
  <si>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</si>
  <si>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</si>
  <si>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</si>
  <si>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</si>
  <si>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</si>
  <si>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</si>
  <si>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</si>
  <si>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</si>
  <si>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</si>
  <si>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</si>
  <si>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</si>
  <si>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</si>
  <si>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</si>
  <si>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</si>
  <si>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</si>
  <si>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</si>
  <si>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</si>
  <si>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</si>
  <si>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</si>
  <si>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</si>
  <si>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</si>
  <si>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</si>
  <si>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</si>
  <si>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</si>
  <si>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</si>
  <si>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</si>
  <si>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</si>
  <si>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</si>
  <si>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</si>
  <si>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</si>
  <si>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</si>
  <si>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</si>
  <si>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</si>
  <si>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</si>
  <si>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</si>
  <si>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</si>
  <si>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</si>
  <si>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</si>
  <si>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</si>
  <si>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</si>
  <si>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</si>
  <si>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</si>
  <si>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</si>
  <si>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</si>
  <si>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</si>
  <si>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</si>
  <si>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</si>
  <si>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</si>
  <si>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</si>
  <si>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</si>
  <si>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</si>
  <si>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</si>
  <si>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</si>
  <si>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</si>
  <si>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</si>
  <si>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</si>
  <si>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</si>
  <si>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</si>
  <si>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</si>
  <si>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</si>
  <si>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</si>
  <si>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</si>
  <si>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</si>
  <si>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</si>
  <si>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</si>
  <si>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</si>
  <si>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</si>
  <si>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</si>
  <si>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</si>
  <si>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</si>
  <si>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</si>
  <si>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</si>
  <si>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</si>
  <si>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</si>
  <si>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</si>
  <si>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</si>
  <si>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</si>
  <si>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</si>
  <si>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</si>
  <si>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</si>
  <si>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</si>
  <si>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</si>
  <si>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</si>
  <si>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</si>
  <si>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</si>
  <si>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</si>
  <si>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</si>
  <si>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</si>
  <si>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</si>
  <si>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</si>
  <si>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</si>
  <si>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</si>
  <si>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</si>
  <si>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</si>
  <si>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</si>
  <si>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</si>
  <si>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</si>
  <si>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</si>
  <si>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</si>
  <si>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</si>
  <si>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</si>
  <si>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</si>
  <si>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</si>
  <si>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</si>
  <si>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</si>
  <si>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</si>
  <si>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</si>
  <si>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</si>
  <si>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</si>
  <si>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</si>
  <si>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</si>
  <si>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</si>
  <si>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</si>
  <si>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</si>
  <si>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</si>
  <si>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</si>
  <si>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</si>
  <si>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</si>
  <si>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</si>
  <si>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</si>
  <si>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</si>
  <si>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</si>
  <si>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</si>
  <si>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</si>
  <si>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</si>
  <si>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</si>
  <si>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</si>
  <si>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</si>
  <si>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</si>
  <si>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</si>
  <si>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</si>
  <si>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</si>
  <si>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</si>
  <si>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</si>
  <si>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</si>
  <si>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</si>
  <si>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</si>
  <si>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</si>
  <si>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</si>
  <si>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</si>
  <si>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</si>
  <si>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</si>
  <si>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</si>
  <si>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</si>
  <si>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</si>
  <si>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</si>
  <si>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</si>
  <si>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</si>
  <si>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</si>
  <si>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</si>
  <si>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</si>
  <si>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</si>
  <si>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</si>
  <si>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</si>
  <si>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</si>
  <si>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</si>
  <si>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</si>
  <si>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</si>
  <si>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</si>
  <si>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</si>
  <si>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</si>
  <si>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</si>
  <si>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</si>
  <si>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</si>
  <si>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</si>
  <si>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</si>
  <si>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</si>
  <si>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</si>
  <si>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</si>
  <si>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</si>
  <si>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</si>
  <si>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</si>
  <si>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</si>
  <si>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</si>
  <si>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</si>
  <si>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</si>
  <si>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</si>
  <si>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</si>
  <si>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</si>
  <si>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</si>
  <si>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</si>
  <si>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</si>
  <si>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</si>
  <si>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</si>
  <si>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</si>
  <si>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</si>
  <si>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</si>
  <si>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</si>
  <si>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</si>
  <si>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</si>
  <si>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</si>
  <si>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</si>
  <si>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</si>
  <si>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</si>
  <si>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</si>
  <si>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</si>
  <si>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</si>
  <si>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</si>
  <si>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</si>
  <si>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</si>
  <si>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</si>
  <si>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</si>
  <si>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</si>
  <si>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</si>
  <si>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</si>
  <si>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</si>
  <si>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</si>
  <si>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</si>
  <si>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</si>
  <si>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</si>
  <si>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</si>
  <si>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</si>
  <si>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</si>
  <si>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</si>
  <si>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</si>
  <si>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</si>
  <si>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</si>
  <si>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</si>
  <si>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</si>
  <si>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</si>
  <si>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</si>
  <si>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</si>
  <si>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</si>
  <si>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</si>
  <si>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</si>
  <si>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</si>
  <si>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</si>
  <si>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</si>
  <si>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</si>
  <si>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</si>
  <si>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</si>
  <si>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</si>
  <si>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</si>
  <si>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</si>
  <si>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</si>
  <si>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</si>
  <si>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</si>
  <si>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</si>
  <si>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</si>
  <si>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</si>
  <si>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</si>
  <si>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</si>
  <si>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</si>
  <si>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</si>
  <si>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</si>
  <si>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</si>
  <si>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</si>
  <si>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</si>
  <si>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</si>
  <si>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</si>
  <si>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</si>
  <si>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</si>
  <si>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</si>
  <si>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</si>
  <si>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</si>
  <si>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</si>
  <si>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</si>
  <si>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</si>
  <si>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</si>
  <si>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</si>
  <si>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</si>
  <si>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</si>
  <si>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</si>
  <si>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</si>
  <si>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</si>
  <si>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</si>
  <si>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</si>
  <si>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</si>
  <si>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</si>
  <si>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</si>
  <si>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</si>
  <si>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</si>
  <si>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</si>
  <si>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</si>
  <si>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</si>
  <si>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</si>
  <si>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</si>
  <si>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</si>
  <si>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</si>
  <si>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</si>
  <si>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</si>
  <si>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</si>
  <si>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</si>
  <si>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</si>
  <si>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</si>
  <si>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</si>
  <si>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</si>
  <si>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</si>
  <si>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</si>
  <si>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</si>
  <si>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</si>
  <si>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</si>
  <si>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</si>
  <si>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</si>
  <si>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</si>
  <si>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</si>
  <si>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</si>
  <si>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</si>
  <si>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</si>
  <si>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</si>
  <si>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</si>
  <si>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</si>
  <si>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</si>
  <si>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</si>
  <si>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</si>
  <si>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</si>
  <si>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</si>
  <si>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</si>
  <si>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</si>
  <si>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</si>
  <si>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</si>
  <si>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</si>
  <si>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</si>
  <si>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</si>
  <si>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</si>
  <si>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</si>
  <si>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</si>
  <si>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</si>
  <si>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</si>
  <si>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</si>
  <si>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</si>
  <si>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</si>
  <si>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</si>
  <si>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</si>
  <si>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</si>
  <si>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</si>
  <si>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</si>
  <si>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</si>
  <si>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</si>
  <si>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</si>
  <si>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</si>
  <si>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</si>
  <si>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</si>
  <si>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</si>
  <si>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</si>
  <si>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</si>
  <si>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</si>
  <si>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</si>
  <si>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</si>
  <si>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</si>
  <si>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</si>
  <si>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</si>
  <si>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</si>
  <si>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</si>
  <si>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</si>
  <si>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</si>
  <si>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</si>
  <si>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</si>
  <si>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</si>
  <si>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</si>
  <si>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</si>
  <si>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</si>
  <si>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</si>
  <si>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</si>
  <si>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</si>
  <si>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</si>
  <si>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</si>
  <si>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</si>
  <si>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</si>
  <si>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</si>
  <si>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</si>
  <si>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</si>
  <si>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</si>
  <si>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</si>
  <si>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</si>
  <si>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</si>
  <si>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</si>
  <si>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</si>
  <si>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</si>
  <si>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</si>
  <si>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</si>
  <si>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</si>
  <si>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</si>
  <si>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</si>
  <si>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</si>
  <si>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</si>
  <si>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</si>
  <si>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</si>
  <si>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</si>
  <si>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</si>
  <si>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</si>
  <si>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</si>
  <si>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</si>
  <si>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</si>
  <si>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</si>
  <si>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</si>
  <si>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</si>
  <si>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</si>
  <si>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</si>
  <si>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</si>
  <si>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</si>
  <si>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</si>
  <si>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</si>
  <si>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</si>
  <si>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</si>
  <si>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</si>
  <si>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</si>
  <si>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</si>
  <si>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</si>
  <si>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</si>
  <si>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</si>
  <si>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</si>
  <si>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</si>
  <si>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</si>
  <si>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</si>
  <si>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</si>
  <si>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</si>
  <si>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</si>
  <si>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</si>
  <si>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</si>
  <si>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</si>
  <si>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</si>
  <si>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</si>
  <si>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</si>
  <si>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</si>
  <si>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</si>
  <si>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</si>
  <si>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</si>
  <si>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</si>
  <si>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</si>
  <si>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</si>
  <si>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</si>
  <si>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</si>
  <si>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</si>
  <si>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</si>
  <si>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</si>
  <si>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</si>
  <si>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</si>
  <si>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</si>
  <si>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</si>
  <si>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</si>
  <si>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</si>
  <si>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</si>
  <si>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</si>
  <si>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</si>
  <si>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</si>
  <si>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</si>
  <si>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</si>
  <si>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</si>
  <si>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</si>
  <si>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</si>
  <si>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</si>
  <si>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</si>
  <si>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</si>
  <si>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</si>
  <si>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</si>
  <si>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</si>
  <si>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</si>
  <si>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</si>
  <si>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</si>
  <si>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</si>
  <si>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</si>
  <si>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</si>
  <si>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</si>
  <si>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</si>
  <si>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</si>
  <si>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</si>
  <si>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</si>
  <si>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</si>
  <si>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</si>
  <si>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</si>
  <si>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</si>
  <si>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</si>
  <si>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</si>
  <si>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</si>
  <si>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</si>
  <si>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</si>
  <si>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</si>
  <si>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</si>
  <si>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</si>
  <si>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</si>
  <si>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</si>
  <si>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</si>
  <si>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</si>
  <si>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</si>
  <si>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</si>
  <si>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</si>
  <si>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</si>
  <si>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</si>
  <si>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</si>
  <si>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</si>
  <si>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</si>
  <si>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</si>
  <si>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</si>
  <si>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</si>
  <si>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</si>
  <si>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</si>
  <si>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</si>
  <si>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</si>
  <si>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</si>
  <si>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</si>
  <si>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</si>
  <si>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</si>
  <si>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</si>
  <si>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</si>
  <si>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</si>
  <si>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</si>
  <si>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</si>
  <si>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</si>
  <si>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</si>
  <si>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</si>
  <si>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</si>
  <si>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</si>
  <si>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</si>
  <si>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</si>
  <si>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</si>
  <si>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</si>
  <si>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</si>
  <si>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</si>
  <si>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</si>
  <si>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</si>
  <si>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</si>
  <si>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</si>
  <si>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</si>
  <si>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</si>
  <si>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</si>
  <si>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</si>
  <si>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</si>
  <si>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</si>
  <si>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</si>
  <si>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</si>
  <si>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</si>
  <si>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</si>
  <si>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</si>
  <si>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</si>
  <si>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</si>
  <si>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</si>
  <si>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</si>
  <si>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</si>
  <si>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</si>
  <si>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</si>
  <si>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</si>
  <si>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</si>
  <si>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</si>
  <si>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</si>
  <si>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</si>
  <si>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</si>
  <si>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</si>
  <si>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</si>
  <si>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</si>
  <si>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</si>
  <si>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</si>
  <si>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</si>
  <si>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</si>
  <si>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</si>
  <si>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</si>
  <si>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</si>
  <si>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</si>
  <si>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</si>
  <si>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</si>
  <si>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</si>
  <si>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</si>
  <si>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</si>
  <si>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</si>
  <si>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</si>
  <si>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</si>
  <si>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</si>
  <si>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</si>
  <si>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</si>
  <si>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</si>
  <si>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</si>
  <si>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</si>
  <si>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</si>
  <si>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</si>
  <si>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</si>
  <si>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</si>
  <si>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</si>
  <si>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</si>
  <si>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</si>
  <si>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</si>
  <si>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</si>
  <si>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</si>
  <si>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</si>
  <si>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</si>
  <si>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</si>
  <si>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</si>
  <si>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</si>
  <si>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</si>
  <si>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</si>
  <si>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</si>
  <si>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</si>
  <si>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</si>
  <si>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</si>
  <si>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</si>
  <si>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</si>
  <si>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</si>
  <si>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</si>
  <si>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</si>
  <si>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</si>
  <si>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</si>
  <si>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</si>
  <si>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</si>
  <si>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</si>
  <si>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</si>
  <si>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</si>
  <si>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</si>
  <si>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Walking &amp; Cycling Statistics</t>
  </si>
  <si>
    <t>Proportion of residents who do any walking or cycling, at least once per month</t>
  </si>
  <si>
    <t>2017/18</t>
  </si>
  <si>
    <t>2018/19</t>
  </si>
  <si>
    <t>Bournemouth, Christchurch &amp; Poole</t>
  </si>
  <si>
    <t>Dorset Council</t>
  </si>
  <si>
    <t>East Suffolk</t>
  </si>
  <si>
    <t>Somerset West &amp; Taunton</t>
  </si>
  <si>
    <t>West Suffolk</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</si>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</sst>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4" fillId="0" borderId="0" applyFont="0" applyFill="0" applyBorder="0" applyAlignment="0" applyProtection="0"/>
    <xf numFmtId="0" fontId="21" fillId="0" borderId="0"/>
    <xf numFmtId="0" fontId="21" fillId="0" borderId="0"/>
    <xf numFmtId="9" fontId="15" fillId="0" borderId="0" applyFont="0" applyFill="0" applyBorder="0" applyAlignment="0" applyProtection="0"/>
    <xf numFmtId="0" fontId="25" fillId="0" borderId="0"/>
    <xf numFmtId="0" fontId="10" fillId="0" borderId="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2" borderId="10" applyNumberFormat="0" applyFont="0" applyAlignment="0" applyProtection="0"/>
    <xf numFmtId="0" fontId="9" fillId="2" borderId="10" applyNumberFormat="0" applyFont="0" applyAlignment="0" applyProtection="0"/>
    <xf numFmtId="9" fontId="9" fillId="0" borderId="0" applyFont="0" applyFill="0" applyBorder="0" applyAlignment="0" applyProtection="0"/>
    <xf numFmtId="37" fontId="10" fillId="0" borderId="0"/>
    <xf numFmtId="9"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5" fillId="0" borderId="0"/>
    <xf numFmtId="44" fontId="35" fillId="0" borderId="0" applyFont="0" applyFill="0" applyBorder="0" applyAlignment="0" applyProtection="0"/>
    <xf numFmtId="169" fontId="10" fillId="0" borderId="0" applyFont="0" applyFill="0" applyBorder="0" applyAlignment="0" applyProtection="0"/>
    <xf numFmtId="0" fontId="44" fillId="18"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60">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4" fillId="0" borderId="0" xfId="0" applyFont="1" applyAlignment="1">
      <alignment wrapText="1"/>
    </xf>
    <xf numFmtId="0" fontId="24" fillId="0" borderId="0" xfId="0" applyFont="1" applyAlignment="1">
      <alignment horizontal="left" wrapText="1"/>
    </xf>
    <xf numFmtId="0" fontId="0" fillId="0" borderId="0" xfId="0" applyFill="1"/>
    <xf numFmtId="0" fontId="10" fillId="0" borderId="0" xfId="0" applyFont="1" applyFill="1" applyAlignment="1">
      <alignment horizontal="left"/>
    </xf>
    <xf numFmtId="0" fontId="10" fillId="0" borderId="0" xfId="5" applyNumberFormat="1" applyFont="1" applyFill="1" applyAlignment="1">
      <alignment horizontal="center"/>
    </xf>
    <xf numFmtId="0" fontId="26" fillId="0" borderId="0" xfId="0" applyFont="1" applyFill="1"/>
    <xf numFmtId="0" fontId="10" fillId="0" borderId="0" xfId="5" applyFont="1" applyFill="1" applyAlignment="1">
      <alignment horizontal="center"/>
    </xf>
    <xf numFmtId="0" fontId="0" fillId="0" borderId="0" xfId="5" applyNumberFormat="1" applyFont="1" applyFill="1" applyAlignment="1">
      <alignment horizontal="center"/>
    </xf>
    <xf numFmtId="0" fontId="22" fillId="0" borderId="0" xfId="0" applyFont="1" applyFill="1" applyAlignment="1">
      <alignment horizontal="left"/>
    </xf>
    <xf numFmtId="0" fontId="27" fillId="0" borderId="0" xfId="0" applyFont="1"/>
    <xf numFmtId="0" fontId="22" fillId="0" borderId="0" xfId="0" applyFont="1" applyFill="1" applyBorder="1"/>
    <xf numFmtId="0" fontId="23" fillId="0" borderId="0" xfId="0" applyFont="1" applyFill="1"/>
    <xf numFmtId="0" fontId="11" fillId="0" borderId="0" xfId="0" applyFont="1" applyFill="1" applyBorder="1"/>
    <xf numFmtId="0" fontId="0" fillId="0" borderId="0" xfId="0" applyFont="1" applyFill="1"/>
    <xf numFmtId="0" fontId="11" fillId="0" borderId="4" xfId="0" applyFont="1" applyFill="1" applyBorder="1"/>
    <xf numFmtId="0" fontId="0" fillId="0" borderId="0" xfId="0" applyFont="1"/>
    <xf numFmtId="0" fontId="0" fillId="0" borderId="0" xfId="0" applyFont="1" applyFill="1" applyAlignment="1">
      <alignment horizontal="left"/>
    </xf>
    <xf numFmtId="0" fontId="11"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1" fillId="0" borderId="0" xfId="0" applyNumberFormat="1" applyFont="1" applyFill="1" applyBorder="1" applyAlignment="1">
      <alignment horizontal="right"/>
    </xf>
    <xf numFmtId="0" fontId="22" fillId="0" borderId="1" xfId="0" applyNumberFormat="1" applyFont="1" applyFill="1" applyBorder="1" applyAlignment="1">
      <alignment horizontal="left"/>
    </xf>
    <xf numFmtId="0" fontId="11" fillId="0" borderId="0" xfId="0" applyNumberFormat="1" applyFont="1" applyFill="1" applyBorder="1"/>
    <xf numFmtId="0" fontId="11"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2" fillId="0" borderId="0" xfId="0" applyFont="1" applyFill="1" applyBorder="1" applyAlignment="1">
      <alignment horizontal="left"/>
    </xf>
    <xf numFmtId="0" fontId="0" fillId="17" borderId="0" xfId="0" applyFont="1" applyFill="1"/>
    <xf numFmtId="0" fontId="16" fillId="0" borderId="0" xfId="0" applyFont="1" applyFill="1" applyBorder="1"/>
    <xf numFmtId="0" fontId="22"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6" fillId="0" borderId="0" xfId="0" applyNumberFormat="1" applyFont="1" applyFill="1" applyBorder="1" applyAlignment="1">
      <alignment horizontal="left"/>
    </xf>
    <xf numFmtId="0" fontId="11" fillId="0" borderId="3" xfId="0" applyNumberFormat="1" applyFont="1" applyFill="1" applyBorder="1" applyAlignment="1">
      <alignment horizontal="left"/>
    </xf>
    <xf numFmtId="0" fontId="11" fillId="0" borderId="4" xfId="0" applyNumberFormat="1" applyFont="1" applyFill="1" applyBorder="1"/>
    <xf numFmtId="0" fontId="11" fillId="0" borderId="4" xfId="0" applyNumberFormat="1" applyFont="1" applyFill="1" applyBorder="1" applyAlignment="1">
      <alignment horizontal="right"/>
    </xf>
    <xf numFmtId="0" fontId="11" fillId="0" borderId="3" xfId="0" applyFont="1" applyFill="1" applyBorder="1"/>
    <xf numFmtId="0" fontId="11" fillId="0" borderId="4" xfId="0" applyNumberFormat="1" applyFont="1" applyFill="1" applyBorder="1" applyAlignment="1">
      <alignment horizontal="left"/>
    </xf>
    <xf numFmtId="0" fontId="11" fillId="0" borderId="4" xfId="0" applyFont="1" applyFill="1" applyBorder="1" applyAlignment="1">
      <alignment horizontal="right"/>
    </xf>
    <xf numFmtId="0" fontId="32" fillId="17" borderId="0" xfId="0" applyFont="1" applyFill="1"/>
    <xf numFmtId="0" fontId="31" fillId="0" borderId="0" xfId="0" applyFont="1" applyFill="1"/>
    <xf numFmtId="0" fontId="31" fillId="0" borderId="4" xfId="0" applyFont="1" applyFill="1" applyBorder="1"/>
    <xf numFmtId="0" fontId="32" fillId="0" borderId="0" xfId="0" applyFont="1" applyFill="1"/>
    <xf numFmtId="0" fontId="32" fillId="0" borderId="0" xfId="0" quotePrefix="1" applyFont="1" applyFill="1"/>
    <xf numFmtId="0" fontId="0" fillId="17" borderId="1" xfId="0" applyFill="1" applyBorder="1"/>
    <xf numFmtId="0" fontId="11" fillId="17" borderId="0" xfId="0" applyNumberFormat="1" applyFont="1" applyFill="1" applyBorder="1" applyAlignment="1">
      <alignment horizontal="right"/>
    </xf>
    <xf numFmtId="0" fontId="0" fillId="17" borderId="8" xfId="0" applyFill="1" applyBorder="1"/>
    <xf numFmtId="0" fontId="11" fillId="17" borderId="0" xfId="0" applyFont="1" applyFill="1" applyBorder="1" applyAlignment="1">
      <alignment horizontal="left"/>
    </xf>
    <xf numFmtId="0" fontId="22" fillId="17" borderId="1" xfId="0" applyFont="1" applyFill="1" applyBorder="1"/>
    <xf numFmtId="0" fontId="11" fillId="17" borderId="0" xfId="0" applyFont="1" applyFill="1"/>
    <xf numFmtId="0" fontId="0" fillId="16" borderId="11" xfId="0" applyFill="1" applyBorder="1"/>
    <xf numFmtId="37" fontId="11" fillId="0" borderId="0" xfId="51" applyFont="1"/>
    <xf numFmtId="37" fontId="10" fillId="0" borderId="0" xfId="51"/>
    <xf numFmtId="37" fontId="10" fillId="0" borderId="0" xfId="51" applyFont="1"/>
    <xf numFmtId="37" fontId="0" fillId="0" borderId="0" xfId="51" applyFont="1"/>
    <xf numFmtId="2" fontId="0" fillId="17" borderId="0" xfId="0" applyNumberFormat="1" applyFill="1" applyBorder="1"/>
    <xf numFmtId="2" fontId="11"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1"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6" fillId="17" borderId="0" xfId="0" applyNumberFormat="1" applyFont="1" applyFill="1" applyBorder="1"/>
    <xf numFmtId="0" fontId="16" fillId="17" borderId="0" xfId="0" applyNumberFormat="1" applyFont="1" applyFill="1" applyBorder="1" applyAlignment="1">
      <alignment vertical="top"/>
    </xf>
    <xf numFmtId="0" fontId="22" fillId="0" borderId="1" xfId="0" applyNumberFormat="1" applyFont="1" applyFill="1" applyBorder="1" applyAlignment="1">
      <alignment wrapText="1"/>
    </xf>
    <xf numFmtId="0" fontId="22" fillId="0" borderId="0" xfId="0" applyNumberFormat="1" applyFont="1" applyFill="1" applyBorder="1" applyAlignment="1">
      <alignment wrapText="1"/>
    </xf>
    <xf numFmtId="165" fontId="34" fillId="0" borderId="0" xfId="54" applyNumberFormat="1" applyFont="1" applyFill="1" applyBorder="1" applyAlignment="1">
      <alignment horizontal="right"/>
    </xf>
    <xf numFmtId="0" fontId="0" fillId="17" borderId="0" xfId="4" applyNumberFormat="1" applyFont="1" applyFill="1"/>
    <xf numFmtId="0" fontId="11" fillId="17" borderId="0" xfId="4" applyNumberFormat="1" applyFont="1" applyFill="1" applyBorder="1" applyAlignment="1">
      <alignment horizontal="right"/>
    </xf>
    <xf numFmtId="0" fontId="11" fillId="0" borderId="0" xfId="4" applyNumberFormat="1" applyFont="1" applyFill="1"/>
    <xf numFmtId="0" fontId="0" fillId="0" borderId="0" xfId="4" applyNumberFormat="1" applyFont="1" applyFill="1" applyBorder="1" applyAlignment="1">
      <alignment horizontal="right"/>
    </xf>
    <xf numFmtId="0" fontId="11" fillId="0" borderId="0" xfId="4" applyNumberFormat="1" applyFont="1" applyFill="1" applyBorder="1" applyAlignment="1">
      <alignment horizontal="right"/>
    </xf>
    <xf numFmtId="0" fontId="11"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6" fillId="0" borderId="0" xfId="0" applyNumberFormat="1" applyFont="1" applyFill="1"/>
    <xf numFmtId="2" fontId="0" fillId="0" borderId="0" xfId="0" applyNumberFormat="1" applyFont="1" applyFill="1"/>
    <xf numFmtId="0" fontId="11" fillId="17" borderId="0" xfId="4" applyNumberFormat="1" applyFont="1" applyFill="1"/>
    <xf numFmtId="0" fontId="11" fillId="17" borderId="0" xfId="4" applyNumberFormat="1" applyFont="1" applyFill="1" applyBorder="1"/>
    <xf numFmtId="0" fontId="10"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2" fillId="0" borderId="0" xfId="0" applyFont="1"/>
    <xf numFmtId="0" fontId="10" fillId="0" borderId="0" xfId="0" applyFont="1" applyFill="1" applyBorder="1"/>
    <xf numFmtId="168" fontId="43" fillId="0" borderId="0" xfId="37" applyNumberFormat="1" applyFont="1" applyFill="1" applyBorder="1" applyAlignment="1" applyProtection="1">
      <alignment horizontal="left"/>
    </xf>
    <xf numFmtId="0" fontId="23" fillId="0" borderId="0" xfId="0" applyFont="1" applyFill="1" applyBorder="1"/>
    <xf numFmtId="0" fontId="36" fillId="0" borderId="0" xfId="37" applyFont="1" applyFill="1" applyBorder="1" applyAlignment="1" applyProtection="1">
      <alignment horizontal="left" vertical="top" wrapText="1" readingOrder="1"/>
      <protection locked="0"/>
    </xf>
    <xf numFmtId="0" fontId="37" fillId="0" borderId="0" xfId="0" applyFont="1" applyFill="1" applyBorder="1" applyAlignment="1" applyProtection="1">
      <alignment vertical="top" wrapText="1" readingOrder="1"/>
      <protection locked="0"/>
    </xf>
    <xf numFmtId="167" fontId="38" fillId="0" borderId="0" xfId="37" applyNumberFormat="1" applyFont="1" applyFill="1" applyBorder="1" applyAlignment="1" applyProtection="1">
      <alignment horizontal="right" vertical="top" wrapText="1" readingOrder="1"/>
      <protection locked="0"/>
    </xf>
    <xf numFmtId="0" fontId="39" fillId="0" borderId="0" xfId="0" applyFont="1" applyFill="1" applyBorder="1" applyAlignment="1" applyProtection="1">
      <alignment vertical="top" wrapText="1" readingOrder="1"/>
      <protection locked="0"/>
    </xf>
    <xf numFmtId="0" fontId="0" fillId="0" borderId="0" xfId="0" applyFont="1" applyFill="1" applyBorder="1"/>
    <xf numFmtId="167" fontId="40" fillId="0" borderId="0" xfId="37" applyNumberFormat="1" applyFont="1" applyFill="1" applyBorder="1" applyAlignment="1" applyProtection="1">
      <alignment horizontal="right" vertical="top" wrapText="1" readingOrder="1"/>
      <protection locked="0"/>
    </xf>
    <xf numFmtId="0" fontId="39" fillId="0" borderId="0" xfId="37" applyFont="1" applyFill="1" applyBorder="1" applyAlignment="1" applyProtection="1">
      <alignment vertical="top" wrapText="1" readingOrder="1"/>
      <protection locked="0"/>
    </xf>
    <xf numFmtId="0" fontId="10" fillId="0" borderId="0" xfId="37" applyFill="1" applyBorder="1" applyAlignment="1">
      <alignment readingOrder="1"/>
    </xf>
    <xf numFmtId="49" fontId="12" fillId="0" borderId="0" xfId="57" applyNumberFormat="1" applyFont="1" applyFill="1" applyBorder="1" applyAlignment="1">
      <alignment horizontal="right"/>
    </xf>
    <xf numFmtId="49" fontId="45" fillId="0" borderId="0" xfId="58" applyNumberFormat="1" applyFont="1" applyFill="1" applyBorder="1" applyAlignment="1">
      <alignment horizontal="right"/>
    </xf>
    <xf numFmtId="0" fontId="41" fillId="0" borderId="0" xfId="0" applyFont="1" applyFill="1" applyBorder="1"/>
    <xf numFmtId="0" fontId="22" fillId="17" borderId="0" xfId="0" applyFont="1" applyFill="1"/>
    <xf numFmtId="0" fontId="22" fillId="0" borderId="0" xfId="0" applyFont="1" applyFill="1"/>
    <xf numFmtId="0" fontId="0" fillId="17" borderId="0" xfId="0" quotePrefix="1" applyFill="1"/>
    <xf numFmtId="0" fontId="11" fillId="17" borderId="13" xfId="0" applyFont="1" applyFill="1" applyBorder="1"/>
    <xf numFmtId="0" fontId="11" fillId="17" borderId="4" xfId="0" applyFont="1" applyFill="1" applyBorder="1"/>
    <xf numFmtId="0" fontId="0" fillId="17" borderId="4" xfId="0" applyFont="1" applyFill="1" applyBorder="1"/>
    <xf numFmtId="0" fontId="36"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0" fillId="0" borderId="0" xfId="37" applyFill="1" applyBorder="1"/>
    <xf numFmtId="0" fontId="13" fillId="17" borderId="0" xfId="0" applyFont="1" applyFill="1" applyBorder="1"/>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horizontal="right" vertical="top" wrapText="1" readingOrder="1"/>
      <protection locked="0"/>
    </xf>
    <xf numFmtId="0" fontId="11" fillId="19" borderId="15" xfId="60" applyFont="1" applyFill="1" applyBorder="1" applyProtection="1"/>
    <xf numFmtId="170" fontId="11" fillId="19" borderId="15" xfId="60" applyNumberFormat="1" applyFont="1" applyFill="1" applyBorder="1" applyAlignment="1" applyProtection="1">
      <alignment horizontal="left"/>
    </xf>
    <xf numFmtId="0" fontId="10" fillId="19" borderId="0" xfId="0" applyFont="1" applyFill="1" applyBorder="1"/>
    <xf numFmtId="0" fontId="11" fillId="19" borderId="21" xfId="60" applyFont="1" applyFill="1" applyBorder="1" applyAlignment="1" applyProtection="1">
      <protection locked="0"/>
    </xf>
    <xf numFmtId="0" fontId="11" fillId="19" borderId="16" xfId="60" applyFont="1" applyFill="1" applyBorder="1" applyAlignment="1" applyProtection="1">
      <alignment wrapText="1"/>
    </xf>
    <xf numFmtId="0" fontId="11" fillId="19" borderId="16" xfId="60" applyFont="1" applyFill="1" applyBorder="1" applyAlignment="1" applyProtection="1"/>
    <xf numFmtId="0" fontId="6" fillId="0" borderId="17" xfId="60" applyFill="1" applyBorder="1" applyAlignment="1" applyProtection="1">
      <protection locked="0"/>
    </xf>
    <xf numFmtId="0" fontId="11" fillId="19" borderId="15" xfId="60" applyFont="1" applyFill="1" applyBorder="1" applyAlignment="1" applyProtection="1">
      <alignment horizontal="left"/>
    </xf>
    <xf numFmtId="0" fontId="34" fillId="19" borderId="20" xfId="60" applyFont="1" applyFill="1" applyBorder="1" applyAlignment="1" applyProtection="1">
      <protection locked="0"/>
    </xf>
    <xf numFmtId="167" fontId="37" fillId="0" borderId="0" xfId="37" applyNumberFormat="1" applyFont="1" applyFill="1" applyBorder="1" applyAlignment="1" applyProtection="1">
      <alignment horizontal="right" vertical="top" wrapText="1" readingOrder="1"/>
      <protection locked="0"/>
    </xf>
    <xf numFmtId="0" fontId="12" fillId="17" borderId="0" xfId="0" applyFont="1" applyFill="1" applyBorder="1"/>
    <xf numFmtId="0" fontId="34" fillId="0" borderId="0" xfId="0" applyFont="1" applyFill="1" applyBorder="1" applyAlignment="1" applyProtection="1">
      <alignment vertical="top" wrapText="1" readingOrder="1"/>
      <protection locked="0"/>
    </xf>
    <xf numFmtId="0" fontId="0" fillId="19" borderId="0" xfId="0" applyFont="1" applyFill="1" applyBorder="1"/>
    <xf numFmtId="0" fontId="40" fillId="0" borderId="0" xfId="37" applyFont="1" applyFill="1" applyBorder="1" applyAlignment="1" applyProtection="1">
      <alignment horizontal="right" vertical="top" wrapText="1" readingOrder="1"/>
      <protection locked="0"/>
    </xf>
    <xf numFmtId="0" fontId="36" fillId="0" borderId="0" xfId="37" applyFont="1" applyFill="1" applyBorder="1" applyAlignment="1" applyProtection="1">
      <alignment vertical="top" wrapText="1" readingOrder="1"/>
      <protection locked="0"/>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37"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vertical="top" wrapText="1" readingOrder="1"/>
      <protection locked="0"/>
    </xf>
    <xf numFmtId="167" fontId="37" fillId="0" borderId="0" xfId="37" applyNumberFormat="1" applyFont="1" applyFill="1" applyBorder="1" applyAlignment="1" applyProtection="1">
      <alignment vertical="top" wrapText="1" readingOrder="1"/>
      <protection locked="0"/>
    </xf>
    <xf numFmtId="0" fontId="42" fillId="0" borderId="0" xfId="37" applyFont="1" applyFill="1" applyBorder="1" applyAlignment="1" applyProtection="1">
      <alignment vertical="top" wrapText="1" readingOrder="1"/>
      <protection locked="0"/>
    </xf>
    <xf numFmtId="0" fontId="36" fillId="0" borderId="0" xfId="37" applyFont="1" applyFill="1" applyBorder="1" applyAlignment="1" applyProtection="1">
      <alignment wrapText="1" readingOrder="1"/>
      <protection locked="0"/>
    </xf>
    <xf numFmtId="167" fontId="38" fillId="0" borderId="0" xfId="37" applyNumberFormat="1" applyFont="1" applyAlignment="1" applyProtection="1">
      <alignment horizontal="right" vertical="top" wrapText="1" readingOrder="1"/>
      <protection locked="0"/>
    </xf>
    <xf numFmtId="0" fontId="40" fillId="0" borderId="0" xfId="37" applyFont="1" applyAlignment="1" applyProtection="1">
      <alignment horizontal="right" vertical="top" wrapText="1" readingOrder="1"/>
      <protection locked="0"/>
    </xf>
    <xf numFmtId="167" fontId="40" fillId="0" borderId="0" xfId="37" applyNumberFormat="1" applyFont="1" applyAlignment="1" applyProtection="1">
      <alignment horizontal="right" vertical="top" wrapText="1" readingOrder="1"/>
      <protection locked="0"/>
    </xf>
    <xf numFmtId="0" fontId="40" fillId="0" borderId="4" xfId="37" applyFont="1" applyBorder="1" applyAlignment="1" applyProtection="1">
      <alignment horizontal="right" vertical="top" wrapText="1" readingOrder="1"/>
      <protection locked="0"/>
    </xf>
    <xf numFmtId="0" fontId="40" fillId="0" borderId="0" xfId="37" applyFont="1" applyBorder="1" applyAlignment="1" applyProtection="1">
      <alignment horizontal="right" vertical="top" wrapText="1" readingOrder="1"/>
      <protection locked="0"/>
    </xf>
    <xf numFmtId="0" fontId="36" fillId="0" borderId="0" xfId="37" applyFont="1" applyBorder="1" applyAlignment="1" applyProtection="1">
      <alignment wrapText="1" readingOrder="1"/>
      <protection locked="0"/>
    </xf>
    <xf numFmtId="0" fontId="36" fillId="0" borderId="0" xfId="37" applyFont="1" applyBorder="1" applyAlignment="1" applyProtection="1">
      <alignment horizontal="left" vertical="top" wrapText="1" readingOrder="1"/>
      <protection locked="0"/>
    </xf>
    <xf numFmtId="0" fontId="10" fillId="0" borderId="0" xfId="37"/>
    <xf numFmtId="0" fontId="10" fillId="0" borderId="0" xfId="37" applyAlignment="1">
      <alignment readingOrder="1"/>
    </xf>
    <xf numFmtId="0" fontId="0" fillId="0" borderId="15" xfId="60" applyFont="1" applyFill="1" applyBorder="1" applyProtection="1">
      <protection locked="0"/>
    </xf>
    <xf numFmtId="0" fontId="39" fillId="0" borderId="4" xfId="37" applyFont="1" applyBorder="1" applyAlignment="1" applyProtection="1">
      <alignment horizontal="right" vertical="top" wrapText="1" readingOrder="1"/>
      <protection locked="0"/>
    </xf>
    <xf numFmtId="0" fontId="39" fillId="0" borderId="0" xfId="37" applyFont="1" applyBorder="1" applyAlignment="1" applyProtection="1">
      <alignment horizontal="right" vertical="top" wrapText="1" readingOrder="1"/>
      <protection locked="0"/>
    </xf>
    <xf numFmtId="0" fontId="46" fillId="17" borderId="0" xfId="0" applyNumberFormat="1" applyFont="1" applyFill="1"/>
    <xf numFmtId="0" fontId="47" fillId="17" borderId="0" xfId="0" applyFont="1" applyFill="1"/>
    <xf numFmtId="0" fontId="47" fillId="17" borderId="0" xfId="0" applyFont="1" applyFill="1" applyAlignment="1">
      <alignment horizontal="right"/>
    </xf>
    <xf numFmtId="10" fontId="10" fillId="17" borderId="0" xfId="4" applyNumberFormat="1" applyFont="1" applyFill="1" applyAlignment="1">
      <alignment horizontal="right"/>
    </xf>
    <xf numFmtId="0" fontId="10" fillId="19" borderId="0" xfId="0" applyFont="1" applyFill="1" applyBorder="1" applyAlignment="1">
      <alignment wrapText="1"/>
    </xf>
    <xf numFmtId="0" fontId="12" fillId="17" borderId="4" xfId="0" applyFont="1" applyFill="1" applyBorder="1"/>
    <xf numFmtId="0" fontId="11" fillId="19" borderId="22" xfId="60" applyFont="1" applyFill="1" applyBorder="1" applyProtection="1"/>
    <xf numFmtId="0" fontId="11" fillId="0" borderId="0" xfId="0" applyFont="1" applyFill="1" applyBorder="1" applyProtection="1"/>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0" fillId="0" borderId="0" xfId="0" applyFill="1" applyBorder="1" applyProtection="1">
      <protection locked="0"/>
    </xf>
    <xf numFmtId="0" fontId="48" fillId="17" borderId="1" xfId="0" applyFont="1" applyFill="1" applyBorder="1"/>
    <xf numFmtId="0" fontId="48" fillId="17" borderId="0" xfId="0" applyFont="1" applyFill="1"/>
    <xf numFmtId="0" fontId="48" fillId="17" borderId="1" xfId="0" applyNumberFormat="1" applyFont="1" applyFill="1" applyBorder="1" applyAlignment="1">
      <alignment horizontal="left"/>
    </xf>
    <xf numFmtId="165" fontId="49" fillId="17" borderId="0" xfId="54" applyNumberFormat="1" applyFont="1" applyFill="1" applyBorder="1" applyAlignment="1">
      <alignment horizontal="right"/>
    </xf>
    <xf numFmtId="0" fontId="49" fillId="17" borderId="0" xfId="0" applyFont="1" applyFill="1" applyBorder="1"/>
    <xf numFmtId="0" fontId="49" fillId="17" borderId="3" xfId="0" applyFont="1" applyFill="1" applyBorder="1"/>
    <xf numFmtId="0" fontId="49" fillId="17" borderId="4" xfId="0" applyFont="1" applyFill="1" applyBorder="1"/>
    <xf numFmtId="0" fontId="48" fillId="17" borderId="0" xfId="0" applyFont="1" applyFill="1" applyBorder="1"/>
    <xf numFmtId="1" fontId="48" fillId="17" borderId="0" xfId="0" applyNumberFormat="1" applyFont="1" applyFill="1" applyBorder="1" applyAlignment="1">
      <alignment horizontal="left"/>
    </xf>
    <xf numFmtId="0" fontId="48" fillId="17" borderId="0" xfId="0" applyNumberFormat="1" applyFont="1" applyFill="1" applyBorder="1" applyAlignment="1">
      <alignment horizontal="left"/>
    </xf>
    <xf numFmtId="0" fontId="48" fillId="17" borderId="1" xfId="0" applyNumberFormat="1" applyFont="1" applyFill="1" applyBorder="1" applyAlignment="1">
      <alignment wrapText="1"/>
    </xf>
    <xf numFmtId="0" fontId="48" fillId="17" borderId="0" xfId="0" applyNumberFormat="1" applyFont="1" applyFill="1" applyBorder="1" applyAlignment="1">
      <alignment wrapText="1"/>
    </xf>
    <xf numFmtId="1" fontId="48" fillId="17" borderId="1" xfId="0" applyNumberFormat="1" applyFont="1" applyFill="1" applyBorder="1" applyAlignment="1">
      <alignment horizontal="left"/>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1" fillId="17" borderId="8" xfId="0" applyFont="1" applyFill="1" applyBorder="1"/>
    <xf numFmtId="0" fontId="11" fillId="17" borderId="7" xfId="0" applyFont="1" applyFill="1" applyBorder="1"/>
    <xf numFmtId="0" fontId="51" fillId="0" borderId="25" xfId="60" applyFont="1" applyFill="1" applyBorder="1" applyAlignment="1" applyProtection="1">
      <alignment wrapText="1"/>
      <protection locked="0"/>
    </xf>
    <xf numFmtId="0" fontId="51" fillId="0" borderId="26" xfId="60" applyFont="1" applyFill="1" applyBorder="1" applyAlignment="1" applyProtection="1">
      <alignment wrapText="1"/>
      <protection locked="0"/>
    </xf>
    <xf numFmtId="0" fontId="51" fillId="0" borderId="27" xfId="60" applyFont="1" applyFill="1" applyBorder="1" applyAlignment="1" applyProtection="1">
      <alignment wrapText="1"/>
      <protection locked="0"/>
    </xf>
    <xf numFmtId="0" fontId="51" fillId="0" borderId="23" xfId="60" applyFont="1" applyFill="1" applyBorder="1" applyAlignment="1" applyProtection="1">
      <alignment wrapText="1"/>
      <protection locked="0"/>
    </xf>
    <xf numFmtId="0" fontId="51" fillId="0" borderId="28" xfId="60" applyFont="1" applyFill="1" applyBorder="1" applyAlignment="1" applyProtection="1">
      <alignment wrapText="1"/>
      <protection locked="0"/>
    </xf>
    <xf numFmtId="0" fontId="51" fillId="0" borderId="24" xfId="60" applyFont="1" applyFill="1" applyBorder="1" applyAlignment="1" applyProtection="1">
      <alignment wrapText="1"/>
      <protection locked="0"/>
    </xf>
    <xf numFmtId="0" fontId="51" fillId="0" borderId="29" xfId="60" applyFont="1" applyFill="1" applyBorder="1" applyAlignment="1" applyProtection="1">
      <alignment wrapText="1"/>
      <protection locked="0"/>
    </xf>
    <xf numFmtId="0" fontId="51" fillId="0" borderId="30" xfId="60" applyFont="1" applyFill="1" applyBorder="1" applyAlignment="1" applyProtection="1">
      <alignment vertical="top" wrapText="1"/>
      <protection locked="0"/>
    </xf>
    <xf numFmtId="0" fontId="11" fillId="17" borderId="31" xfId="0" applyFont="1" applyFill="1" applyBorder="1"/>
    <xf numFmtId="0" fontId="51" fillId="0" borderId="32" xfId="60" applyFont="1" applyFill="1" applyBorder="1" applyAlignment="1" applyProtection="1">
      <alignment wrapText="1"/>
      <protection locked="0"/>
    </xf>
    <xf numFmtId="0" fontId="51" fillId="0" borderId="33" xfId="60" applyFont="1" applyFill="1" applyBorder="1" applyAlignment="1" applyProtection="1">
      <alignment vertical="top" wrapText="1"/>
      <protection locked="0"/>
    </xf>
    <xf numFmtId="0" fontId="0" fillId="19" borderId="0" xfId="0" applyFill="1"/>
    <xf numFmtId="0" fontId="51" fillId="0" borderId="31" xfId="60" applyFont="1" applyFill="1" applyBorder="1" applyAlignment="1" applyProtection="1">
      <alignment wrapText="1"/>
      <protection locked="0"/>
    </xf>
    <xf numFmtId="0" fontId="51" fillId="0" borderId="35" xfId="60" applyFont="1" applyFill="1" applyBorder="1" applyAlignment="1" applyProtection="1">
      <alignment wrapText="1"/>
      <protection locked="0"/>
    </xf>
    <xf numFmtId="0" fontId="0" fillId="0" borderId="34" xfId="0" applyBorder="1" applyAlignment="1">
      <alignment horizontal="center"/>
    </xf>
    <xf numFmtId="0" fontId="50"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5" fillId="0" borderId="15" xfId="60" applyFont="1" applyFill="1" applyBorder="1" applyAlignment="1" applyProtection="1">
      <alignment wrapText="1"/>
      <protection locked="0"/>
    </xf>
    <xf numFmtId="0" fontId="51" fillId="0" borderId="0" xfId="0" applyFont="1"/>
    <xf numFmtId="0" fontId="0" fillId="20" borderId="0" xfId="0" applyFill="1"/>
    <xf numFmtId="0" fontId="32"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19" fillId="20" borderId="6" xfId="54" applyNumberFormat="1" applyFont="1" applyFill="1" applyBorder="1"/>
    <xf numFmtId="43" fontId="33" fillId="20" borderId="6" xfId="54" applyNumberFormat="1" applyFont="1" applyFill="1" applyBorder="1" applyAlignment="1">
      <alignment horizontal="center"/>
    </xf>
    <xf numFmtId="43" fontId="19" fillId="20" borderId="6" xfId="54" applyNumberFormat="1" applyFont="1" applyFill="1" applyBorder="1" applyAlignment="1"/>
    <xf numFmtId="0" fontId="18" fillId="20" borderId="6" xfId="0" applyFont="1" applyFill="1" applyBorder="1" applyAlignment="1">
      <alignment horizontal="center"/>
    </xf>
    <xf numFmtId="43" fontId="17" fillId="20" borderId="6" xfId="54" applyNumberFormat="1" applyFont="1" applyFill="1" applyBorder="1" applyAlignment="1">
      <alignment horizontal="center"/>
    </xf>
    <xf numFmtId="0" fontId="17" fillId="20" borderId="6" xfId="0" applyFont="1" applyFill="1" applyBorder="1" applyAlignment="1">
      <alignment horizontal="center"/>
    </xf>
    <xf numFmtId="43" fontId="10" fillId="20" borderId="0" xfId="54" applyNumberFormat="1" applyFont="1" applyFill="1" applyBorder="1" applyAlignment="1">
      <alignment vertical="center" textRotation="90"/>
    </xf>
    <xf numFmtId="43" fontId="17" fillId="20" borderId="14" xfId="54" applyNumberFormat="1" applyFont="1" applyFill="1" applyBorder="1" applyAlignment="1">
      <alignment horizontal="center"/>
    </xf>
    <xf numFmtId="0" fontId="10" fillId="20" borderId="0" xfId="0" applyFont="1" applyFill="1" applyBorder="1" applyAlignment="1">
      <alignment horizontal="center" vertical="center" textRotation="90"/>
    </xf>
    <xf numFmtId="0" fontId="17"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0" fillId="20" borderId="0" xfId="0" applyFont="1" applyFill="1" applyBorder="1" applyAlignment="1">
      <alignment horizontal="center"/>
    </xf>
    <xf numFmtId="0" fontId="10"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3" fillId="20" borderId="0" xfId="0" applyFont="1" applyFill="1"/>
    <xf numFmtId="0" fontId="53" fillId="20" borderId="0" xfId="0" applyFont="1" applyFill="1" applyAlignment="1">
      <alignment horizontal="left"/>
    </xf>
    <xf numFmtId="0" fontId="57" fillId="20" borderId="0" xfId="0" quotePrefix="1" applyFont="1" applyFill="1"/>
    <xf numFmtId="43" fontId="56" fillId="20" borderId="6" xfId="54" applyNumberFormat="1" applyFont="1" applyFill="1" applyBorder="1"/>
    <xf numFmtId="43" fontId="53" fillId="20" borderId="6" xfId="54" applyNumberFormat="1" applyFont="1" applyFill="1" applyBorder="1"/>
    <xf numFmtId="43" fontId="53" fillId="20" borderId="6" xfId="54" applyNumberFormat="1" applyFont="1" applyFill="1" applyBorder="1" applyAlignment="1"/>
    <xf numFmtId="43" fontId="58" fillId="20" borderId="0" xfId="54" applyNumberFormat="1" applyFont="1" applyFill="1"/>
    <xf numFmtId="43" fontId="58" fillId="20" borderId="6" xfId="54" applyNumberFormat="1" applyFont="1" applyFill="1" applyBorder="1" applyAlignment="1">
      <alignment horizontal="center"/>
    </xf>
    <xf numFmtId="0" fontId="53" fillId="20" borderId="0" xfId="0" applyFont="1" applyFill="1" applyAlignment="1">
      <alignment vertical="top" wrapText="1"/>
    </xf>
    <xf numFmtId="0" fontId="56" fillId="20" borderId="0" xfId="0" applyFont="1" applyFill="1"/>
    <xf numFmtId="0" fontId="56" fillId="20" borderId="0" xfId="0" applyFont="1" applyFill="1" applyAlignment="1"/>
    <xf numFmtId="0" fontId="53" fillId="20" borderId="0" xfId="0" applyFont="1" applyFill="1" applyAlignment="1"/>
    <xf numFmtId="0" fontId="59" fillId="20" borderId="0" xfId="0" applyFont="1" applyFill="1" applyAlignment="1"/>
    <xf numFmtId="0" fontId="53" fillId="20" borderId="0" xfId="0" applyFont="1" applyFill="1" applyAlignment="1">
      <alignment horizontal="center"/>
    </xf>
    <xf numFmtId="2" fontId="53" fillId="20" borderId="0" xfId="0" applyNumberFormat="1" applyFont="1" applyFill="1" applyAlignment="1">
      <alignment horizontal="center"/>
    </xf>
    <xf numFmtId="0" fontId="61" fillId="20" borderId="0" xfId="0" applyFont="1" applyFill="1"/>
    <xf numFmtId="2" fontId="60" fillId="20" borderId="0" xfId="0" applyNumberFormat="1" applyFont="1" applyFill="1" applyAlignment="1"/>
    <xf numFmtId="0" fontId="62" fillId="20" borderId="0" xfId="0" applyFont="1" applyFill="1"/>
    <xf numFmtId="0" fontId="4" fillId="0" borderId="16" xfId="60" applyFont="1" applyFill="1" applyBorder="1" applyAlignment="1" applyProtection="1">
      <protection locked="0"/>
    </xf>
    <xf numFmtId="0" fontId="0" fillId="0" borderId="0" xfId="5" applyFont="1" applyFill="1" applyAlignment="1">
      <alignment horizontal="center"/>
    </xf>
    <xf numFmtId="0" fontId="3" fillId="0" borderId="15" xfId="60" applyFont="1" applyFill="1" applyBorder="1" applyAlignment="1" applyProtection="1">
      <alignment wrapText="1"/>
      <protection locked="0"/>
    </xf>
    <xf numFmtId="0" fontId="56" fillId="20" borderId="0" xfId="0" applyFont="1" applyFill="1" applyAlignment="1">
      <alignment horizontal="left"/>
    </xf>
    <xf numFmtId="43" fontId="53" fillId="20" borderId="0" xfId="54" applyNumberFormat="1" applyFont="1" applyFill="1" applyBorder="1" applyAlignment="1">
      <alignment vertical="center" textRotation="90"/>
    </xf>
    <xf numFmtId="43" fontId="53" fillId="20" borderId="14" xfId="54" applyNumberFormat="1" applyFont="1" applyFill="1" applyBorder="1"/>
    <xf numFmtId="43" fontId="53" fillId="20" borderId="14" xfId="54" applyNumberFormat="1" applyFont="1" applyFill="1" applyBorder="1" applyAlignment="1"/>
    <xf numFmtId="43" fontId="0" fillId="20" borderId="0" xfId="54" applyNumberFormat="1" applyFont="1" applyFill="1" applyBorder="1"/>
    <xf numFmtId="43" fontId="17"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0" fillId="0" borderId="0" xfId="0" applyFont="1" applyAlignment="1">
      <alignment horizontal="left"/>
    </xf>
    <xf numFmtId="0" fontId="10" fillId="0" borderId="0" xfId="5" applyFont="1" applyAlignment="1">
      <alignment horizontal="center"/>
    </xf>
    <xf numFmtId="0" fontId="26" fillId="0" borderId="0" xfId="0" applyFont="1"/>
    <xf numFmtId="0" fontId="0" fillId="0" borderId="0" xfId="0" applyAlignment="1">
      <alignment horizontal="left"/>
    </xf>
    <xf numFmtId="2" fontId="0" fillId="20" borderId="0" xfId="4" applyNumberFormat="1" applyFont="1" applyFill="1" applyAlignment="1">
      <alignment horizontal="left" vertical="top"/>
    </xf>
    <xf numFmtId="0" fontId="0" fillId="20" borderId="0" xfId="0" applyFill="1" applyBorder="1" applyAlignment="1">
      <alignment horizontal="center"/>
    </xf>
    <xf numFmtId="0" fontId="56" fillId="20" borderId="0" xfId="0" applyFont="1" applyFill="1" applyAlignment="1">
      <alignment horizontal="left"/>
    </xf>
    <xf numFmtId="1" fontId="53" fillId="20" borderId="0" xfId="0" applyNumberFormat="1" applyFont="1" applyFill="1" applyAlignment="1">
      <alignment horizontal="center"/>
    </xf>
    <xf numFmtId="0" fontId="53" fillId="20" borderId="0" xfId="0" applyFont="1" applyFill="1" applyAlignment="1">
      <alignment horizontal="center"/>
    </xf>
    <xf numFmtId="2" fontId="53" fillId="20" borderId="0" xfId="52" applyNumberFormat="1" applyFont="1" applyFill="1" applyAlignment="1">
      <alignment horizontal="right"/>
    </xf>
    <xf numFmtId="2" fontId="53" fillId="20" borderId="0" xfId="52" applyNumberFormat="1" applyFont="1" applyFill="1" applyAlignment="1">
      <alignment horizontal="center"/>
    </xf>
    <xf numFmtId="0" fontId="53" fillId="20" borderId="0" xfId="0" applyFont="1" applyFill="1" applyAlignment="1">
      <alignment horizontal="left"/>
    </xf>
    <xf numFmtId="0" fontId="53" fillId="20" borderId="0" xfId="0" quotePrefix="1" applyNumberFormat="1" applyFont="1" applyFill="1" applyAlignment="1">
      <alignment horizontal="center"/>
    </xf>
    <xf numFmtId="0" fontId="54" fillId="19" borderId="0" xfId="0" applyFont="1" applyFill="1" applyAlignment="1">
      <alignment horizontal="center" vertical="center"/>
    </xf>
    <xf numFmtId="0" fontId="11" fillId="20" borderId="8" xfId="0" applyFont="1" applyFill="1" applyBorder="1" applyAlignment="1">
      <alignment horizontal="left" vertical="top"/>
    </xf>
    <xf numFmtId="0" fontId="11" fillId="20" borderId="9" xfId="0" applyFont="1" applyFill="1" applyBorder="1" applyAlignment="1">
      <alignment horizontal="left" vertical="top"/>
    </xf>
    <xf numFmtId="0" fontId="11" fillId="20" borderId="1" xfId="0" applyFont="1" applyFill="1" applyBorder="1" applyAlignment="1">
      <alignment horizontal="left" vertical="top"/>
    </xf>
    <xf numFmtId="0" fontId="11" fillId="20" borderId="0" xfId="0" applyFont="1" applyFill="1" applyBorder="1" applyAlignment="1">
      <alignment horizontal="left" vertical="top"/>
    </xf>
    <xf numFmtId="2" fontId="56" fillId="20" borderId="0" xfId="4" applyNumberFormat="1" applyFont="1" applyFill="1" applyAlignment="1">
      <alignment horizontal="center"/>
    </xf>
    <xf numFmtId="2" fontId="56" fillId="20" borderId="0" xfId="4" applyNumberFormat="1" applyFont="1" applyFill="1" applyAlignment="1">
      <alignment horizontal="right"/>
    </xf>
    <xf numFmtId="0" fontId="59" fillId="20" borderId="0" xfId="0" applyFont="1" applyFill="1" applyAlignment="1">
      <alignment horizontal="center"/>
    </xf>
    <xf numFmtId="0" fontId="56" fillId="20" borderId="0" xfId="0" applyFont="1" applyFill="1" applyAlignment="1">
      <alignment horizontal="center"/>
    </xf>
    <xf numFmtId="0" fontId="53" fillId="20" borderId="8" xfId="0" applyFont="1" applyFill="1" applyBorder="1" applyAlignment="1">
      <alignment horizontal="left"/>
    </xf>
    <xf numFmtId="0" fontId="53" fillId="20" borderId="9" xfId="0" applyFont="1" applyFill="1" applyBorder="1" applyAlignment="1">
      <alignment horizontal="left"/>
    </xf>
    <xf numFmtId="0" fontId="53" fillId="20" borderId="7" xfId="0" applyFont="1" applyFill="1" applyBorder="1" applyAlignment="1">
      <alignment horizontal="left"/>
    </xf>
    <xf numFmtId="0" fontId="55" fillId="17" borderId="1" xfId="0" applyFont="1" applyFill="1" applyBorder="1" applyAlignment="1" applyProtection="1">
      <alignment horizontal="center" vertical="center" wrapText="1"/>
      <protection locked="0"/>
    </xf>
    <xf numFmtId="0" fontId="55" fillId="17" borderId="0" xfId="0" applyFont="1" applyFill="1" applyBorder="1" applyAlignment="1" applyProtection="1">
      <alignment horizontal="center" vertical="center" wrapText="1"/>
      <protection locked="0"/>
    </xf>
    <xf numFmtId="0" fontId="55" fillId="17" borderId="2" xfId="0" applyFont="1" applyFill="1" applyBorder="1" applyAlignment="1" applyProtection="1">
      <alignment horizontal="center" vertical="center" wrapText="1"/>
      <protection locked="0"/>
    </xf>
    <xf numFmtId="0" fontId="56" fillId="20" borderId="3" xfId="0" applyFont="1" applyFill="1" applyBorder="1" applyAlignment="1" applyProtection="1">
      <alignment horizontal="center" vertical="center" wrapText="1"/>
      <protection locked="0"/>
    </xf>
    <xf numFmtId="0" fontId="56" fillId="20" borderId="4" xfId="0" applyFont="1" applyFill="1" applyBorder="1" applyAlignment="1" applyProtection="1">
      <alignment horizontal="center" vertical="center" wrapText="1"/>
      <protection locked="0"/>
    </xf>
    <xf numFmtId="0" fontId="56" fillId="20" borderId="5" xfId="0" applyFont="1" applyFill="1" applyBorder="1" applyAlignment="1" applyProtection="1">
      <alignment horizontal="center" vertical="center" wrapText="1"/>
      <protection locked="0"/>
    </xf>
    <xf numFmtId="0" fontId="53" fillId="20" borderId="1" xfId="0" applyFont="1" applyFill="1" applyBorder="1" applyAlignment="1" applyProtection="1">
      <alignment horizontal="left" vertical="center" wrapText="1"/>
      <protection locked="0"/>
    </xf>
    <xf numFmtId="0" fontId="53" fillId="20" borderId="0" xfId="0" applyFont="1" applyFill="1" applyBorder="1" applyAlignment="1" applyProtection="1">
      <alignment horizontal="left" vertical="center" wrapText="1"/>
      <protection locked="0"/>
    </xf>
    <xf numFmtId="0" fontId="53" fillId="20" borderId="2" xfId="0" applyFont="1" applyFill="1" applyBorder="1" applyAlignment="1" applyProtection="1">
      <alignment horizontal="left" vertical="center" wrapText="1"/>
      <protection locked="0"/>
    </xf>
    <xf numFmtId="43" fontId="19" fillId="20" borderId="6" xfId="54" applyNumberFormat="1" applyFont="1" applyFill="1" applyBorder="1" applyAlignment="1">
      <alignment horizontal="center"/>
    </xf>
    <xf numFmtId="43" fontId="56" fillId="20" borderId="6" xfId="54" applyNumberFormat="1" applyFont="1" applyFill="1" applyBorder="1" applyAlignment="1">
      <alignment horizontal="center"/>
    </xf>
    <xf numFmtId="0" fontId="11" fillId="20" borderId="7" xfId="0" applyFont="1" applyFill="1" applyBorder="1" applyAlignment="1">
      <alignment horizontal="left" vertical="top"/>
    </xf>
    <xf numFmtId="0" fontId="11" fillId="20" borderId="2" xfId="0" applyFont="1" applyFill="1" applyBorder="1" applyAlignment="1">
      <alignment horizontal="left" vertical="top"/>
    </xf>
    <xf numFmtId="0" fontId="13" fillId="20" borderId="4" xfId="0" applyFont="1" applyFill="1" applyBorder="1" applyAlignment="1">
      <alignment horizontal="center"/>
    </xf>
    <xf numFmtId="1" fontId="12" fillId="20" borderId="4" xfId="4" applyNumberFormat="1" applyFont="1" applyFill="1" applyBorder="1" applyAlignment="1">
      <alignment horizontal="center"/>
    </xf>
    <xf numFmtId="0" fontId="0" fillId="20" borderId="4" xfId="0" applyFont="1" applyFill="1" applyBorder="1" applyAlignment="1">
      <alignment horizontal="center"/>
    </xf>
    <xf numFmtId="0" fontId="55" fillId="17" borderId="0" xfId="0" applyFont="1" applyFill="1" applyAlignment="1" applyProtection="1">
      <alignment horizontal="left" vertical="top" wrapText="1"/>
      <protection locked="0"/>
    </xf>
    <xf numFmtId="2" fontId="0" fillId="20" borderId="0" xfId="0" applyNumberFormat="1" applyFill="1" applyBorder="1" applyAlignment="1">
      <alignment horizontal="center"/>
    </xf>
    <xf numFmtId="43" fontId="63" fillId="20" borderId="14" xfId="54" applyNumberFormat="1" applyFont="1" applyFill="1" applyBorder="1" applyAlignment="1">
      <alignment horizontal="center" vertical="center" textRotation="90"/>
    </xf>
    <xf numFmtId="43" fontId="63" fillId="20" borderId="0" xfId="54" applyNumberFormat="1" applyFont="1" applyFill="1" applyBorder="1" applyAlignment="1">
      <alignment horizontal="center" vertical="center" textRotation="90"/>
    </xf>
    <xf numFmtId="0" fontId="60" fillId="20" borderId="0" xfId="0" quotePrefix="1" applyNumberFormat="1" applyFont="1" applyFill="1" applyAlignment="1">
      <alignment horizontal="center"/>
    </xf>
    <xf numFmtId="43" fontId="58" fillId="20" borderId="14" xfId="54" applyNumberFormat="1" applyFont="1" applyFill="1" applyBorder="1" applyAlignment="1">
      <alignment horizontal="center"/>
    </xf>
    <xf numFmtId="164" fontId="58" fillId="20" borderId="6" xfId="54" applyNumberFormat="1" applyFont="1" applyFill="1" applyBorder="1" applyAlignment="1">
      <alignment horizontal="center"/>
    </xf>
    <xf numFmtId="43" fontId="53" fillId="20" borderId="6" xfId="54" applyNumberFormat="1" applyFont="1" applyFill="1" applyBorder="1" applyAlignment="1">
      <alignment horizontal="center"/>
    </xf>
    <xf numFmtId="43" fontId="10" fillId="20" borderId="0" xfId="54" applyNumberFormat="1" applyFont="1" applyFill="1" applyBorder="1" applyAlignment="1">
      <alignment horizontal="center"/>
    </xf>
    <xf numFmtId="0" fontId="53" fillId="20" borderId="0" xfId="0" applyFont="1" applyFill="1" applyAlignment="1">
      <alignment horizontal="left" vertical="top" wrapText="1"/>
    </xf>
    <xf numFmtId="43" fontId="58" fillId="20" borderId="6" xfId="54" applyNumberFormat="1" applyFont="1" applyFill="1" applyBorder="1" applyAlignment="1">
      <alignment horizontal="center"/>
    </xf>
    <xf numFmtId="43" fontId="53" fillId="20" borderId="14" xfId="54" applyNumberFormat="1" applyFont="1" applyFill="1" applyBorder="1" applyAlignment="1">
      <alignment horizontal="center"/>
    </xf>
    <xf numFmtId="164" fontId="58"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0" fontId="52" fillId="19" borderId="0" xfId="0" applyFont="1" applyFill="1" applyAlignment="1">
      <alignment horizontal="center" vertical="center"/>
    </xf>
    <xf numFmtId="0" fontId="11" fillId="20" borderId="9" xfId="0" applyFont="1" applyFill="1" applyBorder="1" applyAlignment="1">
      <alignment horizontal="left" vertical="center" wrapText="1"/>
    </xf>
    <xf numFmtId="0" fontId="11" fillId="20" borderId="7" xfId="0" applyFont="1" applyFill="1" applyBorder="1" applyAlignment="1">
      <alignment horizontal="left" vertical="center" wrapText="1"/>
    </xf>
    <xf numFmtId="0" fontId="11" fillId="20" borderId="0" xfId="0" applyFont="1" applyFill="1" applyBorder="1" applyAlignment="1">
      <alignment horizontal="left" vertical="center" wrapText="1"/>
    </xf>
    <xf numFmtId="0" fontId="11" fillId="20" borderId="2" xfId="0" applyFont="1" applyFill="1" applyBorder="1" applyAlignment="1">
      <alignment horizontal="left" vertical="center" wrapText="1"/>
    </xf>
    <xf numFmtId="0" fontId="11" fillId="20" borderId="8" xfId="0" applyFont="1" applyFill="1" applyBorder="1" applyAlignment="1">
      <alignment horizontal="center" vertical="center"/>
    </xf>
    <xf numFmtId="0" fontId="11" fillId="20" borderId="9" xfId="0" applyFont="1" applyFill="1" applyBorder="1" applyAlignment="1">
      <alignment horizontal="center" vertical="center"/>
    </xf>
    <xf numFmtId="0" fontId="11" fillId="20" borderId="1" xfId="0" applyFont="1" applyFill="1" applyBorder="1" applyAlignment="1">
      <alignment horizontal="center" vertical="center"/>
    </xf>
    <xf numFmtId="0" fontId="11" fillId="20" borderId="0" xfId="0" applyFont="1" applyFill="1" applyBorder="1" applyAlignment="1">
      <alignment horizontal="center" vertical="center"/>
    </xf>
    <xf numFmtId="43" fontId="0" fillId="20" borderId="0" xfId="54" applyNumberFormat="1" applyFont="1" applyFill="1" applyBorder="1" applyAlignment="1">
      <alignment horizontal="center"/>
    </xf>
    <xf numFmtId="0" fontId="56" fillId="17" borderId="1" xfId="0" applyFont="1" applyFill="1" applyBorder="1" applyAlignment="1" applyProtection="1">
      <alignment horizontal="center" vertical="center" wrapText="1"/>
      <protection locked="0"/>
    </xf>
    <xf numFmtId="0" fontId="56" fillId="17" borderId="0" xfId="0" applyFont="1" applyFill="1" applyBorder="1" applyAlignment="1" applyProtection="1">
      <alignment horizontal="center" vertical="center" wrapText="1"/>
      <protection locked="0"/>
    </xf>
    <xf numFmtId="0" fontId="56" fillId="17" borderId="2" xfId="0" applyFont="1" applyFill="1" applyBorder="1" applyAlignment="1" applyProtection="1">
      <alignment horizontal="center" vertical="center" wrapText="1"/>
      <protection locked="0"/>
    </xf>
    <xf numFmtId="166" fontId="0" fillId="20" borderId="0" xfId="54" applyNumberFormat="1" applyFont="1" applyFill="1" applyAlignment="1">
      <alignment horizontal="center"/>
    </xf>
    <xf numFmtId="0" fontId="22" fillId="17" borderId="1" xfId="0" applyNumberFormat="1" applyFont="1" applyFill="1" applyBorder="1" applyAlignment="1">
      <alignment horizontal="left" wrapText="1"/>
    </xf>
    <xf numFmtId="0" fontId="22" fillId="17" borderId="0" xfId="0" applyNumberFormat="1" applyFont="1" applyFill="1" applyBorder="1" applyAlignment="1">
      <alignment horizontal="left" wrapText="1"/>
    </xf>
    <xf numFmtId="0" fontId="48" fillId="17" borderId="1" xfId="0" applyFont="1" applyFill="1" applyBorder="1" applyAlignment="1">
      <alignment horizontal="left" vertical="top" wrapText="1"/>
    </xf>
    <xf numFmtId="0" fontId="48" fillId="17" borderId="0" xfId="0" applyFont="1" applyFill="1" applyBorder="1" applyAlignment="1">
      <alignment horizontal="left" vertical="top" wrapText="1"/>
    </xf>
    <xf numFmtId="0" fontId="48" fillId="17" borderId="2" xfId="0" applyFont="1" applyFill="1" applyBorder="1" applyAlignment="1">
      <alignment horizontal="left" vertical="top" wrapText="1"/>
    </xf>
    <xf numFmtId="0" fontId="11" fillId="19" borderId="18" xfId="60" applyFont="1" applyFill="1" applyBorder="1" applyAlignment="1" applyProtection="1">
      <alignment horizontal="left" vertical="center" wrapText="1"/>
    </xf>
    <xf numFmtId="0" fontId="11" fillId="19" borderId="19" xfId="60" applyFont="1" applyFill="1" applyBorder="1" applyAlignment="1" applyProtection="1">
      <alignment horizontal="left" vertical="center" wrapText="1"/>
    </xf>
    <xf numFmtId="167" fontId="37" fillId="0" borderId="0" xfId="37" applyNumberFormat="1" applyFont="1" applyFill="1" applyBorder="1" applyAlignment="1" applyProtection="1">
      <alignment horizontal="right" vertical="top" wrapText="1" readingOrder="1"/>
      <protection locked="0"/>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patternType="solid">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05"/>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112"/>
                <c:pt idx="111">
                  <c:v>u</c:v>
                </c:pt>
              </c:strCache>
            </c:strRef>
          </c:cat>
          <c:val>
            <c:numRef>
              <c:f>[0]!TopQuart</c:f>
              <c:numCache>
                <c:formatCode>General</c:formatCode>
                <c:ptCount val="192"/>
                <c:pt idx="0">
                  <c:v>90.450497364548298</c:v>
                </c:pt>
                <c:pt idx="1">
                  <c:v>89.877725719925976</c:v>
                </c:pt>
                <c:pt idx="2">
                  <c:v>89.804259171588328</c:v>
                </c:pt>
                <c:pt idx="3">
                  <c:v>89.749905538045041</c:v>
                </c:pt>
                <c:pt idx="4">
                  <c:v>89.410573933239718</c:v>
                </c:pt>
                <c:pt idx="5">
                  <c:v>89.385768010507832</c:v>
                </c:pt>
                <c:pt idx="6">
                  <c:v>88.850306199577062</c:v>
                </c:pt>
                <c:pt idx="7">
                  <c:v>88.154799004680399</c:v>
                </c:pt>
                <c:pt idx="8">
                  <c:v>88.114833574245324</c:v>
                </c:pt>
                <c:pt idx="9">
                  <c:v>88.090950078857276</c:v>
                </c:pt>
                <c:pt idx="10">
                  <c:v>87.858171031059385</c:v>
                </c:pt>
                <c:pt idx="11">
                  <c:v>87.850206267883763</c:v>
                </c:pt>
                <c:pt idx="12">
                  <c:v>87.778055448573227</c:v>
                </c:pt>
                <c:pt idx="13">
                  <c:v>87.667255896741864</c:v>
                </c:pt>
                <c:pt idx="14">
                  <c:v>87.647615077230469</c:v>
                </c:pt>
                <c:pt idx="15">
                  <c:v>87.528570676960697</c:v>
                </c:pt>
                <c:pt idx="16">
                  <c:v>87.493941229861846</c:v>
                </c:pt>
                <c:pt idx="17">
                  <c:v>87.469177998201303</c:v>
                </c:pt>
                <c:pt idx="18">
                  <c:v>87.156969497663397</c:v>
                </c:pt>
                <c:pt idx="19">
                  <c:v>86.93318830237007</c:v>
                </c:pt>
                <c:pt idx="20">
                  <c:v>86.790958981324778</c:v>
                </c:pt>
                <c:pt idx="21">
                  <c:v>86.767004660693942</c:v>
                </c:pt>
                <c:pt idx="22">
                  <c:v>86.690590013021321</c:v>
                </c:pt>
                <c:pt idx="23">
                  <c:v>86.676283490967094</c:v>
                </c:pt>
                <c:pt idx="24">
                  <c:v>86.613854711442926</c:v>
                </c:pt>
                <c:pt idx="25">
                  <c:v>86.607379837809205</c:v>
                </c:pt>
                <c:pt idx="26">
                  <c:v>86.591064229964161</c:v>
                </c:pt>
                <c:pt idx="27">
                  <c:v>86.534664357842871</c:v>
                </c:pt>
                <c:pt idx="28">
                  <c:v>86.368889654737089</c:v>
                </c:pt>
                <c:pt idx="29">
                  <c:v>86.323077218978213</c:v>
                </c:pt>
                <c:pt idx="30">
                  <c:v>86.183848082296933</c:v>
                </c:pt>
                <c:pt idx="31">
                  <c:v>86.168577447552352</c:v>
                </c:pt>
                <c:pt idx="32">
                  <c:v>86.165762834249961</c:v>
                </c:pt>
                <c:pt idx="33">
                  <c:v>86.158562537308995</c:v>
                </c:pt>
                <c:pt idx="34">
                  <c:v>86.127920184335537</c:v>
                </c:pt>
                <c:pt idx="35">
                  <c:v>86.124289461765642</c:v>
                </c:pt>
                <c:pt idx="36">
                  <c:v>86.084775203522014</c:v>
                </c:pt>
                <c:pt idx="37">
                  <c:v>86.064138133544859</c:v>
                </c:pt>
                <c:pt idx="38">
                  <c:v>85.906816780393342</c:v>
                </c:pt>
                <c:pt idx="39">
                  <c:v>85.854298338940708</c:v>
                </c:pt>
                <c:pt idx="40">
                  <c:v>85.676013232494512</c:v>
                </c:pt>
                <c:pt idx="41">
                  <c:v>85.574582674005825</c:v>
                </c:pt>
                <c:pt idx="42">
                  <c:v>85.541862026731749</c:v>
                </c:pt>
                <c:pt idx="43">
                  <c:v>85.470285287194898</c:v>
                </c:pt>
                <c:pt idx="44">
                  <c:v>85.247999326678922</c:v>
                </c:pt>
                <c:pt idx="45">
                  <c:v>85.215066128773415</c:v>
                </c:pt>
                <c:pt idx="46">
                  <c:v>85.076646291930146</c:v>
                </c:pt>
                <c:pt idx="47">
                  <c:v>85.054382684796764</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0-70D4-4211-AAA4-6B392D3758EB}"/>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112"/>
                <c:pt idx="111">
                  <c:v>u</c:v>
                </c:pt>
              </c:strCache>
            </c:strRef>
          </c:cat>
          <c:val>
            <c:numRef>
              <c:f>[0]!SecQuart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85.027168137497483</c:v>
                </c:pt>
                <c:pt idx="49">
                  <c:v>84.856066522804923</c:v>
                </c:pt>
                <c:pt idx="50">
                  <c:v>84.822746132255403</c:v>
                </c:pt>
                <c:pt idx="51">
                  <c:v>84.809410038344751</c:v>
                </c:pt>
                <c:pt idx="52">
                  <c:v>84.789792468125</c:v>
                </c:pt>
                <c:pt idx="53">
                  <c:v>84.721098664588297</c:v>
                </c:pt>
                <c:pt idx="54">
                  <c:v>84.648901808129352</c:v>
                </c:pt>
                <c:pt idx="55">
                  <c:v>84.59649502432238</c:v>
                </c:pt>
                <c:pt idx="56">
                  <c:v>84.592552123348014</c:v>
                </c:pt>
                <c:pt idx="57">
                  <c:v>84.546138016991605</c:v>
                </c:pt>
                <c:pt idx="58">
                  <c:v>84.445353929306265</c:v>
                </c:pt>
                <c:pt idx="59">
                  <c:v>84.392635536883759</c:v>
                </c:pt>
                <c:pt idx="60">
                  <c:v>84.329753971580772</c:v>
                </c:pt>
                <c:pt idx="61">
                  <c:v>84.209913044611554</c:v>
                </c:pt>
                <c:pt idx="62">
                  <c:v>84.086894313342043</c:v>
                </c:pt>
                <c:pt idx="63">
                  <c:v>84.019006352306462</c:v>
                </c:pt>
                <c:pt idx="64">
                  <c:v>83.964601414595634</c:v>
                </c:pt>
                <c:pt idx="65">
                  <c:v>83.903318587367835</c:v>
                </c:pt>
                <c:pt idx="66">
                  <c:v>83.883886554025949</c:v>
                </c:pt>
                <c:pt idx="67">
                  <c:v>83.875838794352973</c:v>
                </c:pt>
                <c:pt idx="68">
                  <c:v>83.863003731213638</c:v>
                </c:pt>
                <c:pt idx="69">
                  <c:v>83.841518911555866</c:v>
                </c:pt>
                <c:pt idx="70">
                  <c:v>83.82997141888039</c:v>
                </c:pt>
                <c:pt idx="71">
                  <c:v>83.768341906905448</c:v>
                </c:pt>
                <c:pt idx="72">
                  <c:v>83.733643776664906</c:v>
                </c:pt>
                <c:pt idx="73">
                  <c:v>83.691511995421209</c:v>
                </c:pt>
                <c:pt idx="74">
                  <c:v>83.687660389800357</c:v>
                </c:pt>
                <c:pt idx="75">
                  <c:v>83.68457648705197</c:v>
                </c:pt>
                <c:pt idx="76">
                  <c:v>83.662806862085901</c:v>
                </c:pt>
                <c:pt idx="77">
                  <c:v>83.64737913261456</c:v>
                </c:pt>
                <c:pt idx="78">
                  <c:v>83.63407904013485</c:v>
                </c:pt>
                <c:pt idx="79">
                  <c:v>83.547297464267089</c:v>
                </c:pt>
                <c:pt idx="80">
                  <c:v>83.542192231378465</c:v>
                </c:pt>
                <c:pt idx="81">
                  <c:v>83.532113859185614</c:v>
                </c:pt>
                <c:pt idx="82">
                  <c:v>83.514650079811418</c:v>
                </c:pt>
                <c:pt idx="83">
                  <c:v>83.504014848256801</c:v>
                </c:pt>
                <c:pt idx="84">
                  <c:v>83.438744533859193</c:v>
                </c:pt>
                <c:pt idx="85">
                  <c:v>83.403242624283962</c:v>
                </c:pt>
                <c:pt idx="86">
                  <c:v>83.369638917778488</c:v>
                </c:pt>
                <c:pt idx="87">
                  <c:v>83.278576579806554</c:v>
                </c:pt>
                <c:pt idx="88">
                  <c:v>83.146927184978921</c:v>
                </c:pt>
                <c:pt idx="89">
                  <c:v>83.096861801507984</c:v>
                </c:pt>
                <c:pt idx="90">
                  <c:v>83.007360126079334</c:v>
                </c:pt>
                <c:pt idx="91">
                  <c:v>82.960311715456797</c:v>
                </c:pt>
                <c:pt idx="92">
                  <c:v>82.891590896344596</c:v>
                </c:pt>
                <c:pt idx="93">
                  <c:v>82.61342625664426</c:v>
                </c:pt>
                <c:pt idx="94">
                  <c:v>82.576163755771162</c:v>
                </c:pt>
                <c:pt idx="95">
                  <c:v>82.399382815606671</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1-70D4-4211-AAA4-6B392D3758EB}"/>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112"/>
                <c:pt idx="111">
                  <c:v>u</c:v>
                </c:pt>
              </c:strCache>
            </c:strRef>
          </c:cat>
          <c:val>
            <c:numRef>
              <c:f>[0]!ThirdQuart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82.398000952590905</c:v>
                </c:pt>
                <c:pt idx="97">
                  <c:v>82.385392027866203</c:v>
                </c:pt>
                <c:pt idx="98">
                  <c:v>82.368862451168795</c:v>
                </c:pt>
                <c:pt idx="99">
                  <c:v>82.305033352848682</c:v>
                </c:pt>
                <c:pt idx="100">
                  <c:v>82.285651741674101</c:v>
                </c:pt>
                <c:pt idx="101">
                  <c:v>82.262658428886581</c:v>
                </c:pt>
                <c:pt idx="102">
                  <c:v>82.233358963034703</c:v>
                </c:pt>
                <c:pt idx="103">
                  <c:v>82.232358007265006</c:v>
                </c:pt>
                <c:pt idx="104">
                  <c:v>82.166266846252938</c:v>
                </c:pt>
                <c:pt idx="105">
                  <c:v>82.162549633028988</c:v>
                </c:pt>
                <c:pt idx="106">
                  <c:v>82.144881546139516</c:v>
                </c:pt>
                <c:pt idx="107">
                  <c:v>82.07013394594594</c:v>
                </c:pt>
                <c:pt idx="108">
                  <c:v>81.9033742825373</c:v>
                </c:pt>
                <c:pt idx="109">
                  <c:v>81.854505504974455</c:v>
                </c:pt>
                <c:pt idx="110">
                  <c:v>81.826191824274247</c:v>
                </c:pt>
                <c:pt idx="111">
                  <c:v>81.774925961121198</c:v>
                </c:pt>
                <c:pt idx="112">
                  <c:v>81.713744611381074</c:v>
                </c:pt>
                <c:pt idx="113">
                  <c:v>81.688187142593478</c:v>
                </c:pt>
                <c:pt idx="114">
                  <c:v>81.685036915300657</c:v>
                </c:pt>
                <c:pt idx="115">
                  <c:v>81.684854523733151</c:v>
                </c:pt>
                <c:pt idx="116">
                  <c:v>81.67035568373511</c:v>
                </c:pt>
                <c:pt idx="117">
                  <c:v>81.629870580627141</c:v>
                </c:pt>
                <c:pt idx="118">
                  <c:v>81.494755210460639</c:v>
                </c:pt>
                <c:pt idx="119">
                  <c:v>81.439089525575824</c:v>
                </c:pt>
                <c:pt idx="120">
                  <c:v>81.321531256910234</c:v>
                </c:pt>
                <c:pt idx="121">
                  <c:v>81.305855513372521</c:v>
                </c:pt>
                <c:pt idx="122">
                  <c:v>81.262824445002224</c:v>
                </c:pt>
                <c:pt idx="123">
                  <c:v>81.156135136736367</c:v>
                </c:pt>
                <c:pt idx="124">
                  <c:v>81.117393248129574</c:v>
                </c:pt>
                <c:pt idx="125">
                  <c:v>81.09538839596307</c:v>
                </c:pt>
                <c:pt idx="126">
                  <c:v>81.08571466065861</c:v>
                </c:pt>
                <c:pt idx="127">
                  <c:v>81.003820275127808</c:v>
                </c:pt>
                <c:pt idx="128">
                  <c:v>80.987988076128133</c:v>
                </c:pt>
                <c:pt idx="129">
                  <c:v>80.749600024003115</c:v>
                </c:pt>
                <c:pt idx="130">
                  <c:v>80.733315578469814</c:v>
                </c:pt>
                <c:pt idx="131">
                  <c:v>80.638596603709118</c:v>
                </c:pt>
                <c:pt idx="132">
                  <c:v>80.628429131598295</c:v>
                </c:pt>
                <c:pt idx="133">
                  <c:v>80.526976949454593</c:v>
                </c:pt>
                <c:pt idx="134">
                  <c:v>80.519686940843357</c:v>
                </c:pt>
                <c:pt idx="135">
                  <c:v>80.452729669141519</c:v>
                </c:pt>
                <c:pt idx="136">
                  <c:v>80.404348716541534</c:v>
                </c:pt>
                <c:pt idx="137">
                  <c:v>80.378583310933735</c:v>
                </c:pt>
                <c:pt idx="138">
                  <c:v>80.353941162409996</c:v>
                </c:pt>
                <c:pt idx="139">
                  <c:v>80.306839481483934</c:v>
                </c:pt>
                <c:pt idx="140">
                  <c:v>80.295471478328167</c:v>
                </c:pt>
                <c:pt idx="141">
                  <c:v>80.236066546602927</c:v>
                </c:pt>
                <c:pt idx="142">
                  <c:v>80.124545311152787</c:v>
                </c:pt>
                <c:pt idx="143">
                  <c:v>80.06415858676192</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2-70D4-4211-AAA4-6B392D3758EB}"/>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112"/>
                <c:pt idx="111">
                  <c:v>u</c:v>
                </c:pt>
              </c:strCache>
            </c:strRef>
          </c:cat>
          <c:val>
            <c:numRef>
              <c:f>[0]!BotQuart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79.971389270307597</c:v>
                </c:pt>
                <c:pt idx="145">
                  <c:v>79.937146240817597</c:v>
                </c:pt>
                <c:pt idx="146">
                  <c:v>79.710929981788055</c:v>
                </c:pt>
                <c:pt idx="147">
                  <c:v>79.637339452150854</c:v>
                </c:pt>
                <c:pt idx="148">
                  <c:v>79.493690785563018</c:v>
                </c:pt>
                <c:pt idx="149">
                  <c:v>79.378053689378845</c:v>
                </c:pt>
                <c:pt idx="150">
                  <c:v>79.150372986211494</c:v>
                </c:pt>
                <c:pt idx="151">
                  <c:v>79.146909289786848</c:v>
                </c:pt>
                <c:pt idx="152">
                  <c:v>79.033513267818861</c:v>
                </c:pt>
                <c:pt idx="153">
                  <c:v>78.94026222564095</c:v>
                </c:pt>
                <c:pt idx="154">
                  <c:v>78.89244691922211</c:v>
                </c:pt>
                <c:pt idx="155">
                  <c:v>78.87145783625418</c:v>
                </c:pt>
                <c:pt idx="156">
                  <c:v>78.783205335978252</c:v>
                </c:pt>
                <c:pt idx="157">
                  <c:v>78.582258343408768</c:v>
                </c:pt>
                <c:pt idx="158">
                  <c:v>78.495439019773201</c:v>
                </c:pt>
                <c:pt idx="159">
                  <c:v>78.473297784856797</c:v>
                </c:pt>
                <c:pt idx="160">
                  <c:v>78.360742506828757</c:v>
                </c:pt>
                <c:pt idx="161">
                  <c:v>78.312667209779903</c:v>
                </c:pt>
                <c:pt idx="162">
                  <c:v>78.006482947598514</c:v>
                </c:pt>
                <c:pt idx="163">
                  <c:v>77.970266597016874</c:v>
                </c:pt>
                <c:pt idx="164">
                  <c:v>77.923250980222676</c:v>
                </c:pt>
                <c:pt idx="165">
                  <c:v>77.893606900581304</c:v>
                </c:pt>
                <c:pt idx="166">
                  <c:v>77.878464707712496</c:v>
                </c:pt>
                <c:pt idx="167">
                  <c:v>77.737873022638354</c:v>
                </c:pt>
                <c:pt idx="168">
                  <c:v>77.551421506656155</c:v>
                </c:pt>
                <c:pt idx="169">
                  <c:v>77.376417647046452</c:v>
                </c:pt>
                <c:pt idx="170">
                  <c:v>77.300064284355642</c:v>
                </c:pt>
                <c:pt idx="171">
                  <c:v>76.997319645735686</c:v>
                </c:pt>
                <c:pt idx="172">
                  <c:v>76.980907264177205</c:v>
                </c:pt>
                <c:pt idx="173">
                  <c:v>76.757911292992603</c:v>
                </c:pt>
                <c:pt idx="174">
                  <c:v>76.551521459605794</c:v>
                </c:pt>
                <c:pt idx="175">
                  <c:v>76.535403940595032</c:v>
                </c:pt>
                <c:pt idx="176">
                  <c:v>76.413114292483286</c:v>
                </c:pt>
                <c:pt idx="177">
                  <c:v>76.277737156810716</c:v>
                </c:pt>
                <c:pt idx="178">
                  <c:v>76.132935045242377</c:v>
                </c:pt>
                <c:pt idx="179">
                  <c:v>76.059769934592339</c:v>
                </c:pt>
                <c:pt idx="180">
                  <c:v>76.033457429563455</c:v>
                </c:pt>
                <c:pt idx="181">
                  <c:v>75.921860953740193</c:v>
                </c:pt>
                <c:pt idx="182">
                  <c:v>75.92105706500837</c:v>
                </c:pt>
                <c:pt idx="183">
                  <c:v>75.635752488429077</c:v>
                </c:pt>
                <c:pt idx="184">
                  <c:v>75.166170890927546</c:v>
                </c:pt>
                <c:pt idx="185">
                  <c:v>74.692429033356589</c:v>
                </c:pt>
                <c:pt idx="186">
                  <c:v>74.535433975926495</c:v>
                </c:pt>
                <c:pt idx="187">
                  <c:v>74.465846906570832</c:v>
                </c:pt>
                <c:pt idx="188">
                  <c:v>74.132264342587916</c:v>
                </c:pt>
                <c:pt idx="189">
                  <c:v>73.409718940341691</c:v>
                </c:pt>
                <c:pt idx="190">
                  <c:v>73.035481687795397</c:v>
                </c:pt>
                <c:pt idx="191">
                  <c:v>72.682938952922342</c:v>
                </c:pt>
              </c:numCache>
            </c:numRef>
          </c:val>
          <c:extLst>
            <c:ext xmlns:c16="http://schemas.microsoft.com/office/drawing/2014/chart" uri="{C3380CC4-5D6E-409C-BE32-E72D297353CC}">
              <c16:uniqueId val="{00000003-70D4-4211-AAA4-6B392D3758EB}"/>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12"/>
                <c:pt idx="111">
                  <c:v>u</c:v>
                </c:pt>
              </c:strCache>
            </c:strRef>
          </c:cat>
          <c:val>
            <c:numRef>
              <c:f>[0]!MarkData</c:f>
              <c:numCache>
                <c:formatCode>0.00</c:formatCode>
                <c:ptCount val="192"/>
                <c:pt idx="0">
                  <c:v>90.450497364548298</c:v>
                </c:pt>
                <c:pt idx="1">
                  <c:v>89.877725719925976</c:v>
                </c:pt>
                <c:pt idx="2">
                  <c:v>89.804259171588328</c:v>
                </c:pt>
                <c:pt idx="3">
                  <c:v>89.749905538045041</c:v>
                </c:pt>
                <c:pt idx="4">
                  <c:v>89.410573933239718</c:v>
                </c:pt>
                <c:pt idx="5">
                  <c:v>89.385768010507832</c:v>
                </c:pt>
                <c:pt idx="6">
                  <c:v>88.850306199577062</c:v>
                </c:pt>
                <c:pt idx="7">
                  <c:v>88.154799004680399</c:v>
                </c:pt>
                <c:pt idx="8">
                  <c:v>88.114833574245324</c:v>
                </c:pt>
                <c:pt idx="9">
                  <c:v>88.090950078857276</c:v>
                </c:pt>
                <c:pt idx="10">
                  <c:v>87.858171031059385</c:v>
                </c:pt>
                <c:pt idx="11">
                  <c:v>87.850206267883763</c:v>
                </c:pt>
                <c:pt idx="12">
                  <c:v>87.778055448573227</c:v>
                </c:pt>
                <c:pt idx="13">
                  <c:v>87.667255896741864</c:v>
                </c:pt>
                <c:pt idx="14">
                  <c:v>87.647615077230469</c:v>
                </c:pt>
                <c:pt idx="15">
                  <c:v>87.528570676960697</c:v>
                </c:pt>
                <c:pt idx="16">
                  <c:v>87.493941229861846</c:v>
                </c:pt>
                <c:pt idx="17">
                  <c:v>87.469177998201303</c:v>
                </c:pt>
                <c:pt idx="18">
                  <c:v>87.156969497663397</c:v>
                </c:pt>
                <c:pt idx="19">
                  <c:v>86.93318830237007</c:v>
                </c:pt>
                <c:pt idx="20">
                  <c:v>86.790958981324778</c:v>
                </c:pt>
                <c:pt idx="21">
                  <c:v>86.767004660693942</c:v>
                </c:pt>
                <c:pt idx="22">
                  <c:v>86.690590013021321</c:v>
                </c:pt>
                <c:pt idx="23">
                  <c:v>86.676283490967094</c:v>
                </c:pt>
                <c:pt idx="24">
                  <c:v>86.613854711442926</c:v>
                </c:pt>
                <c:pt idx="25">
                  <c:v>86.607379837809205</c:v>
                </c:pt>
                <c:pt idx="26">
                  <c:v>86.591064229964161</c:v>
                </c:pt>
                <c:pt idx="27">
                  <c:v>86.534664357842871</c:v>
                </c:pt>
                <c:pt idx="28">
                  <c:v>86.368889654737089</c:v>
                </c:pt>
                <c:pt idx="29">
                  <c:v>86.323077218978213</c:v>
                </c:pt>
                <c:pt idx="30">
                  <c:v>86.183848082296933</c:v>
                </c:pt>
                <c:pt idx="31">
                  <c:v>86.168577447552352</c:v>
                </c:pt>
                <c:pt idx="32">
                  <c:v>86.165762834249961</c:v>
                </c:pt>
                <c:pt idx="33">
                  <c:v>86.158562537308995</c:v>
                </c:pt>
                <c:pt idx="34">
                  <c:v>86.127920184335537</c:v>
                </c:pt>
                <c:pt idx="35">
                  <c:v>86.124289461765642</c:v>
                </c:pt>
                <c:pt idx="36">
                  <c:v>86.084775203522014</c:v>
                </c:pt>
                <c:pt idx="37">
                  <c:v>86.064138133544859</c:v>
                </c:pt>
                <c:pt idx="38">
                  <c:v>85.906816780393342</c:v>
                </c:pt>
                <c:pt idx="39">
                  <c:v>85.854298338940708</c:v>
                </c:pt>
                <c:pt idx="40">
                  <c:v>85.676013232494512</c:v>
                </c:pt>
                <c:pt idx="41">
                  <c:v>85.574582674005825</c:v>
                </c:pt>
                <c:pt idx="42">
                  <c:v>85.541862026731749</c:v>
                </c:pt>
                <c:pt idx="43">
                  <c:v>85.470285287194898</c:v>
                </c:pt>
                <c:pt idx="44">
                  <c:v>85.247999326678922</c:v>
                </c:pt>
                <c:pt idx="45">
                  <c:v>85.215066128773415</c:v>
                </c:pt>
                <c:pt idx="46">
                  <c:v>85.076646291930146</c:v>
                </c:pt>
                <c:pt idx="47">
                  <c:v>85.054382684796764</c:v>
                </c:pt>
                <c:pt idx="48">
                  <c:v>85.027168137497483</c:v>
                </c:pt>
                <c:pt idx="49">
                  <c:v>84.856066522804923</c:v>
                </c:pt>
                <c:pt idx="50">
                  <c:v>84.822746132255403</c:v>
                </c:pt>
                <c:pt idx="51">
                  <c:v>84.809410038344751</c:v>
                </c:pt>
                <c:pt idx="52">
                  <c:v>84.789792468125</c:v>
                </c:pt>
                <c:pt idx="53">
                  <c:v>84.721098664588297</c:v>
                </c:pt>
                <c:pt idx="54">
                  <c:v>84.648901808129352</c:v>
                </c:pt>
                <c:pt idx="55">
                  <c:v>84.59649502432238</c:v>
                </c:pt>
                <c:pt idx="56">
                  <c:v>84.592552123348014</c:v>
                </c:pt>
                <c:pt idx="57">
                  <c:v>84.546138016991605</c:v>
                </c:pt>
                <c:pt idx="58">
                  <c:v>84.445353929306265</c:v>
                </c:pt>
                <c:pt idx="59">
                  <c:v>84.392635536883759</c:v>
                </c:pt>
                <c:pt idx="60">
                  <c:v>84.329753971580772</c:v>
                </c:pt>
                <c:pt idx="61">
                  <c:v>84.209913044611554</c:v>
                </c:pt>
                <c:pt idx="62">
                  <c:v>84.086894313342043</c:v>
                </c:pt>
                <c:pt idx="63">
                  <c:v>84.019006352306462</c:v>
                </c:pt>
                <c:pt idx="64">
                  <c:v>83.964601414595634</c:v>
                </c:pt>
                <c:pt idx="65">
                  <c:v>83.903318587367835</c:v>
                </c:pt>
                <c:pt idx="66">
                  <c:v>83.883886554025949</c:v>
                </c:pt>
                <c:pt idx="67">
                  <c:v>83.875838794352973</c:v>
                </c:pt>
                <c:pt idx="68">
                  <c:v>83.863003731213638</c:v>
                </c:pt>
                <c:pt idx="69">
                  <c:v>83.841518911555866</c:v>
                </c:pt>
                <c:pt idx="70">
                  <c:v>83.82997141888039</c:v>
                </c:pt>
                <c:pt idx="71">
                  <c:v>83.768341906905448</c:v>
                </c:pt>
                <c:pt idx="72">
                  <c:v>83.733643776664906</c:v>
                </c:pt>
                <c:pt idx="73">
                  <c:v>83.691511995421209</c:v>
                </c:pt>
                <c:pt idx="74">
                  <c:v>83.687660389800357</c:v>
                </c:pt>
                <c:pt idx="75">
                  <c:v>83.68457648705197</c:v>
                </c:pt>
                <c:pt idx="76">
                  <c:v>83.662806862085901</c:v>
                </c:pt>
                <c:pt idx="77">
                  <c:v>83.64737913261456</c:v>
                </c:pt>
                <c:pt idx="78">
                  <c:v>83.63407904013485</c:v>
                </c:pt>
                <c:pt idx="79">
                  <c:v>83.547297464267089</c:v>
                </c:pt>
                <c:pt idx="80">
                  <c:v>83.542192231378465</c:v>
                </c:pt>
                <c:pt idx="81">
                  <c:v>83.532113859185614</c:v>
                </c:pt>
                <c:pt idx="82">
                  <c:v>83.514650079811418</c:v>
                </c:pt>
                <c:pt idx="83">
                  <c:v>83.504014848256801</c:v>
                </c:pt>
                <c:pt idx="84">
                  <c:v>83.438744533859193</c:v>
                </c:pt>
                <c:pt idx="85">
                  <c:v>83.403242624283962</c:v>
                </c:pt>
                <c:pt idx="86">
                  <c:v>83.369638917778488</c:v>
                </c:pt>
                <c:pt idx="87">
                  <c:v>83.278576579806554</c:v>
                </c:pt>
                <c:pt idx="88">
                  <c:v>83.146927184978921</c:v>
                </c:pt>
                <c:pt idx="89">
                  <c:v>83.096861801507984</c:v>
                </c:pt>
                <c:pt idx="90">
                  <c:v>83.007360126079334</c:v>
                </c:pt>
                <c:pt idx="91">
                  <c:v>82.960311715456797</c:v>
                </c:pt>
                <c:pt idx="92">
                  <c:v>82.891590896344596</c:v>
                </c:pt>
                <c:pt idx="93">
                  <c:v>82.61342625664426</c:v>
                </c:pt>
                <c:pt idx="94">
                  <c:v>82.576163755771162</c:v>
                </c:pt>
                <c:pt idx="95">
                  <c:v>82.399382815606671</c:v>
                </c:pt>
                <c:pt idx="96">
                  <c:v>82.398000952590905</c:v>
                </c:pt>
                <c:pt idx="97">
                  <c:v>82.385392027866203</c:v>
                </c:pt>
                <c:pt idx="98">
                  <c:v>82.368862451168795</c:v>
                </c:pt>
                <c:pt idx="99">
                  <c:v>82.305033352848682</c:v>
                </c:pt>
                <c:pt idx="100">
                  <c:v>82.285651741674101</c:v>
                </c:pt>
                <c:pt idx="101">
                  <c:v>82.262658428886581</c:v>
                </c:pt>
                <c:pt idx="102">
                  <c:v>82.233358963034703</c:v>
                </c:pt>
                <c:pt idx="103">
                  <c:v>82.232358007265006</c:v>
                </c:pt>
                <c:pt idx="104">
                  <c:v>82.166266846252938</c:v>
                </c:pt>
                <c:pt idx="105">
                  <c:v>82.162549633028988</c:v>
                </c:pt>
                <c:pt idx="106">
                  <c:v>82.144881546139516</c:v>
                </c:pt>
                <c:pt idx="107">
                  <c:v>82.07013394594594</c:v>
                </c:pt>
                <c:pt idx="108">
                  <c:v>81.9033742825373</c:v>
                </c:pt>
                <c:pt idx="109">
                  <c:v>81.854505504974455</c:v>
                </c:pt>
                <c:pt idx="110">
                  <c:v>81.826191824274247</c:v>
                </c:pt>
                <c:pt idx="111">
                  <c:v>81.774925961121198</c:v>
                </c:pt>
                <c:pt idx="112">
                  <c:v>81.713744611381074</c:v>
                </c:pt>
                <c:pt idx="113">
                  <c:v>81.688187142593478</c:v>
                </c:pt>
                <c:pt idx="114">
                  <c:v>81.685036915300657</c:v>
                </c:pt>
                <c:pt idx="115">
                  <c:v>81.684854523733151</c:v>
                </c:pt>
                <c:pt idx="116">
                  <c:v>81.67035568373511</c:v>
                </c:pt>
                <c:pt idx="117">
                  <c:v>81.629870580627141</c:v>
                </c:pt>
                <c:pt idx="118">
                  <c:v>81.494755210460639</c:v>
                </c:pt>
                <c:pt idx="119">
                  <c:v>81.439089525575824</c:v>
                </c:pt>
                <c:pt idx="120">
                  <c:v>81.321531256910234</c:v>
                </c:pt>
                <c:pt idx="121">
                  <c:v>81.305855513372521</c:v>
                </c:pt>
                <c:pt idx="122">
                  <c:v>81.262824445002224</c:v>
                </c:pt>
                <c:pt idx="123">
                  <c:v>81.156135136736367</c:v>
                </c:pt>
                <c:pt idx="124">
                  <c:v>81.117393248129574</c:v>
                </c:pt>
                <c:pt idx="125">
                  <c:v>81.09538839596307</c:v>
                </c:pt>
                <c:pt idx="126">
                  <c:v>81.08571466065861</c:v>
                </c:pt>
                <c:pt idx="127">
                  <c:v>81.003820275127808</c:v>
                </c:pt>
                <c:pt idx="128">
                  <c:v>80.987988076128133</c:v>
                </c:pt>
                <c:pt idx="129">
                  <c:v>80.749600024003115</c:v>
                </c:pt>
                <c:pt idx="130">
                  <c:v>80.733315578469814</c:v>
                </c:pt>
                <c:pt idx="131">
                  <c:v>80.638596603709118</c:v>
                </c:pt>
                <c:pt idx="132">
                  <c:v>80.628429131598295</c:v>
                </c:pt>
                <c:pt idx="133">
                  <c:v>80.526976949454593</c:v>
                </c:pt>
                <c:pt idx="134">
                  <c:v>80.519686940843357</c:v>
                </c:pt>
                <c:pt idx="135">
                  <c:v>80.452729669141519</c:v>
                </c:pt>
                <c:pt idx="136">
                  <c:v>80.404348716541534</c:v>
                </c:pt>
                <c:pt idx="137">
                  <c:v>80.378583310933735</c:v>
                </c:pt>
                <c:pt idx="138">
                  <c:v>80.353941162409996</c:v>
                </c:pt>
                <c:pt idx="139">
                  <c:v>80.306839481483934</c:v>
                </c:pt>
                <c:pt idx="140">
                  <c:v>80.295471478328167</c:v>
                </c:pt>
                <c:pt idx="141">
                  <c:v>80.236066546602927</c:v>
                </c:pt>
                <c:pt idx="142">
                  <c:v>80.124545311152787</c:v>
                </c:pt>
                <c:pt idx="143">
                  <c:v>80.06415858676192</c:v>
                </c:pt>
                <c:pt idx="144">
                  <c:v>79.971389270307597</c:v>
                </c:pt>
                <c:pt idx="145">
                  <c:v>79.937146240817597</c:v>
                </c:pt>
                <c:pt idx="146">
                  <c:v>79.710929981788055</c:v>
                </c:pt>
                <c:pt idx="147">
                  <c:v>79.637339452150854</c:v>
                </c:pt>
                <c:pt idx="148">
                  <c:v>79.493690785563018</c:v>
                </c:pt>
                <c:pt idx="149">
                  <c:v>79.378053689378845</c:v>
                </c:pt>
                <c:pt idx="150">
                  <c:v>79.150372986211494</c:v>
                </c:pt>
                <c:pt idx="151">
                  <c:v>79.146909289786848</c:v>
                </c:pt>
                <c:pt idx="152">
                  <c:v>79.033513267818861</c:v>
                </c:pt>
                <c:pt idx="153">
                  <c:v>78.94026222564095</c:v>
                </c:pt>
                <c:pt idx="154">
                  <c:v>78.89244691922211</c:v>
                </c:pt>
                <c:pt idx="155">
                  <c:v>78.87145783625418</c:v>
                </c:pt>
                <c:pt idx="156">
                  <c:v>78.783205335978252</c:v>
                </c:pt>
                <c:pt idx="157">
                  <c:v>78.582258343408768</c:v>
                </c:pt>
                <c:pt idx="158">
                  <c:v>78.495439019773201</c:v>
                </c:pt>
                <c:pt idx="159">
                  <c:v>78.473297784856797</c:v>
                </c:pt>
                <c:pt idx="160">
                  <c:v>78.360742506828757</c:v>
                </c:pt>
                <c:pt idx="161">
                  <c:v>78.312667209779903</c:v>
                </c:pt>
                <c:pt idx="162">
                  <c:v>78.006482947598514</c:v>
                </c:pt>
                <c:pt idx="163">
                  <c:v>77.970266597016874</c:v>
                </c:pt>
                <c:pt idx="164">
                  <c:v>77.923250980222676</c:v>
                </c:pt>
                <c:pt idx="165">
                  <c:v>77.893606900581304</c:v>
                </c:pt>
                <c:pt idx="166">
                  <c:v>77.878464707712496</c:v>
                </c:pt>
                <c:pt idx="167">
                  <c:v>77.737873022638354</c:v>
                </c:pt>
                <c:pt idx="168">
                  <c:v>77.551421506656155</c:v>
                </c:pt>
                <c:pt idx="169">
                  <c:v>77.376417647046452</c:v>
                </c:pt>
                <c:pt idx="170">
                  <c:v>77.300064284355642</c:v>
                </c:pt>
                <c:pt idx="171">
                  <c:v>76.997319645735686</c:v>
                </c:pt>
                <c:pt idx="172">
                  <c:v>76.980907264177205</c:v>
                </c:pt>
                <c:pt idx="173">
                  <c:v>76.757911292992603</c:v>
                </c:pt>
                <c:pt idx="174">
                  <c:v>76.551521459605794</c:v>
                </c:pt>
                <c:pt idx="175">
                  <c:v>76.535403940595032</c:v>
                </c:pt>
                <c:pt idx="176">
                  <c:v>76.413114292483286</c:v>
                </c:pt>
                <c:pt idx="177">
                  <c:v>76.277737156810716</c:v>
                </c:pt>
                <c:pt idx="178">
                  <c:v>76.132935045242377</c:v>
                </c:pt>
                <c:pt idx="179">
                  <c:v>76.059769934592339</c:v>
                </c:pt>
                <c:pt idx="180">
                  <c:v>76.033457429563455</c:v>
                </c:pt>
                <c:pt idx="181">
                  <c:v>75.921860953740193</c:v>
                </c:pt>
                <c:pt idx="182">
                  <c:v>75.92105706500837</c:v>
                </c:pt>
                <c:pt idx="183">
                  <c:v>75.635752488429077</c:v>
                </c:pt>
                <c:pt idx="184">
                  <c:v>75.166170890927546</c:v>
                </c:pt>
                <c:pt idx="185">
                  <c:v>74.692429033356589</c:v>
                </c:pt>
                <c:pt idx="186">
                  <c:v>74.535433975926495</c:v>
                </c:pt>
                <c:pt idx="187">
                  <c:v>74.465846906570832</c:v>
                </c:pt>
                <c:pt idx="188">
                  <c:v>74.132264342587916</c:v>
                </c:pt>
                <c:pt idx="189">
                  <c:v>73.409718940341691</c:v>
                </c:pt>
                <c:pt idx="190">
                  <c:v>73.035481687795397</c:v>
                </c:pt>
                <c:pt idx="191">
                  <c:v>72.682938952922342</c:v>
                </c:pt>
              </c:numCache>
            </c:numRef>
          </c:val>
          <c:extLst>
            <c:ext xmlns:c16="http://schemas.microsoft.com/office/drawing/2014/chart" uri="{C3380CC4-5D6E-409C-BE32-E72D297353CC}">
              <c16:uniqueId val="{00000004-70D4-4211-AAA4-6B392D3758EB}"/>
            </c:ext>
          </c:extLst>
        </c:ser>
        <c:dLbls>
          <c:showLegendKey val="0"/>
          <c:showVal val="0"/>
          <c:showCatName val="0"/>
          <c:showSerName val="0"/>
          <c:showPercent val="0"/>
          <c:showBubbleSize val="0"/>
        </c:dLbls>
        <c:gapWidth val="0"/>
        <c:overlap val="100"/>
        <c:axId val="613548032"/>
        <c:axId val="613549568"/>
      </c:barChart>
      <c:catAx>
        <c:axId val="613548032"/>
        <c:scaling>
          <c:orientation val="minMax"/>
        </c:scaling>
        <c:delete val="0"/>
        <c:axPos val="b"/>
        <c:numFmt formatCode="General" sourceLinked="1"/>
        <c:majorTickMark val="none"/>
        <c:minorTickMark val="none"/>
        <c:tickLblPos val="none"/>
        <c:crossAx val="613549568"/>
        <c:crosses val="autoZero"/>
        <c:auto val="1"/>
        <c:lblAlgn val="ctr"/>
        <c:lblOffset val="100"/>
        <c:noMultiLvlLbl val="0"/>
      </c:catAx>
      <c:valAx>
        <c:axId val="613549568"/>
        <c:scaling>
          <c:orientation val="minMax"/>
        </c:scaling>
        <c:delete val="0"/>
        <c:axPos val="l"/>
        <c:numFmt formatCode="0" sourceLinked="0"/>
        <c:majorTickMark val="out"/>
        <c:minorTickMark val="none"/>
        <c:tickLblPos val="nextTo"/>
        <c:txPr>
          <a:bodyPr rot="0" vert="horz"/>
          <a:lstStyle/>
          <a:p>
            <a:pPr>
              <a:defRPr/>
            </a:pPr>
            <a:endParaRPr lang="en-US"/>
          </a:p>
        </c:txPr>
        <c:crossAx val="613548032"/>
        <c:crosses val="autoZero"/>
        <c:crossBetween val="between"/>
      </c:valAx>
      <c:spPr>
        <a:ln>
          <a:noFill/>
        </a:ln>
      </c:spPr>
    </c:plotArea>
    <c:plotVisOnly val="1"/>
    <c:dispBlanksAs val="gap"/>
    <c:showDLblsOverMax val="0"/>
  </c:chart>
  <c:spPr>
    <a:ln>
      <a:noFill/>
    </a:ln>
  </c:spPr>
  <c:printSettings>
    <c:headerFooter alignWithMargins="0"/>
    <c:pageMargins b="0.75000000000000366" l="0.70000000000000062" r="0.70000000000000062" t="0.750000000000003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05"/>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F338-4DC3-86B2-E40FC7FD9679}"/>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F338-4DC3-86B2-E40FC7FD9679}"/>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F338-4DC3-86B2-E40FC7FD9679}"/>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F338-4DC3-86B2-E40FC7FD9679}"/>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F338-4DC3-86B2-E40FC7FD9679}"/>
              </c:ext>
            </c:extLst>
          </c:dPt>
          <c:cat>
            <c:strRef>
              <c:f>Profile!$D$48:$D$53</c:f>
              <c:strCache>
                <c:ptCount val="4"/>
                <c:pt idx="0">
                  <c:v>Allerdale</c:v>
                </c:pt>
                <c:pt idx="1">
                  <c:v>Districts</c:v>
                </c:pt>
                <c:pt idx="2">
                  <c:v>Cumbria</c:v>
                </c:pt>
                <c:pt idx="3">
                  <c:v> Mainly Rural (rural including hub towns &gt;=80%)  </c:v>
                </c:pt>
              </c:strCache>
            </c:strRef>
          </c:cat>
          <c:val>
            <c:numRef>
              <c:f>Profile!$E$48:$E$51</c:f>
              <c:numCache>
                <c:formatCode>0.00</c:formatCode>
                <c:ptCount val="4"/>
                <c:pt idx="0">
                  <c:v>81.774925961121198</c:v>
                </c:pt>
                <c:pt idx="1">
                  <c:v>82.352077646950292</c:v>
                </c:pt>
                <c:pt idx="2">
                  <c:v>83.050857059767125</c:v>
                </c:pt>
                <c:pt idx="3">
                  <c:v>83.050254507087686</c:v>
                </c:pt>
              </c:numCache>
            </c:numRef>
          </c:val>
          <c:extLst>
            <c:ext xmlns:c16="http://schemas.microsoft.com/office/drawing/2014/chart" uri="{C3380CC4-5D6E-409C-BE32-E72D297353CC}">
              <c16:uniqueId val="{00000005-F338-4DC3-86B2-E40FC7FD9679}"/>
            </c:ext>
          </c:extLst>
        </c:ser>
        <c:dLbls>
          <c:showLegendKey val="0"/>
          <c:showVal val="0"/>
          <c:showCatName val="0"/>
          <c:showSerName val="0"/>
          <c:showPercent val="0"/>
          <c:showBubbleSize val="0"/>
        </c:dLbls>
        <c:gapWidth val="39"/>
        <c:overlap val="100"/>
        <c:axId val="613586048"/>
        <c:axId val="61358758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85.03397177432231</c:v>
                </c:pt>
                <c:pt idx="1">
                  <c:v>85.03397177432231</c:v>
                </c:pt>
                <c:pt idx="2">
                  <c:v>85.03397177432231</c:v>
                </c:pt>
                <c:pt idx="3">
                  <c:v>85.03397177432231</c:v>
                </c:pt>
              </c:numCache>
            </c:numRef>
          </c:val>
          <c:smooth val="0"/>
          <c:extLst>
            <c:ext xmlns:c16="http://schemas.microsoft.com/office/drawing/2014/chart" uri="{C3380CC4-5D6E-409C-BE32-E72D297353CC}">
              <c16:uniqueId val="{00000006-F338-4DC3-86B2-E40FC7FD9679}"/>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82.398691884098781</c:v>
                </c:pt>
                <c:pt idx="1">
                  <c:v>82.398691884098781</c:v>
                </c:pt>
                <c:pt idx="2">
                  <c:v>82.398691884098781</c:v>
                </c:pt>
                <c:pt idx="3">
                  <c:v>82.398691884098781</c:v>
                </c:pt>
              </c:numCache>
            </c:numRef>
          </c:val>
          <c:smooth val="0"/>
          <c:extLst>
            <c:ext xmlns:c16="http://schemas.microsoft.com/office/drawing/2014/chart" uri="{C3380CC4-5D6E-409C-BE32-E72D297353CC}">
              <c16:uniqueId val="{00000007-F338-4DC3-86B2-E40FC7FD9679}"/>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80.040966257648336</c:v>
                </c:pt>
                <c:pt idx="1">
                  <c:v>80.040966257648336</c:v>
                </c:pt>
                <c:pt idx="2">
                  <c:v>80.040966257648336</c:v>
                </c:pt>
                <c:pt idx="3">
                  <c:v>80.040966257648336</c:v>
                </c:pt>
              </c:numCache>
            </c:numRef>
          </c:val>
          <c:smooth val="0"/>
          <c:extLst>
            <c:ext xmlns:c16="http://schemas.microsoft.com/office/drawing/2014/chart" uri="{C3380CC4-5D6E-409C-BE32-E72D297353CC}">
              <c16:uniqueId val="{00000008-F338-4DC3-86B2-E40FC7FD9679}"/>
            </c:ext>
          </c:extLst>
        </c:ser>
        <c:dLbls>
          <c:showLegendKey val="0"/>
          <c:showVal val="0"/>
          <c:showCatName val="0"/>
          <c:showSerName val="0"/>
          <c:showPercent val="0"/>
          <c:showBubbleSize val="0"/>
        </c:dLbls>
        <c:marker val="1"/>
        <c:smooth val="0"/>
        <c:axId val="613586048"/>
        <c:axId val="613587584"/>
      </c:lineChart>
      <c:catAx>
        <c:axId val="61358604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Calibri"/>
                <a:ea typeface="Calibri"/>
                <a:cs typeface="Calibri"/>
              </a:defRPr>
            </a:pPr>
            <a:endParaRPr lang="en-US"/>
          </a:p>
        </c:txPr>
        <c:crossAx val="613587584"/>
        <c:crosses val="autoZero"/>
        <c:auto val="1"/>
        <c:lblAlgn val="ctr"/>
        <c:lblOffset val="100"/>
        <c:noMultiLvlLbl val="0"/>
      </c:catAx>
      <c:valAx>
        <c:axId val="61358758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13586048"/>
        <c:crosses val="autoZero"/>
        <c:crossBetween val="between"/>
      </c:valAx>
    </c:plotArea>
    <c:legend>
      <c:legendPos val="b"/>
      <c:legendEntry>
        <c:idx val="0"/>
        <c:delete val="1"/>
      </c:legendEntry>
      <c:layout>
        <c:manualLayout>
          <c:xMode val="edge"/>
          <c:yMode val="edge"/>
          <c:x val="0.10120783739241859"/>
          <c:y val="0.90916944591436233"/>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57E-2"/>
          <c:y val="6.0725521892544924E-2"/>
          <c:w val="0.93589299789538694"/>
          <c:h val="0.66660374406841838"/>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FD76-4D7F-8156-2FC394544C68}"/>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FD76-4D7F-8156-2FC394544C68}"/>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FD76-4D7F-8156-2FC394544C68}"/>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FD76-4D7F-8156-2FC394544C68}"/>
              </c:ext>
            </c:extLst>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81.774925961121198</c:v>
                </c:pt>
                <c:pt idx="1">
                  <c:v>82.963061301000508</c:v>
                </c:pt>
                <c:pt idx="2">
                  <c:v>81.678483633906069</c:v>
                </c:pt>
                <c:pt idx="3">
                  <c:v>82.44539112143471</c:v>
                </c:pt>
              </c:numCache>
            </c:numRef>
          </c:val>
          <c:extLst>
            <c:ext xmlns:c16="http://schemas.microsoft.com/office/drawing/2014/chart" uri="{C3380CC4-5D6E-409C-BE32-E72D297353CC}">
              <c16:uniqueId val="{00000004-FD76-4D7F-8156-2FC394544C68}"/>
            </c:ext>
          </c:extLst>
        </c:ser>
        <c:dLbls>
          <c:showLegendKey val="0"/>
          <c:showVal val="0"/>
          <c:showCatName val="0"/>
          <c:showSerName val="0"/>
          <c:showPercent val="0"/>
          <c:showBubbleSize val="0"/>
        </c:dLbls>
        <c:gapWidth val="39"/>
        <c:overlap val="100"/>
        <c:axId val="620583552"/>
        <c:axId val="620601728"/>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85.03397177432231</c:v>
                </c:pt>
                <c:pt idx="1">
                  <c:v>85.03397177432231</c:v>
                </c:pt>
                <c:pt idx="2">
                  <c:v>85.03397177432231</c:v>
                </c:pt>
                <c:pt idx="3">
                  <c:v>85.03397177432231</c:v>
                </c:pt>
              </c:numCache>
            </c:numRef>
          </c:val>
          <c:smooth val="0"/>
          <c:extLst>
            <c:ext xmlns:c16="http://schemas.microsoft.com/office/drawing/2014/chart" uri="{C3380CC4-5D6E-409C-BE32-E72D297353CC}">
              <c16:uniqueId val="{00000005-FD76-4D7F-8156-2FC394544C68}"/>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82.398691884098781</c:v>
                </c:pt>
                <c:pt idx="1">
                  <c:v>82.398691884098781</c:v>
                </c:pt>
                <c:pt idx="2">
                  <c:v>82.398691884098781</c:v>
                </c:pt>
                <c:pt idx="3">
                  <c:v>82.398691884098781</c:v>
                </c:pt>
              </c:numCache>
            </c:numRef>
          </c:val>
          <c:smooth val="0"/>
          <c:extLst>
            <c:ext xmlns:c16="http://schemas.microsoft.com/office/drawing/2014/chart" uri="{C3380CC4-5D6E-409C-BE32-E72D297353CC}">
              <c16:uniqueId val="{00000006-FD76-4D7F-8156-2FC394544C68}"/>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80.040966257648336</c:v>
                </c:pt>
                <c:pt idx="1">
                  <c:v>80.040966257648336</c:v>
                </c:pt>
                <c:pt idx="2">
                  <c:v>80.040966257648336</c:v>
                </c:pt>
                <c:pt idx="3">
                  <c:v>80.040966257648336</c:v>
                </c:pt>
              </c:numCache>
            </c:numRef>
          </c:val>
          <c:smooth val="0"/>
          <c:extLst>
            <c:ext xmlns:c16="http://schemas.microsoft.com/office/drawing/2014/chart" uri="{C3380CC4-5D6E-409C-BE32-E72D297353CC}">
              <c16:uniqueId val="{00000007-FD76-4D7F-8156-2FC394544C68}"/>
            </c:ext>
          </c:extLst>
        </c:ser>
        <c:dLbls>
          <c:showLegendKey val="0"/>
          <c:showVal val="0"/>
          <c:showCatName val="0"/>
          <c:showSerName val="0"/>
          <c:showPercent val="0"/>
          <c:showBubbleSize val="0"/>
        </c:dLbls>
        <c:marker val="1"/>
        <c:smooth val="0"/>
        <c:axId val="620583552"/>
        <c:axId val="620601728"/>
      </c:lineChart>
      <c:catAx>
        <c:axId val="62058355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620601728"/>
        <c:crosses val="autoZero"/>
        <c:auto val="1"/>
        <c:lblAlgn val="ctr"/>
        <c:lblOffset val="100"/>
        <c:noMultiLvlLbl val="0"/>
      </c:catAx>
      <c:valAx>
        <c:axId val="620601728"/>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20583552"/>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05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335" t="str">
        <f>VLOOKUP('Filtered Data'!D1,'Filtered Data'!L1:O6,3,FALSE)</f>
        <v>District</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row>
    <row r="2" spans="2:40" s="249" customFormat="1"/>
    <row r="3" spans="2:40" s="249" customFormat="1" ht="19.5" customHeight="1">
      <c r="B3" s="293" t="str">
        <f>Data!B3</f>
        <v>Walking &amp; Cycling Statistics</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2:40" s="249" customFormat="1">
      <c r="D4" s="250"/>
      <c r="E4" s="250"/>
    </row>
    <row r="5" spans="2:40" s="249" customFormat="1" ht="15.75" customHeight="1">
      <c r="B5" s="291" t="s">
        <v>334</v>
      </c>
      <c r="C5" s="291"/>
      <c r="D5" s="291"/>
      <c r="E5" s="291"/>
      <c r="J5" s="321" t="s">
        <v>6</v>
      </c>
      <c r="K5" s="321"/>
      <c r="L5" s="321"/>
      <c r="M5" s="321"/>
      <c r="N5" s="321"/>
      <c r="O5" s="321"/>
      <c r="P5" s="321"/>
      <c r="Q5" s="321"/>
      <c r="R5" s="321"/>
      <c r="S5" s="321"/>
      <c r="W5" s="302" t="s">
        <v>361</v>
      </c>
      <c r="X5" s="303"/>
      <c r="Y5" s="303"/>
      <c r="Z5" s="303"/>
      <c r="AA5" s="303"/>
      <c r="AB5" s="303"/>
      <c r="AC5" s="303"/>
      <c r="AD5" s="303"/>
      <c r="AE5" s="303"/>
      <c r="AF5" s="303"/>
      <c r="AG5" s="303"/>
      <c r="AH5" s="303"/>
      <c r="AI5" s="303"/>
      <c r="AJ5" s="303"/>
      <c r="AK5" s="303"/>
      <c r="AL5" s="303"/>
      <c r="AM5" s="304"/>
    </row>
    <row r="6" spans="2:40" s="249" customFormat="1" ht="17.25" customHeight="1">
      <c r="J6" s="321"/>
      <c r="K6" s="321"/>
      <c r="L6" s="321"/>
      <c r="M6" s="321"/>
      <c r="N6" s="321"/>
      <c r="O6" s="321"/>
      <c r="P6" s="321"/>
      <c r="Q6" s="321"/>
      <c r="R6" s="321"/>
      <c r="S6" s="321"/>
      <c r="W6" s="305" t="s">
        <v>900</v>
      </c>
      <c r="X6" s="306"/>
      <c r="Y6" s="306"/>
      <c r="Z6" s="306"/>
      <c r="AA6" s="306"/>
      <c r="AB6" s="306"/>
      <c r="AC6" s="306"/>
      <c r="AD6" s="306"/>
      <c r="AE6" s="306"/>
      <c r="AF6" s="306"/>
      <c r="AG6" s="306"/>
      <c r="AH6" s="306"/>
      <c r="AI6" s="306"/>
      <c r="AJ6" s="306"/>
      <c r="AK6" s="306"/>
      <c r="AL6" s="306"/>
      <c r="AM6" s="307"/>
    </row>
    <row r="7" spans="2:40" s="249" customFormat="1" ht="12.75" customHeight="1">
      <c r="W7" s="305"/>
      <c r="X7" s="306"/>
      <c r="Y7" s="306"/>
      <c r="Z7" s="306"/>
      <c r="AA7" s="306"/>
      <c r="AB7" s="306"/>
      <c r="AC7" s="306"/>
      <c r="AD7" s="306"/>
      <c r="AE7" s="306"/>
      <c r="AF7" s="306"/>
      <c r="AG7" s="306"/>
      <c r="AH7" s="306"/>
      <c r="AI7" s="306"/>
      <c r="AJ7" s="306"/>
      <c r="AK7" s="306"/>
      <c r="AL7" s="306"/>
      <c r="AM7" s="307"/>
    </row>
    <row r="8" spans="2:40" s="249" customFormat="1" ht="12.75" customHeight="1">
      <c r="B8" s="291" t="str">
        <f>IF('Filtered Data'!D1="L","County:","Type of Authority:")</f>
        <v>Type of Authority:</v>
      </c>
      <c r="C8" s="291"/>
      <c r="D8" s="291"/>
      <c r="E8" s="291"/>
      <c r="F8" s="291"/>
      <c r="G8" s="291"/>
      <c r="H8" s="291"/>
      <c r="I8" s="291"/>
      <c r="J8" s="250" t="str">
        <f>IF('Filtered Data'!D1="L",'Filtered Data'!I3,VLOOKUP('Filtered Data'!D1,'Filtered Data'!L1:O5,3,FALSE))</f>
        <v>District</v>
      </c>
      <c r="K8" s="250"/>
      <c r="L8" s="250"/>
      <c r="M8" s="250"/>
      <c r="N8" s="250"/>
      <c r="O8" s="250"/>
      <c r="P8" s="250"/>
      <c r="Q8" s="250"/>
      <c r="R8" s="250"/>
      <c r="W8" s="305"/>
      <c r="X8" s="306"/>
      <c r="Y8" s="306"/>
      <c r="Z8" s="306"/>
      <c r="AA8" s="306"/>
      <c r="AB8" s="306"/>
      <c r="AC8" s="306"/>
      <c r="AD8" s="306"/>
      <c r="AE8" s="306"/>
      <c r="AF8" s="306"/>
      <c r="AG8" s="306"/>
      <c r="AH8" s="306"/>
      <c r="AI8" s="306"/>
      <c r="AJ8" s="306"/>
      <c r="AK8" s="306"/>
      <c r="AL8" s="306"/>
      <c r="AM8" s="307"/>
    </row>
    <row r="9" spans="2:40" s="249" customFormat="1" ht="12.75" customHeight="1">
      <c r="B9" s="291" t="str">
        <f>IF('Filtered Data'!D1="L","Rural Classification:","Region:")</f>
        <v>Region:</v>
      </c>
      <c r="C9" s="291"/>
      <c r="D9" s="291"/>
      <c r="E9" s="291"/>
      <c r="F9" s="291"/>
      <c r="G9" s="291"/>
      <c r="H9" s="291"/>
      <c r="I9" s="291"/>
      <c r="J9" s="250" t="str">
        <f>IF('Filtered Data'!D1="L",'Filtered Data'!H3,'Filtered Data'!G3)</f>
        <v>North West</v>
      </c>
      <c r="K9" s="250"/>
      <c r="L9" s="250"/>
      <c r="M9" s="250"/>
      <c r="N9" s="250"/>
      <c r="O9" s="250"/>
      <c r="P9" s="250"/>
      <c r="Q9" s="250"/>
      <c r="R9" s="250"/>
      <c r="W9" s="305"/>
      <c r="X9" s="306"/>
      <c r="Y9" s="306"/>
      <c r="Z9" s="306"/>
      <c r="AA9" s="306"/>
      <c r="AB9" s="306"/>
      <c r="AC9" s="306"/>
      <c r="AD9" s="306"/>
      <c r="AE9" s="306"/>
      <c r="AF9" s="306"/>
      <c r="AG9" s="306"/>
      <c r="AH9" s="306"/>
      <c r="AI9" s="306"/>
      <c r="AJ9" s="306"/>
      <c r="AK9" s="306"/>
      <c r="AL9" s="306"/>
      <c r="AM9" s="307"/>
    </row>
    <row r="10" spans="2:40" s="249" customFormat="1" ht="12.75" customHeight="1">
      <c r="B10" s="291" t="str">
        <f>IF('Filtered Data'!D1="L","",IF('Filtered Data'!D1="SC","Rural Classification:",IF('Filtered Data'!D1="UA","Rural Classification:","County:")))</f>
        <v>County:</v>
      </c>
      <c r="C10" s="291"/>
      <c r="D10" s="291"/>
      <c r="E10" s="291"/>
      <c r="F10" s="291"/>
      <c r="G10" s="291"/>
      <c r="H10" s="291"/>
      <c r="I10" s="291"/>
      <c r="J10" s="291" t="str">
        <f>IF('Filtered Data'!D1="L","",IF('Filtered Data'!D1="MD",'Filtered Data'!I3,IF('Filtered Data'!D1="SD",'Filtered Data'!I3,'Filtered Data'!H3)))</f>
        <v>Cumbria</v>
      </c>
      <c r="K10" s="291"/>
      <c r="L10" s="291"/>
      <c r="M10" s="291"/>
      <c r="N10" s="291"/>
      <c r="O10" s="291"/>
      <c r="P10" s="291"/>
      <c r="Q10" s="291"/>
      <c r="R10" s="291"/>
      <c r="W10" s="305"/>
      <c r="X10" s="306"/>
      <c r="Y10" s="306"/>
      <c r="Z10" s="306"/>
      <c r="AA10" s="306"/>
      <c r="AB10" s="306"/>
      <c r="AC10" s="306"/>
      <c r="AD10" s="306"/>
      <c r="AE10" s="306"/>
      <c r="AF10" s="306"/>
      <c r="AG10" s="306"/>
      <c r="AH10" s="306"/>
      <c r="AI10" s="306"/>
      <c r="AJ10" s="306"/>
      <c r="AK10" s="306"/>
      <c r="AL10" s="306"/>
      <c r="AM10" s="307"/>
    </row>
    <row r="11" spans="2:40" s="249" customFormat="1" ht="12.75" customHeight="1">
      <c r="B11" s="291" t="str">
        <f>IF('Filtered Data'!D1="L","",IF('Filtered Data'!D1="SC","",IF('Filtered Data'!D1="UA","","Rural Classification:")))</f>
        <v>Rural Classification:</v>
      </c>
      <c r="C11" s="291"/>
      <c r="D11" s="291"/>
      <c r="E11" s="291"/>
      <c r="F11" s="291"/>
      <c r="G11" s="291"/>
      <c r="H11" s="291"/>
      <c r="I11" s="291"/>
      <c r="J11" s="250" t="str">
        <f>IF('Filtered Data'!D1="MD",'Filtered Data'!H3,IF('Filtered Data'!D1="SD",'Filtered Data'!H3,""))</f>
        <v xml:space="preserve">Mainly Rural (rural including hub towns &gt;=80%) </v>
      </c>
      <c r="K11" s="250"/>
      <c r="W11" s="311" t="s">
        <v>364</v>
      </c>
      <c r="X11" s="312"/>
      <c r="Y11" s="312"/>
      <c r="Z11" s="312"/>
      <c r="AA11" s="312"/>
      <c r="AB11" s="312"/>
      <c r="AC11" s="312"/>
      <c r="AD11" s="312"/>
      <c r="AE11" s="312"/>
      <c r="AF11" s="312"/>
      <c r="AG11" s="312"/>
      <c r="AH11" s="312"/>
      <c r="AI11" s="312"/>
      <c r="AJ11" s="312"/>
      <c r="AK11" s="312"/>
      <c r="AL11" s="312"/>
      <c r="AM11" s="313"/>
    </row>
    <row r="12" spans="2:40" s="249" customFormat="1" ht="12.75" customHeight="1">
      <c r="W12" s="345" t="s">
        <v>902</v>
      </c>
      <c r="X12" s="346"/>
      <c r="Y12" s="346"/>
      <c r="Z12" s="346"/>
      <c r="AA12" s="346"/>
      <c r="AB12" s="346"/>
      <c r="AC12" s="346"/>
      <c r="AD12" s="346"/>
      <c r="AE12" s="346"/>
      <c r="AF12" s="346"/>
      <c r="AG12" s="346"/>
      <c r="AH12" s="346"/>
      <c r="AI12" s="346"/>
      <c r="AJ12" s="346"/>
      <c r="AK12" s="346"/>
      <c r="AL12" s="346"/>
      <c r="AM12" s="347"/>
    </row>
    <row r="13" spans="2:40" s="249" customFormat="1" ht="12.75" customHeight="1">
      <c r="B13" s="250"/>
      <c r="C13" s="250"/>
      <c r="D13" s="250"/>
      <c r="E13" s="250"/>
      <c r="F13" s="250"/>
      <c r="G13" s="250"/>
      <c r="H13" s="250"/>
      <c r="I13" s="250"/>
      <c r="J13" s="250"/>
      <c r="K13" s="250"/>
      <c r="L13" s="250"/>
      <c r="M13" s="250"/>
      <c r="N13" s="250"/>
      <c r="O13" s="250"/>
      <c r="P13" s="250"/>
      <c r="Q13" s="250"/>
      <c r="R13" s="250"/>
      <c r="W13" s="311" t="s">
        <v>365</v>
      </c>
      <c r="X13" s="312"/>
      <c r="Y13" s="312"/>
      <c r="Z13" s="312"/>
      <c r="AA13" s="312"/>
      <c r="AB13" s="312"/>
      <c r="AC13" s="312"/>
      <c r="AD13" s="312"/>
      <c r="AE13" s="312"/>
      <c r="AF13" s="312"/>
      <c r="AG13" s="312"/>
      <c r="AH13" s="312"/>
      <c r="AI13" s="312"/>
      <c r="AJ13" s="312"/>
      <c r="AK13" s="312"/>
      <c r="AL13" s="312"/>
      <c r="AM13" s="313"/>
    </row>
    <row r="14" spans="2:40" s="249" customFormat="1" ht="25.5" customHeight="1">
      <c r="B14" s="250"/>
      <c r="C14" s="250"/>
      <c r="D14" s="250"/>
      <c r="E14" s="250"/>
      <c r="F14" s="250"/>
      <c r="G14" s="250"/>
      <c r="H14" s="250"/>
      <c r="I14" s="250"/>
      <c r="J14" s="250"/>
      <c r="K14" s="250"/>
      <c r="L14" s="250"/>
      <c r="M14" s="250"/>
      <c r="N14" s="250"/>
      <c r="O14" s="250"/>
      <c r="P14" s="250"/>
      <c r="Q14" s="250"/>
      <c r="R14" s="250"/>
      <c r="W14" s="308" t="str">
        <f>HLOOKUP(W6,Data!4:6,3,FALSE)</f>
        <v>Department for Transport statistics</v>
      </c>
      <c r="X14" s="309"/>
      <c r="Y14" s="309"/>
      <c r="Z14" s="309"/>
      <c r="AA14" s="309"/>
      <c r="AB14" s="309"/>
      <c r="AC14" s="309"/>
      <c r="AD14" s="309"/>
      <c r="AE14" s="309"/>
      <c r="AF14" s="309"/>
      <c r="AG14" s="309"/>
      <c r="AH14" s="309"/>
      <c r="AI14" s="309"/>
      <c r="AJ14" s="309"/>
      <c r="AK14" s="309"/>
      <c r="AL14" s="309"/>
      <c r="AM14" s="310"/>
    </row>
    <row r="15" spans="2:40" s="249" customFormat="1"/>
    <row r="16" spans="2:40">
      <c r="B16" s="294" t="str">
        <f>W6&amp;" - "&amp;W12</f>
        <v>Proportion of residents who do any walking or cycling, at least once per month - 2018/19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316"/>
    </row>
    <row r="17" spans="2:42">
      <c r="B17" s="296"/>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317"/>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8" t="s">
        <v>340</v>
      </c>
      <c r="F32" s="320"/>
      <c r="G32" s="320"/>
      <c r="H32" s="320"/>
      <c r="I32" s="320"/>
      <c r="J32" s="320"/>
      <c r="K32" s="319">
        <f>IF('Filtered Data'!$H$8="..",'Filtered Data'!O10,'Filtered Data'!O10/100)</f>
        <v>85.03397177432231</v>
      </c>
      <c r="L32" s="319"/>
      <c r="M32" s="319"/>
      <c r="N32" s="318" t="s">
        <v>351</v>
      </c>
      <c r="O32" s="318"/>
      <c r="P32" s="318"/>
      <c r="Q32" s="318"/>
      <c r="R32" s="318"/>
      <c r="S32" s="318"/>
      <c r="T32" s="319">
        <f>IF('Filtered Data'!$H$8="..",'Filtered Data'!P10,'Filtered Data'!P10/100)</f>
        <v>82.398691884098781</v>
      </c>
      <c r="U32" s="319"/>
      <c r="V32" s="319"/>
      <c r="W32" s="319"/>
      <c r="X32" s="318" t="s">
        <v>352</v>
      </c>
      <c r="Y32" s="318"/>
      <c r="Z32" s="318"/>
      <c r="AA32" s="318"/>
      <c r="AB32" s="318"/>
      <c r="AC32" s="319">
        <f>IF('Filtered Data'!$H$8="..",'Filtered Data'!Q10,'Filtered Data'!Q10/100)</f>
        <v>80.040966257648336</v>
      </c>
      <c r="AD32" s="319"/>
      <c r="AE32" s="319"/>
      <c r="AF32" s="318" t="s">
        <v>341</v>
      </c>
      <c r="AG32" s="318"/>
      <c r="AH32" s="318"/>
      <c r="AI32" s="318"/>
      <c r="AJ32" s="318"/>
      <c r="AK32" s="318"/>
      <c r="AL32" s="318"/>
      <c r="AM32" s="227"/>
      <c r="AP32" s="220"/>
    </row>
    <row r="33" spans="2:42" s="249" customFormat="1">
      <c r="B33" s="249" t="str">
        <f>"The graph &amp; quartile information show data for all "&amp;V37&amp;" "&amp;VLOOKUP('Filtered Data'!D1,'Filtered Data'!L1:O6,3,FALSE)&amp;" councils in England."</f>
        <v>The graph &amp; quartile information show data for all 188 District councils in England.</v>
      </c>
      <c r="AP33" s="251"/>
    </row>
    <row r="34" spans="2:42" s="249" customFormat="1">
      <c r="AP34" s="251"/>
    </row>
    <row r="35" spans="2:42">
      <c r="B35" s="252" t="str">
        <f>J5</f>
        <v>Allerdale</v>
      </c>
      <c r="C35" s="252"/>
      <c r="D35" s="252"/>
      <c r="E35" s="252"/>
      <c r="F35" s="252"/>
      <c r="G35" s="252"/>
      <c r="H35" s="252"/>
      <c r="I35" s="252"/>
      <c r="J35" s="228"/>
      <c r="K35" s="229" t="s">
        <v>355</v>
      </c>
      <c r="L35" s="315">
        <f>IF(ISERROR(IF('Filtered Data'!$H$8="%.",(VLOOKUP(J5,'Filtered Data'!C:H,4,FALSE))/100,(VLOOKUP(J5,'Filtered Data'!C:H,4,FALSE)))),"",(IF('Filtered Data'!$H$8="%.",(VLOOKUP(J5,'Filtered Data'!C:H,4,FALSE))/100,(VLOOKUP(J5,'Filtered Data'!C:H,4,FALSE)))))</f>
        <v>81.774925961121198</v>
      </c>
      <c r="M35" s="315"/>
      <c r="N35" s="315"/>
      <c r="O35" s="315"/>
      <c r="P35" s="230"/>
      <c r="Q35" s="315" t="s">
        <v>353</v>
      </c>
      <c r="R35" s="315"/>
      <c r="S35" s="315"/>
      <c r="T35" s="315"/>
      <c r="U35" s="315"/>
      <c r="V35" s="315"/>
      <c r="W35" s="315"/>
      <c r="AB35" s="249"/>
      <c r="AC35" s="249"/>
      <c r="AD35" s="249"/>
      <c r="AE35" s="249"/>
      <c r="AF35" s="249"/>
      <c r="AG35" s="249"/>
      <c r="AH35" s="249"/>
      <c r="AI35" s="249"/>
      <c r="AJ35" s="249"/>
      <c r="AK35" s="249"/>
      <c r="AL35" s="249"/>
      <c r="AM35" s="249"/>
      <c r="AP35" s="220"/>
    </row>
    <row r="36" spans="2:42" ht="12.75" customHeight="1">
      <c r="B36" s="314" t="str">
        <f>'Filtered Data'!R8&amp;" Quartile"</f>
        <v>Third Quartile</v>
      </c>
      <c r="C36" s="314"/>
      <c r="D36" s="314"/>
      <c r="E36" s="314"/>
      <c r="F36" s="314"/>
      <c r="G36" s="314"/>
      <c r="H36" s="314"/>
      <c r="I36" s="314"/>
      <c r="J36" s="314"/>
      <c r="K36" s="314"/>
      <c r="L36" s="314"/>
      <c r="M36" s="314"/>
      <c r="N36" s="314"/>
      <c r="O36" s="314"/>
      <c r="P36" s="314"/>
      <c r="Q36" s="314"/>
      <c r="R36" s="314"/>
      <c r="S36" s="314"/>
      <c r="T36" s="314"/>
      <c r="U36" s="314"/>
      <c r="V36" s="314"/>
      <c r="W36" s="314"/>
      <c r="Z36" s="231" t="s">
        <v>357</v>
      </c>
      <c r="AB36" s="330" t="s">
        <v>359</v>
      </c>
      <c r="AC36" s="330"/>
      <c r="AD36" s="330"/>
      <c r="AE36" s="330"/>
      <c r="AF36" s="330"/>
      <c r="AG36" s="330"/>
      <c r="AH36" s="330"/>
      <c r="AI36" s="330"/>
      <c r="AJ36" s="330"/>
      <c r="AK36" s="330"/>
      <c r="AL36" s="330"/>
      <c r="AM36" s="257"/>
      <c r="AP36" s="220"/>
    </row>
    <row r="37" spans="2:42" ht="12.75" customHeight="1">
      <c r="B37" s="253" t="str">
        <f>VLOOKUP('Filtered Data'!D1,'Filtered Data'!L1:O6,2,FALSE)</f>
        <v>Districts</v>
      </c>
      <c r="C37" s="253"/>
      <c r="D37" s="253"/>
      <c r="E37" s="253"/>
      <c r="F37" s="253"/>
      <c r="G37" s="253"/>
      <c r="H37" s="253"/>
      <c r="I37" s="253"/>
      <c r="J37" s="323" t="s">
        <v>799</v>
      </c>
      <c r="K37" s="232" t="str">
        <f>IF(Q37="","",IF('Filtered Data'!I8="D",IF($L$35&gt;=L37,"J","L"),IF('Filtered Data'!I8="A",IF($L$35&lt;=L37,"J","L"))))</f>
        <v>L</v>
      </c>
      <c r="L37" s="328">
        <f>'Filtered Data'!M9</f>
        <v>82.352077646950292</v>
      </c>
      <c r="M37" s="328"/>
      <c r="N37" s="328"/>
      <c r="O37" s="328"/>
      <c r="P37" s="254"/>
      <c r="Q37" s="327">
        <f>VLOOKUP(J5,'Filtered Data'!C:I,7,FALSE)</f>
        <v>112</v>
      </c>
      <c r="R37" s="327"/>
      <c r="S37" s="255"/>
      <c r="T37" s="256" t="s">
        <v>354</v>
      </c>
      <c r="U37" s="256"/>
      <c r="V37" s="327">
        <f>COUNT('Filtered Data'!I11:I363)</f>
        <v>188</v>
      </c>
      <c r="W37" s="327"/>
      <c r="AB37" s="330"/>
      <c r="AC37" s="330"/>
      <c r="AD37" s="330"/>
      <c r="AE37" s="330"/>
      <c r="AF37" s="330"/>
      <c r="AG37" s="330"/>
      <c r="AH37" s="330"/>
      <c r="AI37" s="330"/>
      <c r="AJ37" s="330"/>
      <c r="AK37" s="330"/>
      <c r="AL37" s="330"/>
      <c r="AM37" s="257"/>
      <c r="AP37" s="220"/>
    </row>
    <row r="38" spans="2:42">
      <c r="B38" s="253" t="str">
        <f>IF('Filtered Data'!D1="L","Family",IF('Filtered Data'!D1="SD",VLOOKUP(J5,classifications!C:J,6,FALSE),"Rural"))</f>
        <v xml:space="preserve">Mainly Rural (rural including hub towns &gt;=80%) </v>
      </c>
      <c r="C38" s="253"/>
      <c r="D38" s="253"/>
      <c r="E38" s="253"/>
      <c r="F38" s="253"/>
      <c r="G38" s="253"/>
      <c r="H38" s="253"/>
      <c r="I38" s="253"/>
      <c r="J38" s="324"/>
      <c r="K38" s="232" t="str">
        <f>IF(Q38="","",IF('Filtered Data'!I8="D",IF($L$35&gt;=L38,"J","L"),IF('Filtered Data'!I8="A",IF($L$35&lt;=L38,"J","L"))))</f>
        <v>L</v>
      </c>
      <c r="L38" s="328">
        <f>IF('Filtered Data'!D1="L",'Filtered Data'!AG9,'Filtered Data'!Y9)</f>
        <v>83.050254507087686</v>
      </c>
      <c r="M38" s="328"/>
      <c r="N38" s="328"/>
      <c r="O38" s="328"/>
      <c r="P38" s="254"/>
      <c r="Q38" s="327">
        <f>IF(ISERROR(IF('Filtered Data'!D1="L",VLOOKUP(J5,'Filtered Data'!AF11:AH26,3,FALSE),VLOOKUP(J5,'Filtered Data'!$L$11:$Z$363,15,FALSE))),"",(IF('Filtered Data'!D1="L",VLOOKUP(J5,'Filtered Data'!AF11:AH26,3,FALSE),VLOOKUP(J5,'Filtered Data'!$L$11:$Z$363,15,FALSE))))</f>
        <v>28</v>
      </c>
      <c r="R38" s="327"/>
      <c r="S38" s="331" t="s">
        <v>354</v>
      </c>
      <c r="T38" s="331"/>
      <c r="U38" s="331"/>
      <c r="V38" s="327">
        <f>IF('Filtered Data'!D1="L",16,COUNT('Filtered Data'!Z:Z))</f>
        <v>41</v>
      </c>
      <c r="W38" s="327"/>
      <c r="AB38" s="257"/>
      <c r="AC38" s="257"/>
      <c r="AD38" s="257"/>
      <c r="AE38" s="257"/>
      <c r="AF38" s="257"/>
      <c r="AG38" s="257"/>
      <c r="AH38" s="257"/>
      <c r="AI38" s="257"/>
      <c r="AJ38" s="257"/>
      <c r="AK38" s="257"/>
      <c r="AL38" s="257"/>
      <c r="AM38" s="257"/>
      <c r="AP38" s="220"/>
    </row>
    <row r="39" spans="2:42">
      <c r="B39" s="253" t="str">
        <f>IF('Filtered Data'!D1="L","",IF('Filtered Data'!D1="SD",J10,"Regional"))</f>
        <v>Cumbria</v>
      </c>
      <c r="C39" s="253"/>
      <c r="D39" s="253"/>
      <c r="E39" s="253"/>
      <c r="F39" s="253"/>
      <c r="G39" s="253"/>
      <c r="H39" s="253"/>
      <c r="I39" s="253"/>
      <c r="J39" s="324"/>
      <c r="K39" s="232" t="str">
        <f>IF(Q39="","",IF('Filtered Data'!I8="D",IF($L$35&gt;=L39,"J","L"),IF('Filtered Data'!I8="A",IF($L$35&lt;=L39,"J","L"))))</f>
        <v>L</v>
      </c>
      <c r="L39" s="328">
        <f>IF('Filtered Data'!D1="L","",IF('Filtered Data'!D1="SD",'Filtered Data'!AJ9,'Filtered Data'!AQ9))</f>
        <v>83.050857059767125</v>
      </c>
      <c r="M39" s="328"/>
      <c r="N39" s="328"/>
      <c r="O39" s="328"/>
      <c r="P39" s="254"/>
      <c r="Q39" s="327">
        <f>IF(ISERROR(IF('Filtered Data'!D1="L","",IF('Filtered Data'!D1="SD",VLOOKUP(J5,'Filtered Data'!L:AK,26,FALSE),(VLOOKUP(J5,'Filtered Data'!L:AR,33,FALSE))))),"",(IF('Filtered Data'!D1="L","",IF('Filtered Data'!D1="SD",VLOOKUP(J5,'Filtered Data'!L:AK,26,FALSE),(VLOOKUP(J5,'Filtered Data'!L:AR,33,FALSE))))))</f>
        <v>4</v>
      </c>
      <c r="R39" s="327"/>
      <c r="S39" s="255"/>
      <c r="T39" s="256" t="str">
        <f>IF(B39="","","out of")</f>
        <v>out of</v>
      </c>
      <c r="U39" s="256"/>
      <c r="V39" s="327">
        <f>IF('Filtered Data'!D1="L","",IF('Filtered Data'!D1="SD",COUNT('Filtered Data'!AK11:AK363),(COUNT('Filtered Data'!AQ11:AQ363))))</f>
        <v>6</v>
      </c>
      <c r="W39" s="327"/>
      <c r="Z39" s="233" t="s">
        <v>358</v>
      </c>
      <c r="AB39" s="330" t="s">
        <v>360</v>
      </c>
      <c r="AC39" s="330"/>
      <c r="AD39" s="330"/>
      <c r="AE39" s="330"/>
      <c r="AF39" s="330"/>
      <c r="AG39" s="330"/>
      <c r="AH39" s="330"/>
      <c r="AI39" s="330"/>
      <c r="AJ39" s="330"/>
      <c r="AK39" s="330"/>
      <c r="AL39" s="330"/>
      <c r="AM39" s="330"/>
      <c r="AP39" s="220"/>
    </row>
    <row r="40" spans="2:42" ht="12.75" customHeight="1">
      <c r="B40" s="272"/>
      <c r="C40" s="272"/>
      <c r="D40" s="272"/>
      <c r="E40" s="272"/>
      <c r="F40" s="272"/>
      <c r="G40" s="272"/>
      <c r="H40" s="272"/>
      <c r="I40" s="272"/>
      <c r="J40" s="271"/>
      <c r="K40" s="235"/>
      <c r="L40" s="332"/>
      <c r="M40" s="332"/>
      <c r="N40" s="332"/>
      <c r="O40" s="332"/>
      <c r="P40" s="273"/>
      <c r="Q40" s="333"/>
      <c r="R40" s="333"/>
      <c r="S40" s="326"/>
      <c r="T40" s="326"/>
      <c r="U40" s="326"/>
      <c r="V40" s="333"/>
      <c r="W40" s="333"/>
      <c r="AB40" s="330"/>
      <c r="AC40" s="330"/>
      <c r="AD40" s="330"/>
      <c r="AE40" s="330"/>
      <c r="AF40" s="330"/>
      <c r="AG40" s="330"/>
      <c r="AH40" s="330"/>
      <c r="AI40" s="330"/>
      <c r="AJ40" s="330"/>
      <c r="AK40" s="330"/>
      <c r="AL40" s="330"/>
      <c r="AM40" s="330"/>
      <c r="AP40" s="220"/>
    </row>
    <row r="41" spans="2:42">
      <c r="B41" s="274"/>
      <c r="C41" s="274"/>
      <c r="D41" s="274"/>
      <c r="E41" s="274"/>
      <c r="F41" s="274"/>
      <c r="G41" s="274"/>
      <c r="H41" s="274"/>
      <c r="I41" s="274"/>
      <c r="J41" s="234"/>
      <c r="K41" s="275" t="str">
        <f>IF(B41="","",IF('Filtered Data'!D1="UA","",(IF($L$35&gt;=L41,"J","L"))))</f>
        <v/>
      </c>
      <c r="L41" s="344"/>
      <c r="M41" s="344"/>
      <c r="N41" s="344"/>
      <c r="O41" s="344"/>
      <c r="P41" s="276"/>
      <c r="Q41" s="334"/>
      <c r="R41" s="334"/>
      <c r="S41" s="329"/>
      <c r="T41" s="329"/>
      <c r="U41" s="329"/>
      <c r="V41" s="334"/>
      <c r="W41" s="334"/>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40" t="s">
        <v>356</v>
      </c>
      <c r="C43" s="341"/>
      <c r="D43" s="341"/>
      <c r="E43" s="341"/>
      <c r="F43" s="341"/>
      <c r="G43" s="341"/>
      <c r="H43" s="341"/>
      <c r="I43" s="341"/>
      <c r="J43" s="341"/>
      <c r="K43" s="341"/>
      <c r="L43" s="341"/>
      <c r="M43" s="341"/>
      <c r="N43" s="341"/>
      <c r="O43" s="336" t="str">
        <f>W6&amp;" - "&amp;W12</f>
        <v>Proportion of residents who do any walking or cycling, at least once per month - 2018/19</v>
      </c>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7"/>
      <c r="AP43" s="220"/>
    </row>
    <row r="44" spans="2:42">
      <c r="B44" s="342"/>
      <c r="C44" s="343"/>
      <c r="D44" s="343"/>
      <c r="E44" s="343"/>
      <c r="F44" s="343"/>
      <c r="G44" s="343"/>
      <c r="H44" s="343"/>
      <c r="I44" s="343"/>
      <c r="J44" s="343"/>
      <c r="K44" s="343"/>
      <c r="L44" s="343"/>
      <c r="M44" s="343"/>
      <c r="N44" s="343"/>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9"/>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Allerdale</v>
      </c>
      <c r="E48" s="322">
        <f>IF('Filtered Data'!$H$8="..",L35,L35*100)</f>
        <v>81.774925961121198</v>
      </c>
      <c r="F48" s="322"/>
      <c r="G48" s="322"/>
      <c r="H48" s="322"/>
      <c r="I48" s="222"/>
      <c r="J48" s="222"/>
      <c r="K48" s="285">
        <f>IF('Filtered Data'!$H$8="..",K$32,K$32*100)</f>
        <v>85.03397177432231</v>
      </c>
      <c r="L48" s="285"/>
      <c r="M48" s="285">
        <f>IF('Filtered Data'!$H$8="..",T$32,T$32*100)</f>
        <v>82.398691884098781</v>
      </c>
      <c r="N48" s="285"/>
      <c r="O48" s="285">
        <f>IF('Filtered Data'!$H$8="..",AC$32,AC$32*100)</f>
        <v>80.040966257648336</v>
      </c>
      <c r="P48" s="285"/>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Districts</v>
      </c>
      <c r="E49" s="322">
        <f>IF('Filtered Data'!$H$8="..",L37,L37*100)</f>
        <v>82.352077646950292</v>
      </c>
      <c r="F49" s="322"/>
      <c r="G49" s="322"/>
      <c r="H49" s="322"/>
      <c r="I49" s="222"/>
      <c r="J49" s="222"/>
      <c r="K49" s="285">
        <f>IF('Filtered Data'!$H$8="..",K$32,K$32*100)</f>
        <v>85.03397177432231</v>
      </c>
      <c r="L49" s="285"/>
      <c r="M49" s="285">
        <f>IF('Filtered Data'!$H$8="..",T$32,T$32*100)</f>
        <v>82.398691884098781</v>
      </c>
      <c r="N49" s="285"/>
      <c r="O49" s="285">
        <f>IF('Filtered Data'!$H$8="..",AC$32,AC$32*100)</f>
        <v>80.040966257648336</v>
      </c>
      <c r="P49" s="285"/>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Cumbria</v>
      </c>
      <c r="E50" s="322">
        <f>IF('Filtered Data'!$H$8="..",L39,L39*100)</f>
        <v>83.050857059767125</v>
      </c>
      <c r="F50" s="322"/>
      <c r="G50" s="322"/>
      <c r="H50" s="322"/>
      <c r="I50" s="222"/>
      <c r="J50" s="222"/>
      <c r="K50" s="285">
        <f>IF('Filtered Data'!$H$8="..",K$32,K$32*100)</f>
        <v>85.03397177432231</v>
      </c>
      <c r="L50" s="285"/>
      <c r="M50" s="285">
        <f>IF('Filtered Data'!$H$8="..",T$32,T$32*100)</f>
        <v>82.398691884098781</v>
      </c>
      <c r="N50" s="285"/>
      <c r="O50" s="285">
        <f>IF('Filtered Data'!$H$8="..",AC$32,AC$32*100)</f>
        <v>80.040966257648336</v>
      </c>
      <c r="P50" s="285"/>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77" t="str">
        <f>B38</f>
        <v xml:space="preserve">Mainly Rural (rural including hub towns &gt;=80%) </v>
      </c>
      <c r="E51" s="322">
        <f>IF('Filtered Data'!$H$8="..",L38,L38*100)</f>
        <v>83.050254507087686</v>
      </c>
      <c r="F51" s="322"/>
      <c r="G51" s="322"/>
      <c r="H51" s="322"/>
      <c r="I51" s="222"/>
      <c r="J51" s="222"/>
      <c r="K51" s="285">
        <f>IF('Filtered Data'!$H$8="..",K$32,K$32*100)</f>
        <v>85.03397177432231</v>
      </c>
      <c r="L51" s="285"/>
      <c r="M51" s="285">
        <f>IF('Filtered Data'!$H$8="..",T$32,T$32*100)</f>
        <v>82.398691884098781</v>
      </c>
      <c r="N51" s="285"/>
      <c r="O51" s="285">
        <f>IF('Filtered Data'!$H$8="..",AC$32,AC$32*100)</f>
        <v>80.040966257648336</v>
      </c>
      <c r="P51" s="285"/>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322"/>
      <c r="F52" s="322"/>
      <c r="G52" s="322"/>
      <c r="H52" s="322"/>
      <c r="I52" s="222"/>
      <c r="J52" s="222"/>
      <c r="K52" s="285"/>
      <c r="L52" s="285"/>
      <c r="M52" s="285"/>
      <c r="N52" s="285"/>
      <c r="O52" s="285"/>
      <c r="P52" s="285"/>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348"/>
      <c r="F53" s="348"/>
      <c r="G53" s="348"/>
      <c r="H53" s="348"/>
      <c r="I53" s="222"/>
      <c r="J53" s="222"/>
      <c r="K53" s="285"/>
      <c r="L53" s="285"/>
      <c r="M53" s="285"/>
      <c r="N53" s="285"/>
      <c r="O53" s="285"/>
      <c r="P53" s="285"/>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293" t="str">
        <f>B3</f>
        <v>Walking &amp; Cycling Statistics</v>
      </c>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P59" s="251"/>
    </row>
    <row r="60" spans="2:42" s="249" customFormat="1">
      <c r="AP60" s="251"/>
    </row>
    <row r="61" spans="2:42" s="249" customFormat="1" ht="12" customHeight="1">
      <c r="B61" s="258" t="str">
        <f>W6&amp;" - "&amp;W12</f>
        <v>Proportion of residents who do any walking or cycling, at least once per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301" t="s">
        <v>353</v>
      </c>
      <c r="C65" s="301"/>
      <c r="D65" s="301"/>
      <c r="E65" s="286" t="s">
        <v>333</v>
      </c>
      <c r="F65" s="286"/>
      <c r="G65" s="286"/>
      <c r="H65" s="286"/>
      <c r="I65" s="286"/>
      <c r="J65" s="286"/>
      <c r="K65" s="286"/>
      <c r="L65" s="286"/>
      <c r="M65" s="286"/>
      <c r="N65" s="286"/>
      <c r="O65" s="286"/>
      <c r="P65" s="286"/>
      <c r="Q65" s="286"/>
      <c r="R65" s="286"/>
      <c r="S65" s="286"/>
      <c r="T65" s="286"/>
      <c r="U65" s="301" t="s">
        <v>363</v>
      </c>
      <c r="V65" s="301"/>
      <c r="W65" s="301"/>
      <c r="X65" s="301"/>
      <c r="Y65" s="259"/>
      <c r="Z65" s="259"/>
      <c r="AA65" s="259"/>
      <c r="AB65" s="259"/>
      <c r="AC65" s="260"/>
      <c r="AD65" s="259"/>
      <c r="AE65" s="259"/>
      <c r="AF65" s="259"/>
      <c r="AG65" s="259"/>
      <c r="AH65" s="260"/>
      <c r="AI65" s="259"/>
      <c r="AJ65" s="259"/>
      <c r="AK65" s="259"/>
      <c r="AL65" s="259"/>
      <c r="AP65" s="251"/>
    </row>
    <row r="66" spans="2:42" s="249" customFormat="1" ht="12" customHeight="1">
      <c r="B66" s="292">
        <v>1</v>
      </c>
      <c r="C66" s="288"/>
      <c r="D66" s="288"/>
      <c r="E66" s="291" t="str">
        <f>VLOOKUP(B66,'Filtered Data'!K:L,2,FALSE)</f>
        <v>Oxford</v>
      </c>
      <c r="F66" s="291"/>
      <c r="G66" s="291"/>
      <c r="H66" s="291"/>
      <c r="I66" s="291"/>
      <c r="J66" s="291"/>
      <c r="K66" s="291"/>
      <c r="L66" s="291"/>
      <c r="M66" s="291"/>
      <c r="N66" s="291"/>
      <c r="O66" s="291"/>
      <c r="P66" s="291"/>
      <c r="Q66" s="291"/>
      <c r="R66" s="291"/>
      <c r="S66" s="291"/>
      <c r="T66" s="291"/>
      <c r="U66" s="290">
        <f>IF('Filtered Data'!$H$8="%.",(VLOOKUP(B66,'Filtered Data'!K:M,3,FALSE))/100,VLOOKUP(B66,'Filtered Data'!K:M,3,FALSE))</f>
        <v>90.450497364548298</v>
      </c>
      <c r="V66" s="290"/>
      <c r="W66" s="290"/>
      <c r="X66" s="290"/>
      <c r="Y66" s="261" t="str">
        <f>IF((VLOOKUP(E66,classifications!C:K,9,FALSE))="Sparse","S","")</f>
        <v/>
      </c>
      <c r="Z66" s="261"/>
      <c r="AA66" s="261"/>
      <c r="AB66" s="261"/>
      <c r="AC66" s="261"/>
      <c r="AD66" s="300"/>
      <c r="AE66" s="300"/>
      <c r="AF66" s="300"/>
      <c r="AG66" s="300"/>
      <c r="AH66" s="300"/>
      <c r="AI66" s="300"/>
      <c r="AJ66" s="300"/>
      <c r="AK66" s="300"/>
      <c r="AL66" s="300"/>
      <c r="AP66" s="251"/>
    </row>
    <row r="67" spans="2:42" s="249" customFormat="1" ht="12" customHeight="1">
      <c r="B67" s="292">
        <v>2</v>
      </c>
      <c r="C67" s="288"/>
      <c r="D67" s="288"/>
      <c r="E67" s="291" t="str">
        <f>VLOOKUP(B67,'Filtered Data'!K:L,2,FALSE)</f>
        <v>Cambridge</v>
      </c>
      <c r="F67" s="291"/>
      <c r="G67" s="291"/>
      <c r="H67" s="291"/>
      <c r="I67" s="291"/>
      <c r="J67" s="291"/>
      <c r="K67" s="291"/>
      <c r="L67" s="291"/>
      <c r="M67" s="291"/>
      <c r="N67" s="291"/>
      <c r="O67" s="291"/>
      <c r="P67" s="291"/>
      <c r="Q67" s="291"/>
      <c r="R67" s="291"/>
      <c r="S67" s="291"/>
      <c r="T67" s="291"/>
      <c r="U67" s="290">
        <f>IF('Filtered Data'!$H$8="%.",(VLOOKUP(B67,'Filtered Data'!K:M,3,FALSE))/100,VLOOKUP(B67,'Filtered Data'!K:M,3,FALSE))</f>
        <v>89.877725719925976</v>
      </c>
      <c r="V67" s="290"/>
      <c r="W67" s="290"/>
      <c r="X67" s="290"/>
      <c r="Y67" s="261" t="str">
        <f>IF((VLOOKUP(E67,classifications!C:K,9,FALSE))="Sparse","S","")</f>
        <v/>
      </c>
      <c r="Z67" s="261"/>
      <c r="AA67" s="261"/>
      <c r="AB67" s="261"/>
      <c r="AC67" s="261"/>
      <c r="AD67" s="300"/>
      <c r="AE67" s="300"/>
      <c r="AF67" s="300"/>
      <c r="AG67" s="300"/>
      <c r="AH67" s="300"/>
      <c r="AI67" s="300"/>
      <c r="AJ67" s="300"/>
      <c r="AK67" s="300"/>
      <c r="AL67" s="300"/>
      <c r="AP67" s="251"/>
    </row>
    <row r="68" spans="2:42" s="249" customFormat="1" ht="12" customHeight="1">
      <c r="B68" s="292">
        <v>3</v>
      </c>
      <c r="C68" s="288"/>
      <c r="D68" s="288"/>
      <c r="E68" s="291" t="str">
        <f>VLOOKUP(B68,'Filtered Data'!K:L,2,FALSE)</f>
        <v>Exeter</v>
      </c>
      <c r="F68" s="291"/>
      <c r="G68" s="291"/>
      <c r="H68" s="291"/>
      <c r="I68" s="291"/>
      <c r="J68" s="291"/>
      <c r="K68" s="291"/>
      <c r="L68" s="291"/>
      <c r="M68" s="291"/>
      <c r="N68" s="291"/>
      <c r="O68" s="291"/>
      <c r="P68" s="291"/>
      <c r="Q68" s="291"/>
      <c r="R68" s="291"/>
      <c r="S68" s="291"/>
      <c r="T68" s="291"/>
      <c r="U68" s="290">
        <f>IF('Filtered Data'!$H$8="%.",(VLOOKUP(B68,'Filtered Data'!K:M,3,FALSE))/100,VLOOKUP(B68,'Filtered Data'!K:M,3,FALSE))</f>
        <v>89.804259171588328</v>
      </c>
      <c r="V68" s="290"/>
      <c r="W68" s="290"/>
      <c r="X68" s="290"/>
      <c r="Y68" s="261" t="str">
        <f>IF((VLOOKUP(E68,classifications!C:K,9,FALSE))="Sparse","S","")</f>
        <v/>
      </c>
      <c r="Z68" s="261"/>
      <c r="AA68" s="261"/>
      <c r="AB68" s="261"/>
      <c r="AC68" s="261"/>
      <c r="AD68" s="300"/>
      <c r="AE68" s="300"/>
      <c r="AF68" s="300"/>
      <c r="AG68" s="300"/>
      <c r="AH68" s="300"/>
      <c r="AI68" s="300"/>
      <c r="AJ68" s="300"/>
      <c r="AK68" s="300"/>
      <c r="AL68" s="300"/>
      <c r="AP68" s="251"/>
    </row>
    <row r="69" spans="2:42" s="249" customFormat="1" ht="12" customHeight="1">
      <c r="B69" s="292">
        <v>4</v>
      </c>
      <c r="C69" s="288"/>
      <c r="D69" s="288"/>
      <c r="E69" s="291" t="str">
        <f>VLOOKUP(B69,'Filtered Data'!K:L,2,FALSE)</f>
        <v>East Hertfordshire</v>
      </c>
      <c r="F69" s="291"/>
      <c r="G69" s="291"/>
      <c r="H69" s="291"/>
      <c r="I69" s="291"/>
      <c r="J69" s="291"/>
      <c r="K69" s="291"/>
      <c r="L69" s="291"/>
      <c r="M69" s="291"/>
      <c r="N69" s="291"/>
      <c r="O69" s="291"/>
      <c r="P69" s="291"/>
      <c r="Q69" s="291"/>
      <c r="R69" s="291"/>
      <c r="S69" s="291"/>
      <c r="T69" s="291"/>
      <c r="U69" s="290">
        <f>IF('Filtered Data'!$H$8="%.",(VLOOKUP(B69,'Filtered Data'!K:M,3,FALSE))/100,VLOOKUP(B69,'Filtered Data'!K:M,3,FALSE))</f>
        <v>89.749905538045041</v>
      </c>
      <c r="V69" s="290"/>
      <c r="W69" s="290"/>
      <c r="X69" s="290"/>
      <c r="Y69" s="261" t="str">
        <f>IF((VLOOKUP(E69,classifications!C:K,9,FALSE))="Sparse","S","")</f>
        <v>S</v>
      </c>
      <c r="Z69" s="261"/>
      <c r="AA69" s="261"/>
      <c r="AB69" s="261"/>
      <c r="AC69" s="261"/>
      <c r="AD69" s="300"/>
      <c r="AE69" s="300"/>
      <c r="AF69" s="300"/>
      <c r="AG69" s="300"/>
      <c r="AH69" s="300"/>
      <c r="AI69" s="300"/>
      <c r="AJ69" s="300"/>
      <c r="AK69" s="300"/>
      <c r="AL69" s="300"/>
      <c r="AP69" s="251"/>
    </row>
    <row r="70" spans="2:42" s="249" customFormat="1" ht="12" customHeight="1">
      <c r="B70" s="292">
        <v>5</v>
      </c>
      <c r="C70" s="288"/>
      <c r="D70" s="288"/>
      <c r="E70" s="291" t="str">
        <f>VLOOKUP(B70,'Filtered Data'!K:L,2,FALSE)</f>
        <v>Vale of White Horse</v>
      </c>
      <c r="F70" s="291"/>
      <c r="G70" s="291"/>
      <c r="H70" s="291"/>
      <c r="I70" s="291"/>
      <c r="J70" s="291"/>
      <c r="K70" s="291"/>
      <c r="L70" s="291"/>
      <c r="M70" s="291"/>
      <c r="N70" s="291"/>
      <c r="O70" s="291"/>
      <c r="P70" s="291"/>
      <c r="Q70" s="291"/>
      <c r="R70" s="291"/>
      <c r="S70" s="291"/>
      <c r="T70" s="291"/>
      <c r="U70" s="290">
        <f>IF('Filtered Data'!$H$8="%.",(VLOOKUP(B70,'Filtered Data'!K:M,3,FALSE))/100,VLOOKUP(B70,'Filtered Data'!K:M,3,FALSE))</f>
        <v>89.410573933239718</v>
      </c>
      <c r="V70" s="290"/>
      <c r="W70" s="290"/>
      <c r="X70" s="290"/>
      <c r="Y70" s="261" t="str">
        <f>IF((VLOOKUP(E70,classifications!C:K,9,FALSE))="Sparse","S","")</f>
        <v>S</v>
      </c>
      <c r="Z70" s="261"/>
      <c r="AA70" s="261"/>
      <c r="AB70" s="261"/>
      <c r="AC70" s="261"/>
      <c r="AD70" s="300"/>
      <c r="AE70" s="300"/>
      <c r="AF70" s="300"/>
      <c r="AG70" s="300"/>
      <c r="AH70" s="300"/>
      <c r="AI70" s="300"/>
      <c r="AJ70" s="300"/>
      <c r="AK70" s="300"/>
      <c r="AL70" s="300"/>
      <c r="AP70" s="251"/>
    </row>
    <row r="71" spans="2:42" s="249" customFormat="1" ht="12" customHeight="1">
      <c r="B71" s="292">
        <v>6</v>
      </c>
      <c r="C71" s="288"/>
      <c r="D71" s="288"/>
      <c r="E71" s="291" t="str">
        <f>VLOOKUP(B71,'Filtered Data'!K:L,2,FALSE)</f>
        <v>Waverley</v>
      </c>
      <c r="F71" s="291"/>
      <c r="G71" s="291"/>
      <c r="H71" s="291"/>
      <c r="I71" s="291"/>
      <c r="J71" s="291"/>
      <c r="K71" s="291"/>
      <c r="L71" s="291"/>
      <c r="M71" s="291"/>
      <c r="N71" s="291"/>
      <c r="O71" s="291"/>
      <c r="P71" s="291"/>
      <c r="Q71" s="291"/>
      <c r="R71" s="291"/>
      <c r="S71" s="291"/>
      <c r="T71" s="291"/>
      <c r="U71" s="290">
        <f>IF('Filtered Data'!$H$8="%.",(VLOOKUP(B71,'Filtered Data'!K:M,3,FALSE))/100,VLOOKUP(B71,'Filtered Data'!K:M,3,FALSE))</f>
        <v>89.385768010507832</v>
      </c>
      <c r="V71" s="290"/>
      <c r="W71" s="290"/>
      <c r="X71" s="290"/>
      <c r="Y71" s="261" t="str">
        <f>IF((VLOOKUP(E71,classifications!C:K,9,FALSE))="Sparse","S","")</f>
        <v/>
      </c>
      <c r="Z71" s="261"/>
      <c r="AA71" s="261"/>
      <c r="AB71" s="261"/>
      <c r="AC71" s="261"/>
      <c r="AD71" s="300"/>
      <c r="AE71" s="300"/>
      <c r="AF71" s="300"/>
      <c r="AG71" s="300"/>
      <c r="AH71" s="300"/>
      <c r="AI71" s="300"/>
      <c r="AJ71" s="300"/>
      <c r="AK71" s="300"/>
      <c r="AL71" s="300"/>
      <c r="AP71" s="251"/>
    </row>
    <row r="72" spans="2:42" s="249" customFormat="1" ht="12" customHeight="1">
      <c r="B72" s="292">
        <v>7</v>
      </c>
      <c r="C72" s="288"/>
      <c r="D72" s="288"/>
      <c r="E72" s="291" t="str">
        <f>VLOOKUP(B72,'Filtered Data'!K:L,2,FALSE)</f>
        <v>Elmbridge</v>
      </c>
      <c r="F72" s="291"/>
      <c r="G72" s="291"/>
      <c r="H72" s="291"/>
      <c r="I72" s="291"/>
      <c r="J72" s="291"/>
      <c r="K72" s="291"/>
      <c r="L72" s="291"/>
      <c r="M72" s="291"/>
      <c r="N72" s="291"/>
      <c r="O72" s="291"/>
      <c r="P72" s="291"/>
      <c r="Q72" s="291"/>
      <c r="R72" s="291"/>
      <c r="S72" s="291"/>
      <c r="T72" s="291"/>
      <c r="U72" s="290">
        <f>IF('Filtered Data'!$H$8="%.",(VLOOKUP(B72,'Filtered Data'!K:M,3,FALSE))/100,VLOOKUP(B72,'Filtered Data'!K:M,3,FALSE))</f>
        <v>88.850306199577062</v>
      </c>
      <c r="V72" s="290"/>
      <c r="W72" s="290"/>
      <c r="X72" s="290"/>
      <c r="Y72" s="261" t="str">
        <f>IF((VLOOKUP(E72,classifications!C:K,9,FALSE))="Sparse","S","")</f>
        <v/>
      </c>
      <c r="Z72" s="261"/>
      <c r="AA72" s="261"/>
      <c r="AB72" s="261"/>
      <c r="AC72" s="261"/>
      <c r="AD72" s="300"/>
      <c r="AE72" s="300"/>
      <c r="AF72" s="300"/>
      <c r="AG72" s="300"/>
      <c r="AH72" s="300"/>
      <c r="AI72" s="300"/>
      <c r="AJ72" s="300"/>
      <c r="AK72" s="300"/>
      <c r="AL72" s="300"/>
      <c r="AP72" s="251"/>
    </row>
    <row r="73" spans="2:42" s="249" customFormat="1" ht="12" customHeight="1">
      <c r="B73" s="292">
        <v>8</v>
      </c>
      <c r="C73" s="288"/>
      <c r="D73" s="288"/>
      <c r="E73" s="291" t="str">
        <f>VLOOKUP(B73,'Filtered Data'!K:L,2,FALSE)</f>
        <v>Winchester</v>
      </c>
      <c r="F73" s="291"/>
      <c r="G73" s="291"/>
      <c r="H73" s="291"/>
      <c r="I73" s="291"/>
      <c r="J73" s="291"/>
      <c r="K73" s="291"/>
      <c r="L73" s="291"/>
      <c r="M73" s="291"/>
      <c r="N73" s="291"/>
      <c r="O73" s="291"/>
      <c r="P73" s="291"/>
      <c r="Q73" s="291"/>
      <c r="R73" s="291"/>
      <c r="S73" s="291"/>
      <c r="T73" s="291"/>
      <c r="U73" s="290">
        <f>IF('Filtered Data'!$H$8="%.",(VLOOKUP(B73,'Filtered Data'!K:M,3,FALSE))/100,VLOOKUP(B73,'Filtered Data'!K:M,3,FALSE))</f>
        <v>88.154799004680399</v>
      </c>
      <c r="V73" s="290"/>
      <c r="W73" s="290"/>
      <c r="X73" s="290"/>
      <c r="Y73" s="261" t="str">
        <f>IF((VLOOKUP(E73,classifications!C:K,9,FALSE))="Sparse","S","")</f>
        <v/>
      </c>
      <c r="Z73" s="261"/>
      <c r="AA73" s="261"/>
      <c r="AB73" s="261"/>
      <c r="AC73" s="261"/>
      <c r="AD73" s="300"/>
      <c r="AE73" s="300"/>
      <c r="AF73" s="300"/>
      <c r="AG73" s="300"/>
      <c r="AH73" s="300"/>
      <c r="AI73" s="300"/>
      <c r="AJ73" s="300"/>
      <c r="AK73" s="300"/>
      <c r="AL73" s="300"/>
      <c r="AP73" s="251"/>
    </row>
    <row r="74" spans="2:42" s="249" customFormat="1" ht="12" customHeight="1">
      <c r="B74" s="292">
        <v>9</v>
      </c>
      <c r="C74" s="288"/>
      <c r="D74" s="288"/>
      <c r="E74" s="291" t="str">
        <f>VLOOKUP(B74,'Filtered Data'!K:L,2,FALSE)</f>
        <v>South Hams</v>
      </c>
      <c r="F74" s="291"/>
      <c r="G74" s="291"/>
      <c r="H74" s="291"/>
      <c r="I74" s="291"/>
      <c r="J74" s="291"/>
      <c r="K74" s="291"/>
      <c r="L74" s="291"/>
      <c r="M74" s="291"/>
      <c r="N74" s="291"/>
      <c r="O74" s="291"/>
      <c r="P74" s="291"/>
      <c r="Q74" s="291"/>
      <c r="R74" s="291"/>
      <c r="S74" s="291"/>
      <c r="T74" s="291"/>
      <c r="U74" s="290">
        <f>IF('Filtered Data'!$H$8="%.",(VLOOKUP(B74,'Filtered Data'!K:M,3,FALSE))/100,VLOOKUP(B74,'Filtered Data'!K:M,3,FALSE))</f>
        <v>88.114833574245324</v>
      </c>
      <c r="V74" s="290"/>
      <c r="W74" s="290"/>
      <c r="X74" s="290"/>
      <c r="Y74" s="261" t="str">
        <f>IF((VLOOKUP(E74,classifications!C:K,9,FALSE))="Sparse","S","")</f>
        <v>S</v>
      </c>
      <c r="Z74" s="261"/>
      <c r="AA74" s="261"/>
      <c r="AB74" s="261"/>
      <c r="AC74" s="261"/>
      <c r="AD74" s="300"/>
      <c r="AE74" s="300"/>
      <c r="AF74" s="300"/>
      <c r="AG74" s="300"/>
      <c r="AH74" s="300"/>
      <c r="AI74" s="300"/>
      <c r="AJ74" s="300"/>
      <c r="AK74" s="300"/>
      <c r="AL74" s="300"/>
      <c r="AP74" s="251"/>
    </row>
    <row r="75" spans="2:42" s="249" customFormat="1" ht="12" customHeight="1">
      <c r="B75" s="292">
        <v>10</v>
      </c>
      <c r="C75" s="288"/>
      <c r="D75" s="288"/>
      <c r="E75" s="291" t="str">
        <f>VLOOKUP(B75,'Filtered Data'!K:L,2,FALSE)</f>
        <v>Mid Sussex</v>
      </c>
      <c r="F75" s="291"/>
      <c r="G75" s="291"/>
      <c r="H75" s="291"/>
      <c r="I75" s="291"/>
      <c r="J75" s="291"/>
      <c r="K75" s="291"/>
      <c r="L75" s="291"/>
      <c r="M75" s="291"/>
      <c r="N75" s="291"/>
      <c r="O75" s="291"/>
      <c r="P75" s="291"/>
      <c r="Q75" s="291"/>
      <c r="R75" s="291"/>
      <c r="S75" s="291"/>
      <c r="T75" s="291"/>
      <c r="U75" s="290">
        <f>IF('Filtered Data'!$H$8="%.",(VLOOKUP(B75,'Filtered Data'!K:M,3,FALSE))/100,VLOOKUP(B75,'Filtered Data'!K:M,3,FALSE))</f>
        <v>88.090950078857276</v>
      </c>
      <c r="V75" s="290"/>
      <c r="W75" s="290"/>
      <c r="X75" s="290"/>
      <c r="Y75" s="261" t="str">
        <f>IF((VLOOKUP(E75,classifications!C:K,9,FALSE))="Sparse","S","")</f>
        <v>S</v>
      </c>
      <c r="Z75" s="261"/>
      <c r="AA75" s="261"/>
      <c r="AB75" s="261"/>
      <c r="AC75" s="261"/>
      <c r="AD75" s="300"/>
      <c r="AE75" s="300"/>
      <c r="AF75" s="300"/>
      <c r="AG75" s="300"/>
      <c r="AH75" s="300"/>
      <c r="AI75" s="300"/>
      <c r="AJ75" s="300"/>
      <c r="AK75" s="300"/>
      <c r="AL75" s="300"/>
      <c r="AP75" s="251"/>
    </row>
    <row r="76" spans="2:42" s="249" customFormat="1" ht="12" customHeight="1">
      <c r="B76" s="292">
        <v>11</v>
      </c>
      <c r="C76" s="288"/>
      <c r="D76" s="288"/>
      <c r="E76" s="291" t="str">
        <f>VLOOKUP(B76,'Filtered Data'!K:L,2,FALSE)</f>
        <v>Mid Devon</v>
      </c>
      <c r="F76" s="291"/>
      <c r="G76" s="291"/>
      <c r="H76" s="291"/>
      <c r="I76" s="291"/>
      <c r="J76" s="291"/>
      <c r="K76" s="291"/>
      <c r="L76" s="291"/>
      <c r="M76" s="291"/>
      <c r="N76" s="291"/>
      <c r="O76" s="291"/>
      <c r="P76" s="291"/>
      <c r="Q76" s="291"/>
      <c r="R76" s="291"/>
      <c r="S76" s="291"/>
      <c r="T76" s="291"/>
      <c r="U76" s="290">
        <f>IF('Filtered Data'!$H$8="%.",(VLOOKUP(B76,'Filtered Data'!K:M,3,FALSE))/100,VLOOKUP(B76,'Filtered Data'!K:M,3,FALSE))</f>
        <v>87.858171031059385</v>
      </c>
      <c r="V76" s="290"/>
      <c r="W76" s="290"/>
      <c r="X76" s="290"/>
      <c r="Y76" s="261" t="str">
        <f>IF((VLOOKUP(E76,classifications!C:K,9,FALSE))="Sparse","S","")</f>
        <v>S</v>
      </c>
      <c r="Z76" s="261"/>
      <c r="AA76" s="261"/>
      <c r="AB76" s="261"/>
      <c r="AC76" s="261"/>
      <c r="AD76" s="300"/>
      <c r="AE76" s="300"/>
      <c r="AF76" s="300"/>
      <c r="AG76" s="300"/>
      <c r="AH76" s="300"/>
      <c r="AI76" s="300"/>
      <c r="AJ76" s="300"/>
      <c r="AK76" s="300"/>
      <c r="AL76" s="300"/>
      <c r="AP76" s="251"/>
    </row>
    <row r="77" spans="2:42" s="249" customFormat="1" ht="12" customHeight="1">
      <c r="B77" s="292">
        <v>12</v>
      </c>
      <c r="C77" s="288"/>
      <c r="D77" s="288"/>
      <c r="E77" s="291" t="str">
        <f>VLOOKUP(B77,'Filtered Data'!K:L,2,FALSE)</f>
        <v>Tunbridge Wells</v>
      </c>
      <c r="F77" s="291"/>
      <c r="G77" s="291"/>
      <c r="H77" s="291"/>
      <c r="I77" s="291"/>
      <c r="J77" s="291"/>
      <c r="K77" s="291"/>
      <c r="L77" s="291"/>
      <c r="M77" s="291"/>
      <c r="N77" s="291"/>
      <c r="O77" s="291"/>
      <c r="P77" s="291"/>
      <c r="Q77" s="291"/>
      <c r="R77" s="291"/>
      <c r="S77" s="291"/>
      <c r="T77" s="291"/>
      <c r="U77" s="290">
        <f>IF('Filtered Data'!$H$8="%.",(VLOOKUP(B77,'Filtered Data'!K:M,3,FALSE))/100,VLOOKUP(B77,'Filtered Data'!K:M,3,FALSE))</f>
        <v>87.850206267883763</v>
      </c>
      <c r="V77" s="290"/>
      <c r="W77" s="290"/>
      <c r="X77" s="290"/>
      <c r="Y77" s="261" t="str">
        <f>IF((VLOOKUP(E77,classifications!C:K,9,FALSE))="Sparse","S","")</f>
        <v>S</v>
      </c>
      <c r="Z77" s="261"/>
      <c r="AA77" s="261"/>
      <c r="AB77" s="261"/>
      <c r="AC77" s="261"/>
      <c r="AD77" s="300"/>
      <c r="AE77" s="300"/>
      <c r="AF77" s="300"/>
      <c r="AG77" s="300"/>
      <c r="AH77" s="300"/>
      <c r="AI77" s="300"/>
      <c r="AJ77" s="300"/>
      <c r="AK77" s="300"/>
      <c r="AL77" s="300"/>
      <c r="AP77" s="251"/>
    </row>
    <row r="78" spans="2:42" s="249" customFormat="1" ht="12" customHeight="1">
      <c r="B78" s="292">
        <v>13</v>
      </c>
      <c r="C78" s="288"/>
      <c r="D78" s="288"/>
      <c r="E78" s="291" t="str">
        <f>VLOOKUP(B78,'Filtered Data'!K:L,2,FALSE)</f>
        <v>Mole Valley</v>
      </c>
      <c r="F78" s="291"/>
      <c r="G78" s="291"/>
      <c r="H78" s="291"/>
      <c r="I78" s="291"/>
      <c r="J78" s="291"/>
      <c r="K78" s="291"/>
      <c r="L78" s="291"/>
      <c r="M78" s="291"/>
      <c r="N78" s="291"/>
      <c r="O78" s="291"/>
      <c r="P78" s="291"/>
      <c r="Q78" s="291"/>
      <c r="R78" s="291"/>
      <c r="S78" s="291"/>
      <c r="T78" s="291"/>
      <c r="U78" s="290">
        <f>IF('Filtered Data'!$H$8="%.",(VLOOKUP(B78,'Filtered Data'!K:M,3,FALSE))/100,VLOOKUP(B78,'Filtered Data'!K:M,3,FALSE))</f>
        <v>87.778055448573227</v>
      </c>
      <c r="V78" s="290"/>
      <c r="W78" s="290"/>
      <c r="X78" s="290"/>
      <c r="Y78" s="261" t="str">
        <f>IF((VLOOKUP(E78,classifications!C:K,9,FALSE))="Sparse","S","")</f>
        <v/>
      </c>
      <c r="Z78" s="261"/>
      <c r="AA78" s="261"/>
      <c r="AB78" s="261"/>
      <c r="AC78" s="261"/>
      <c r="AD78" s="300"/>
      <c r="AE78" s="300"/>
      <c r="AF78" s="300"/>
      <c r="AG78" s="300"/>
      <c r="AH78" s="300"/>
      <c r="AI78" s="300"/>
      <c r="AJ78" s="300"/>
      <c r="AK78" s="300"/>
      <c r="AL78" s="300"/>
      <c r="AP78" s="251"/>
    </row>
    <row r="79" spans="2:42" s="249" customFormat="1" ht="12" customHeight="1">
      <c r="B79" s="292">
        <v>14</v>
      </c>
      <c r="C79" s="288"/>
      <c r="D79" s="288"/>
      <c r="E79" s="291" t="str">
        <f>VLOOKUP(B79,'Filtered Data'!K:L,2,FALSE)</f>
        <v>Norwich</v>
      </c>
      <c r="F79" s="291"/>
      <c r="G79" s="291"/>
      <c r="H79" s="291"/>
      <c r="I79" s="291"/>
      <c r="J79" s="291"/>
      <c r="K79" s="291"/>
      <c r="L79" s="291"/>
      <c r="M79" s="291"/>
      <c r="N79" s="291"/>
      <c r="O79" s="291"/>
      <c r="P79" s="291"/>
      <c r="Q79" s="291"/>
      <c r="R79" s="291"/>
      <c r="S79" s="291"/>
      <c r="T79" s="291"/>
      <c r="U79" s="290">
        <f>IF('Filtered Data'!$H$8="%.",(VLOOKUP(B79,'Filtered Data'!K:M,3,FALSE))/100,VLOOKUP(B79,'Filtered Data'!K:M,3,FALSE))</f>
        <v>87.667255896741864</v>
      </c>
      <c r="V79" s="290"/>
      <c r="W79" s="290"/>
      <c r="X79" s="290"/>
      <c r="Y79" s="261" t="str">
        <f>IF((VLOOKUP(E79,classifications!C:K,9,FALSE))="Sparse","S","")</f>
        <v/>
      </c>
      <c r="Z79" s="261"/>
      <c r="AA79" s="261"/>
      <c r="AB79" s="261"/>
      <c r="AC79" s="261"/>
      <c r="AD79" s="300"/>
      <c r="AE79" s="300"/>
      <c r="AF79" s="300"/>
      <c r="AG79" s="300"/>
      <c r="AH79" s="300"/>
      <c r="AI79" s="300"/>
      <c r="AJ79" s="300"/>
      <c r="AK79" s="300"/>
      <c r="AL79" s="300"/>
      <c r="AP79" s="251"/>
    </row>
    <row r="80" spans="2:42" s="249" customFormat="1" ht="12" customHeight="1">
      <c r="B80" s="292">
        <v>15</v>
      </c>
      <c r="C80" s="288"/>
      <c r="D80" s="288"/>
      <c r="E80" s="291" t="str">
        <f>VLOOKUP(B80,'Filtered Data'!K:L,2,FALSE)</f>
        <v>Cotswold</v>
      </c>
      <c r="F80" s="291"/>
      <c r="G80" s="291"/>
      <c r="H80" s="291"/>
      <c r="I80" s="291"/>
      <c r="J80" s="291"/>
      <c r="K80" s="291"/>
      <c r="L80" s="291"/>
      <c r="M80" s="291"/>
      <c r="N80" s="291"/>
      <c r="O80" s="291"/>
      <c r="P80" s="291"/>
      <c r="Q80" s="291"/>
      <c r="R80" s="291"/>
      <c r="S80" s="291"/>
      <c r="T80" s="291"/>
      <c r="U80" s="290">
        <f>IF('Filtered Data'!$H$8="%.",(VLOOKUP(B80,'Filtered Data'!K:M,3,FALSE))/100,VLOOKUP(B80,'Filtered Data'!K:M,3,FALSE))</f>
        <v>87.647615077230469</v>
      </c>
      <c r="V80" s="290"/>
      <c r="W80" s="290"/>
      <c r="X80" s="290"/>
      <c r="Y80" s="261" t="str">
        <f>IF((VLOOKUP(E80,classifications!C:K,9,FALSE))="Sparse","S","")</f>
        <v>S</v>
      </c>
      <c r="Z80" s="261"/>
      <c r="AA80" s="261"/>
      <c r="AB80" s="261"/>
      <c r="AC80" s="261"/>
      <c r="AD80" s="300"/>
      <c r="AE80" s="300"/>
      <c r="AF80" s="300"/>
      <c r="AG80" s="300"/>
      <c r="AH80" s="300"/>
      <c r="AI80" s="300"/>
      <c r="AJ80" s="300"/>
      <c r="AK80" s="300"/>
      <c r="AL80" s="300"/>
      <c r="AP80" s="251"/>
    </row>
    <row r="81" spans="2:48" s="249" customFormat="1" ht="12" customHeight="1">
      <c r="B81" s="292">
        <v>16</v>
      </c>
      <c r="C81" s="288"/>
      <c r="D81" s="288"/>
      <c r="E81" s="291" t="str">
        <f>VLOOKUP(B81,'Filtered Data'!K:L,2,FALSE)</f>
        <v>Colchester</v>
      </c>
      <c r="F81" s="291"/>
      <c r="G81" s="291"/>
      <c r="H81" s="291"/>
      <c r="I81" s="291"/>
      <c r="J81" s="291"/>
      <c r="K81" s="291"/>
      <c r="L81" s="291"/>
      <c r="M81" s="291"/>
      <c r="N81" s="291"/>
      <c r="O81" s="291"/>
      <c r="P81" s="291"/>
      <c r="Q81" s="291"/>
      <c r="R81" s="291"/>
      <c r="S81" s="291"/>
      <c r="T81" s="291"/>
      <c r="U81" s="290">
        <f>IF('Filtered Data'!$H$8="%.",(VLOOKUP(B81,'Filtered Data'!K:M,3,FALSE))/100,VLOOKUP(B81,'Filtered Data'!K:M,3,FALSE))</f>
        <v>87.528570676960697</v>
      </c>
      <c r="V81" s="290"/>
      <c r="W81" s="290"/>
      <c r="X81" s="290"/>
      <c r="Y81" s="261" t="str">
        <f>IF((VLOOKUP(E81,classifications!C:K,9,FALSE))="Sparse","S","")</f>
        <v/>
      </c>
      <c r="Z81" s="261"/>
      <c r="AA81" s="261"/>
      <c r="AB81" s="261"/>
      <c r="AC81" s="261"/>
      <c r="AD81" s="300"/>
      <c r="AE81" s="300"/>
      <c r="AF81" s="300"/>
      <c r="AG81" s="300"/>
      <c r="AH81" s="300"/>
      <c r="AI81" s="300"/>
      <c r="AJ81" s="300"/>
      <c r="AK81" s="300"/>
      <c r="AL81" s="300"/>
      <c r="AP81" s="251"/>
    </row>
    <row r="82" spans="2:48" s="249" customFormat="1" ht="12" customHeight="1">
      <c r="B82" s="292">
        <v>17</v>
      </c>
      <c r="C82" s="288"/>
      <c r="D82" s="288"/>
      <c r="E82" s="291" t="str">
        <f>VLOOKUP(B82,'Filtered Data'!K:L,2,FALSE)</f>
        <v>Chiltern</v>
      </c>
      <c r="F82" s="291"/>
      <c r="G82" s="291"/>
      <c r="H82" s="291"/>
      <c r="I82" s="291"/>
      <c r="J82" s="291"/>
      <c r="K82" s="291"/>
      <c r="L82" s="291"/>
      <c r="M82" s="291"/>
      <c r="N82" s="291"/>
      <c r="O82" s="291"/>
      <c r="P82" s="291"/>
      <c r="Q82" s="291"/>
      <c r="R82" s="291"/>
      <c r="S82" s="291"/>
      <c r="T82" s="291"/>
      <c r="U82" s="290">
        <f>IF('Filtered Data'!$H$8="%.",(VLOOKUP(B82,'Filtered Data'!K:M,3,FALSE))/100,VLOOKUP(B82,'Filtered Data'!K:M,3,FALSE))</f>
        <v>87.493941229861846</v>
      </c>
      <c r="V82" s="290"/>
      <c r="W82" s="290"/>
      <c r="X82" s="290"/>
      <c r="Y82" s="261" t="str">
        <f>IF((VLOOKUP(E82,classifications!C:K,9,FALSE))="Sparse","S","")</f>
        <v/>
      </c>
      <c r="Z82" s="261"/>
      <c r="AA82" s="261"/>
      <c r="AB82" s="261"/>
      <c r="AC82" s="261"/>
      <c r="AD82" s="300"/>
      <c r="AE82" s="300"/>
      <c r="AF82" s="300"/>
      <c r="AG82" s="300"/>
      <c r="AH82" s="300"/>
      <c r="AI82" s="300"/>
      <c r="AJ82" s="300"/>
      <c r="AK82" s="300"/>
      <c r="AL82" s="300"/>
      <c r="AP82" s="251"/>
    </row>
    <row r="83" spans="2:48" s="249" customFormat="1" ht="12" customHeight="1">
      <c r="B83" s="292">
        <v>18</v>
      </c>
      <c r="C83" s="288"/>
      <c r="D83" s="288"/>
      <c r="E83" s="291" t="str">
        <f>VLOOKUP(B83,'Filtered Data'!K:L,2,FALSE)</f>
        <v>North Hertfordshire</v>
      </c>
      <c r="F83" s="291"/>
      <c r="G83" s="291"/>
      <c r="H83" s="291"/>
      <c r="I83" s="291"/>
      <c r="J83" s="291"/>
      <c r="K83" s="291"/>
      <c r="L83" s="291"/>
      <c r="M83" s="291"/>
      <c r="N83" s="291"/>
      <c r="O83" s="291"/>
      <c r="P83" s="291"/>
      <c r="Q83" s="291"/>
      <c r="R83" s="291"/>
      <c r="S83" s="291"/>
      <c r="T83" s="291"/>
      <c r="U83" s="290">
        <f>IF('Filtered Data'!$H$8="%.",(VLOOKUP(B83,'Filtered Data'!K:M,3,FALSE))/100,VLOOKUP(B83,'Filtered Data'!K:M,3,FALSE))</f>
        <v>87.469177998201303</v>
      </c>
      <c r="V83" s="290"/>
      <c r="W83" s="290"/>
      <c r="X83" s="290"/>
      <c r="Y83" s="261" t="str">
        <f>IF((VLOOKUP(E83,classifications!C:K,9,FALSE))="Sparse","S","")</f>
        <v/>
      </c>
      <c r="Z83" s="261"/>
      <c r="AA83" s="261"/>
      <c r="AB83" s="261"/>
      <c r="AC83" s="261"/>
      <c r="AD83" s="300"/>
      <c r="AE83" s="300"/>
      <c r="AF83" s="300"/>
      <c r="AG83" s="300"/>
      <c r="AH83" s="300"/>
      <c r="AI83" s="300"/>
      <c r="AJ83" s="300"/>
      <c r="AK83" s="300"/>
      <c r="AL83" s="300"/>
      <c r="AP83" s="251"/>
    </row>
    <row r="84" spans="2:48" s="249" customFormat="1" ht="12" customHeight="1">
      <c r="B84" s="292">
        <v>19</v>
      </c>
      <c r="C84" s="288"/>
      <c r="D84" s="288"/>
      <c r="E84" s="291" t="str">
        <f>VLOOKUP(B84,'Filtered Data'!K:L,2,FALSE)</f>
        <v>Derbyshire Dales</v>
      </c>
      <c r="F84" s="291"/>
      <c r="G84" s="291"/>
      <c r="H84" s="291"/>
      <c r="I84" s="291"/>
      <c r="J84" s="291"/>
      <c r="K84" s="291"/>
      <c r="L84" s="291"/>
      <c r="M84" s="291"/>
      <c r="N84" s="291"/>
      <c r="O84" s="291"/>
      <c r="P84" s="291"/>
      <c r="Q84" s="291"/>
      <c r="R84" s="291"/>
      <c r="S84" s="291"/>
      <c r="T84" s="291"/>
      <c r="U84" s="290">
        <f>IF('Filtered Data'!$H$8="%.",(VLOOKUP(B84,'Filtered Data'!K:M,3,FALSE))/100,VLOOKUP(B84,'Filtered Data'!K:M,3,FALSE))</f>
        <v>87.156969497663397</v>
      </c>
      <c r="V84" s="290"/>
      <c r="W84" s="290"/>
      <c r="X84" s="290"/>
      <c r="Y84" s="261" t="str">
        <f>IF((VLOOKUP(E84,classifications!C:K,9,FALSE))="Sparse","S","")</f>
        <v>S</v>
      </c>
      <c r="Z84" s="261"/>
      <c r="AA84" s="261"/>
      <c r="AB84" s="261"/>
      <c r="AC84" s="261"/>
      <c r="AD84" s="300"/>
      <c r="AE84" s="300"/>
      <c r="AF84" s="300"/>
      <c r="AG84" s="300"/>
      <c r="AH84" s="300"/>
      <c r="AI84" s="300"/>
      <c r="AJ84" s="300"/>
      <c r="AK84" s="300"/>
      <c r="AL84" s="300"/>
      <c r="AP84" s="251"/>
    </row>
    <row r="85" spans="2:48" s="249" customFormat="1" ht="12" customHeight="1">
      <c r="B85" s="292">
        <v>20</v>
      </c>
      <c r="C85" s="292"/>
      <c r="D85" s="292"/>
      <c r="E85" s="291" t="str">
        <f>VLOOKUP(B85,'Filtered Data'!K:L,2,FALSE)</f>
        <v>Epsom &amp; Ewell</v>
      </c>
      <c r="F85" s="291"/>
      <c r="G85" s="291"/>
      <c r="H85" s="291"/>
      <c r="I85" s="291"/>
      <c r="J85" s="291"/>
      <c r="K85" s="291"/>
      <c r="L85" s="291"/>
      <c r="M85" s="291"/>
      <c r="N85" s="291"/>
      <c r="O85" s="291"/>
      <c r="P85" s="291"/>
      <c r="Q85" s="291"/>
      <c r="R85" s="291"/>
      <c r="S85" s="291"/>
      <c r="T85" s="291"/>
      <c r="U85" s="290">
        <f>IF('Filtered Data'!$H$8="%.",(VLOOKUP(B85,'Filtered Data'!K:M,3,FALSE))/100,VLOOKUP(B85,'Filtered Data'!K:M,3,FALSE))</f>
        <v>86.93318830237007</v>
      </c>
      <c r="V85" s="290"/>
      <c r="W85" s="290"/>
      <c r="X85" s="290"/>
      <c r="Y85" s="261" t="str">
        <f>IF((VLOOKUP(E85,classifications!C:K,9,FALSE))="Sparse","S","")</f>
        <v/>
      </c>
      <c r="Z85" s="261"/>
      <c r="AA85" s="261"/>
      <c r="AB85" s="261"/>
      <c r="AC85" s="261"/>
      <c r="AD85" s="300"/>
      <c r="AE85" s="300"/>
      <c r="AF85" s="300"/>
      <c r="AG85" s="300"/>
      <c r="AH85" s="300"/>
      <c r="AI85" s="300"/>
      <c r="AJ85" s="300"/>
      <c r="AK85" s="300"/>
      <c r="AL85" s="300"/>
      <c r="AP85" s="251"/>
    </row>
    <row r="86" spans="2:48" s="249" customFormat="1" ht="12" customHeight="1">
      <c r="B86" s="325">
        <f>IF(Q37&lt;=MAX(B66:D85),"",Q37)</f>
        <v>112</v>
      </c>
      <c r="C86" s="325"/>
      <c r="D86" s="325"/>
      <c r="E86" s="291" t="str">
        <f>IF(B86="","",VLOOKUP(B86,'Filtered Data'!K:L,2,FALSE))</f>
        <v>Allerdale</v>
      </c>
      <c r="F86" s="291"/>
      <c r="G86" s="291"/>
      <c r="H86" s="291"/>
      <c r="I86" s="291"/>
      <c r="J86" s="291"/>
      <c r="K86" s="291"/>
      <c r="L86" s="291"/>
      <c r="M86" s="291"/>
      <c r="N86" s="291"/>
      <c r="O86" s="291"/>
      <c r="P86" s="291"/>
      <c r="Q86" s="291"/>
      <c r="R86" s="291"/>
      <c r="S86" s="291"/>
      <c r="T86" s="291"/>
      <c r="U86" s="298">
        <f>IF(B86="","",L35)</f>
        <v>81.774925961121198</v>
      </c>
      <c r="V86" s="298"/>
      <c r="W86" s="298"/>
      <c r="X86" s="298"/>
      <c r="Y86" s="261" t="str">
        <f>IF(B86="","",IF((VLOOKUP(E86,classifications!C:K,9,FALSE))="Sparse","S",""))</f>
        <v>S</v>
      </c>
      <c r="Z86" s="261"/>
      <c r="AA86" s="261"/>
      <c r="AB86" s="261"/>
      <c r="AC86" s="261"/>
      <c r="AD86" s="301"/>
      <c r="AE86" s="301"/>
      <c r="AF86" s="301"/>
      <c r="AG86" s="301"/>
      <c r="AH86" s="301"/>
      <c r="AI86" s="301"/>
      <c r="AJ86" s="301"/>
      <c r="AK86" s="301"/>
      <c r="AL86" s="301"/>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County Authorities:</v>
      </c>
      <c r="K89" s="258" t="str">
        <f>IF('Filtered Data'!D1="UA",J9,J10)</f>
        <v>Cumbria</v>
      </c>
      <c r="U89" s="258"/>
      <c r="AD89" s="258"/>
      <c r="AP89" s="251"/>
    </row>
    <row r="90" spans="2:48" s="249" customFormat="1" ht="12" customHeight="1">
      <c r="B90" s="258"/>
      <c r="AP90" s="251"/>
    </row>
    <row r="91" spans="2:48" s="249" customFormat="1" ht="12" customHeight="1">
      <c r="B91" s="301" t="str">
        <f>IF('Filtered Data'!D1="MD","",IF('Filtered Data'!D1="SC","","Rank"))</f>
        <v>Rank</v>
      </c>
      <c r="C91" s="301"/>
      <c r="D91" s="301"/>
      <c r="E91" s="286" t="str">
        <f>IF('Filtered Data'!D1="MD","",IF('Filtered Data'!D1="SC","","Authority"))</f>
        <v>Authority</v>
      </c>
      <c r="F91" s="286"/>
      <c r="G91" s="286"/>
      <c r="H91" s="286"/>
      <c r="I91" s="286"/>
      <c r="J91" s="286"/>
      <c r="K91" s="286"/>
      <c r="L91" s="286"/>
      <c r="M91" s="286"/>
      <c r="N91" s="286"/>
      <c r="O91" s="270"/>
      <c r="P91" s="270"/>
      <c r="Q91" s="270"/>
      <c r="R91" s="270"/>
      <c r="S91" s="270"/>
      <c r="T91" s="270"/>
      <c r="U91" s="301" t="str">
        <f>IF('Filtered Data'!D1="MD","",IF('Filtered Data'!D1="SC","","Value"))</f>
        <v>Value</v>
      </c>
      <c r="V91" s="301"/>
      <c r="W91" s="301"/>
      <c r="AA91" s="301"/>
      <c r="AB91" s="301"/>
      <c r="AC91" s="301"/>
      <c r="AD91" s="286"/>
      <c r="AE91" s="286"/>
      <c r="AF91" s="286"/>
      <c r="AG91" s="286"/>
      <c r="AH91" s="286"/>
      <c r="AI91" s="286"/>
      <c r="AJ91" s="286"/>
      <c r="AK91" s="286"/>
      <c r="AL91" s="286"/>
      <c r="AM91" s="286"/>
      <c r="AN91" s="301"/>
      <c r="AO91" s="301"/>
      <c r="AP91" s="301"/>
      <c r="AV91" s="251"/>
    </row>
    <row r="92" spans="2:48" s="249" customFormat="1" ht="12" customHeight="1">
      <c r="B92" s="292">
        <f>IF('Filtered Data'!$D$1="MD","",IF('Filtered Data'!$D$1="SC","",IF('Filtered Data'!$D$1="UA",'Filtered Data'!AS11,'Filtered Data'!AL11)))</f>
        <v>1</v>
      </c>
      <c r="C92" s="288"/>
      <c r="D92" s="288"/>
      <c r="E92" s="291" t="str">
        <f>IF(B92="","",IF('Filtered Data'!$D$1="UA",VLOOKUP(B92,'Filtered Data'!AS:AU,2,FALSE),VLOOKUP(B92,'Filtered Data'!AL:AN,2,FALSE)))</f>
        <v>South Lakeland</v>
      </c>
      <c r="F92" s="291"/>
      <c r="G92" s="291"/>
      <c r="H92" s="291"/>
      <c r="I92" s="291"/>
      <c r="J92" s="291"/>
      <c r="K92" s="291"/>
      <c r="L92" s="291"/>
      <c r="M92" s="291"/>
      <c r="N92" s="291"/>
      <c r="O92" s="291"/>
      <c r="P92" s="291"/>
      <c r="Q92" s="291"/>
      <c r="R92" s="291"/>
      <c r="S92" s="291"/>
      <c r="T92" s="291"/>
      <c r="U92" s="290">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86.127920184335537</v>
      </c>
      <c r="V92" s="290"/>
      <c r="W92" s="290"/>
      <c r="X92" s="290"/>
      <c r="Y92" s="264" t="str">
        <f>IF(E92="","",IF((VLOOKUP(E92,classifications!C:K,9,FALSE))="Sparse","S",""))</f>
        <v>S</v>
      </c>
      <c r="AA92" s="287"/>
      <c r="AB92" s="288"/>
      <c r="AC92" s="288"/>
      <c r="AD92" s="291"/>
      <c r="AE92" s="291"/>
      <c r="AF92" s="291"/>
      <c r="AG92" s="291"/>
      <c r="AH92" s="291"/>
      <c r="AI92" s="291"/>
      <c r="AJ92" s="291"/>
      <c r="AK92" s="291"/>
      <c r="AL92" s="291"/>
      <c r="AM92" s="291"/>
      <c r="AN92" s="289"/>
      <c r="AO92" s="289"/>
      <c r="AP92" s="289"/>
      <c r="AQ92" s="289"/>
      <c r="AR92" s="264"/>
      <c r="AV92" s="251"/>
    </row>
    <row r="93" spans="2:48" s="249" customFormat="1" ht="12" customHeight="1">
      <c r="B93" s="292">
        <f>IF('Filtered Data'!$D$1="MD","",IF('Filtered Data'!$D$1="SC","",IF('Filtered Data'!$D$1="UA",'Filtered Data'!AS12,'Filtered Data'!AL12)))</f>
        <v>2</v>
      </c>
      <c r="C93" s="288"/>
      <c r="D93" s="288"/>
      <c r="E93" s="291" t="str">
        <f>IF(B93="","",IF('Filtered Data'!$D$1="UA",VLOOKUP(B93,'Filtered Data'!AS:AU,2,FALSE),VLOOKUP(B93,'Filtered Data'!AL:AN,2,FALSE)))</f>
        <v>Eden</v>
      </c>
      <c r="F93" s="291"/>
      <c r="G93" s="291"/>
      <c r="H93" s="291"/>
      <c r="I93" s="291"/>
      <c r="J93" s="291"/>
      <c r="K93" s="291"/>
      <c r="L93" s="291"/>
      <c r="M93" s="291"/>
      <c r="N93" s="291"/>
      <c r="O93" s="291"/>
      <c r="P93" s="291"/>
      <c r="Q93" s="291"/>
      <c r="R93" s="291"/>
      <c r="S93" s="291"/>
      <c r="T93" s="291"/>
      <c r="U93" s="290">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85.470285287194898</v>
      </c>
      <c r="V93" s="290"/>
      <c r="W93" s="290"/>
      <c r="X93" s="290"/>
      <c r="Y93" s="264" t="str">
        <f>IF(E93="","",IF((VLOOKUP(E93,classifications!C:K,9,FALSE))="Sparse","S",""))</f>
        <v>S</v>
      </c>
      <c r="AA93" s="287"/>
      <c r="AB93" s="288"/>
      <c r="AC93" s="288"/>
      <c r="AD93" s="291"/>
      <c r="AE93" s="291"/>
      <c r="AF93" s="291"/>
      <c r="AG93" s="291"/>
      <c r="AH93" s="291"/>
      <c r="AI93" s="291"/>
      <c r="AJ93" s="291"/>
      <c r="AK93" s="291"/>
      <c r="AL93" s="291"/>
      <c r="AM93" s="291"/>
      <c r="AN93" s="289"/>
      <c r="AO93" s="289"/>
      <c r="AP93" s="289"/>
      <c r="AQ93" s="289"/>
      <c r="AR93" s="264"/>
      <c r="AV93" s="251"/>
    </row>
    <row r="94" spans="2:48" s="249" customFormat="1" ht="12" customHeight="1">
      <c r="B94" s="292">
        <f>IF('Filtered Data'!$D$1="MD","",IF('Filtered Data'!$D$1="SC","",IF('Filtered Data'!$D$1="UA",'Filtered Data'!AS13,'Filtered Data'!AL13)))</f>
        <v>3</v>
      </c>
      <c r="C94" s="288"/>
      <c r="D94" s="288"/>
      <c r="E94" s="291" t="str">
        <f>IF(B94="","",IF('Filtered Data'!$D$1="UA",VLOOKUP(B94,'Filtered Data'!AS:AU,2,FALSE),VLOOKUP(B94,'Filtered Data'!AL:AN,2,FALSE)))</f>
        <v>Barrow-in-Furness</v>
      </c>
      <c r="F94" s="291"/>
      <c r="G94" s="291"/>
      <c r="H94" s="291"/>
      <c r="I94" s="291"/>
      <c r="J94" s="291"/>
      <c r="K94" s="291"/>
      <c r="L94" s="291"/>
      <c r="M94" s="291"/>
      <c r="N94" s="291"/>
      <c r="O94" s="291"/>
      <c r="P94" s="291"/>
      <c r="Q94" s="291"/>
      <c r="R94" s="291"/>
      <c r="S94" s="291"/>
      <c r="T94" s="291"/>
      <c r="U94" s="290">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82.166266846252938</v>
      </c>
      <c r="V94" s="290"/>
      <c r="W94" s="290"/>
      <c r="X94" s="290"/>
      <c r="Y94" s="264" t="str">
        <f>IF(E94="","",IF((VLOOKUP(E94,classifications!C:K,9,FALSE))="Sparse","S",""))</f>
        <v/>
      </c>
      <c r="AA94" s="287"/>
      <c r="AB94" s="288"/>
      <c r="AC94" s="288"/>
      <c r="AD94" s="291"/>
      <c r="AE94" s="291"/>
      <c r="AF94" s="291"/>
      <c r="AG94" s="291"/>
      <c r="AH94" s="291"/>
      <c r="AI94" s="291"/>
      <c r="AJ94" s="291"/>
      <c r="AK94" s="291"/>
      <c r="AL94" s="291"/>
      <c r="AM94" s="291"/>
      <c r="AN94" s="289"/>
      <c r="AO94" s="289"/>
      <c r="AP94" s="289"/>
      <c r="AQ94" s="289"/>
      <c r="AR94" s="264"/>
      <c r="AV94" s="251"/>
    </row>
    <row r="95" spans="2:48" s="249" customFormat="1" ht="12" customHeight="1">
      <c r="B95" s="292">
        <f>IF('Filtered Data'!$D$1="MD","",IF('Filtered Data'!$D$1="SC","",IF('Filtered Data'!$D$1="UA",'Filtered Data'!AS14,'Filtered Data'!AL14)))</f>
        <v>4</v>
      </c>
      <c r="C95" s="288"/>
      <c r="D95" s="288"/>
      <c r="E95" s="291" t="str">
        <f>IF(B95="","",IF('Filtered Data'!$D$1="UA",VLOOKUP(B95,'Filtered Data'!AS:AU,2,FALSE),VLOOKUP(B95,'Filtered Data'!AL:AN,2,FALSE)))</f>
        <v>Allerdale</v>
      </c>
      <c r="F95" s="291"/>
      <c r="G95" s="291"/>
      <c r="H95" s="291"/>
      <c r="I95" s="291"/>
      <c r="J95" s="291"/>
      <c r="K95" s="291"/>
      <c r="L95" s="291"/>
      <c r="M95" s="291"/>
      <c r="N95" s="291"/>
      <c r="O95" s="291"/>
      <c r="P95" s="291"/>
      <c r="Q95" s="291"/>
      <c r="R95" s="291"/>
      <c r="S95" s="291"/>
      <c r="T95" s="291"/>
      <c r="U95" s="290">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81.774925961121198</v>
      </c>
      <c r="V95" s="290"/>
      <c r="W95" s="290"/>
      <c r="X95" s="290"/>
      <c r="Y95" s="264" t="str">
        <f>IF(E95="","",IF((VLOOKUP(E95,classifications!C:K,9,FALSE))="Sparse","S",""))</f>
        <v>S</v>
      </c>
      <c r="AA95" s="287"/>
      <c r="AB95" s="288"/>
      <c r="AC95" s="288"/>
      <c r="AD95" s="291"/>
      <c r="AE95" s="291"/>
      <c r="AF95" s="291"/>
      <c r="AG95" s="291"/>
      <c r="AH95" s="291"/>
      <c r="AI95" s="291"/>
      <c r="AJ95" s="291"/>
      <c r="AK95" s="291"/>
      <c r="AL95" s="291"/>
      <c r="AM95" s="291"/>
      <c r="AN95" s="289"/>
      <c r="AO95" s="289"/>
      <c r="AP95" s="289"/>
      <c r="AQ95" s="289"/>
      <c r="AR95" s="264"/>
      <c r="AV95" s="251"/>
    </row>
    <row r="96" spans="2:48" s="249" customFormat="1" ht="12" customHeight="1">
      <c r="B96" s="292">
        <f>IF('Filtered Data'!$D$1="MD","",IF('Filtered Data'!$D$1="SC","",IF('Filtered Data'!$D$1="UA",'Filtered Data'!AS15,'Filtered Data'!AL15)))</f>
        <v>5</v>
      </c>
      <c r="C96" s="288"/>
      <c r="D96" s="288"/>
      <c r="E96" s="291" t="str">
        <f>IF(B96="","",IF('Filtered Data'!$D$1="UA",VLOOKUP(B96,'Filtered Data'!AS:AU,2,FALSE),VLOOKUP(B96,'Filtered Data'!AL:AN,2,FALSE)))</f>
        <v>Copeland</v>
      </c>
      <c r="F96" s="291"/>
      <c r="G96" s="291"/>
      <c r="H96" s="291"/>
      <c r="I96" s="291"/>
      <c r="J96" s="291"/>
      <c r="K96" s="291"/>
      <c r="L96" s="291"/>
      <c r="M96" s="291"/>
      <c r="N96" s="291"/>
      <c r="O96" s="291"/>
      <c r="P96" s="291"/>
      <c r="Q96" s="291"/>
      <c r="R96" s="291"/>
      <c r="S96" s="291"/>
      <c r="T96" s="291"/>
      <c r="U96" s="290">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81.67035568373511</v>
      </c>
      <c r="V96" s="290"/>
      <c r="W96" s="290"/>
      <c r="X96" s="290"/>
      <c r="Y96" s="264" t="str">
        <f>IF(E96="","",IF((VLOOKUP(E96,classifications!C:K,9,FALSE))="Sparse","S",""))</f>
        <v>S</v>
      </c>
      <c r="AA96" s="287"/>
      <c r="AB96" s="288"/>
      <c r="AC96" s="288"/>
      <c r="AD96" s="291"/>
      <c r="AE96" s="291"/>
      <c r="AF96" s="291"/>
      <c r="AG96" s="291"/>
      <c r="AH96" s="291"/>
      <c r="AI96" s="291"/>
      <c r="AJ96" s="291"/>
      <c r="AK96" s="291"/>
      <c r="AL96" s="291"/>
      <c r="AM96" s="291"/>
      <c r="AN96" s="289"/>
      <c r="AO96" s="289"/>
      <c r="AP96" s="289"/>
      <c r="AQ96" s="289"/>
      <c r="AR96" s="264"/>
      <c r="AV96" s="251"/>
    </row>
    <row r="97" spans="2:48" s="249" customFormat="1" ht="12" customHeight="1">
      <c r="B97" s="292">
        <f>IF('Filtered Data'!$D$1="MD","",IF('Filtered Data'!$D$1="SC","",IF('Filtered Data'!$D$1="UA",'Filtered Data'!AS16,'Filtered Data'!AL16)))</f>
        <v>6</v>
      </c>
      <c r="C97" s="288"/>
      <c r="D97" s="288"/>
      <c r="E97" s="291" t="str">
        <f>IF(B97="","",IF('Filtered Data'!$D$1="UA",VLOOKUP(B97,'Filtered Data'!AS:AU,2,FALSE),VLOOKUP(B97,'Filtered Data'!AL:AN,2,FALSE)))</f>
        <v>Carlisle</v>
      </c>
      <c r="F97" s="291"/>
      <c r="G97" s="291"/>
      <c r="H97" s="291"/>
      <c r="I97" s="291"/>
      <c r="J97" s="291"/>
      <c r="K97" s="291"/>
      <c r="L97" s="291"/>
      <c r="M97" s="291"/>
      <c r="N97" s="291"/>
      <c r="O97" s="291"/>
      <c r="P97" s="291"/>
      <c r="Q97" s="291"/>
      <c r="R97" s="291"/>
      <c r="S97" s="291"/>
      <c r="T97" s="291"/>
      <c r="U97" s="290">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81.09538839596307</v>
      </c>
      <c r="V97" s="290"/>
      <c r="W97" s="290"/>
      <c r="X97" s="290"/>
      <c r="Y97" s="264" t="str">
        <f>IF(E97="","",IF((VLOOKUP(E97,classifications!C:K,9,FALSE))="Sparse","S",""))</f>
        <v/>
      </c>
      <c r="AA97" s="287"/>
      <c r="AB97" s="288"/>
      <c r="AC97" s="288"/>
      <c r="AD97" s="291"/>
      <c r="AE97" s="291"/>
      <c r="AF97" s="291"/>
      <c r="AG97" s="291"/>
      <c r="AH97" s="291"/>
      <c r="AI97" s="291"/>
      <c r="AJ97" s="291"/>
      <c r="AK97" s="291"/>
      <c r="AL97" s="291"/>
      <c r="AM97" s="291"/>
      <c r="AN97" s="289"/>
      <c r="AO97" s="289"/>
      <c r="AP97" s="289"/>
      <c r="AQ97" s="289"/>
      <c r="AR97" s="264"/>
      <c r="AV97" s="251"/>
    </row>
    <row r="98" spans="2:48" s="249" customFormat="1" ht="12" customHeight="1">
      <c r="B98" s="292" t="str">
        <f>IF('Filtered Data'!$D$1="MD","",IF('Filtered Data'!$D$1="SC","",IF('Filtered Data'!$D$1="UA",'Filtered Data'!AS17,'Filtered Data'!AL17)))</f>
        <v/>
      </c>
      <c r="C98" s="292"/>
      <c r="D98" s="292"/>
      <c r="E98" s="291" t="str">
        <f>IF(B98="","",IF('Filtered Data'!$D$1="UA",VLOOKUP(B98,'Filtered Data'!AS:AU,2,FALSE),VLOOKUP(B98,'Filtered Data'!AL:AN,2,FALSE)))</f>
        <v/>
      </c>
      <c r="F98" s="291"/>
      <c r="G98" s="291"/>
      <c r="H98" s="291"/>
      <c r="I98" s="291"/>
      <c r="J98" s="291"/>
      <c r="K98" s="291"/>
      <c r="L98" s="291"/>
      <c r="M98" s="291"/>
      <c r="N98" s="291"/>
      <c r="O98" s="291"/>
      <c r="P98" s="291"/>
      <c r="Q98" s="291"/>
      <c r="R98" s="291"/>
      <c r="S98" s="291"/>
      <c r="T98" s="291"/>
      <c r="U98" s="290"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90"/>
      <c r="W98" s="290"/>
      <c r="X98" s="290"/>
      <c r="Y98" s="264" t="str">
        <f>IF(E98="","",IF((VLOOKUP(E98,classifications!C:K,9,FALSE))="Sparse","S",""))</f>
        <v/>
      </c>
      <c r="AA98" s="287"/>
      <c r="AB98" s="288"/>
      <c r="AC98" s="288"/>
      <c r="AD98" s="291"/>
      <c r="AE98" s="291"/>
      <c r="AF98" s="291"/>
      <c r="AG98" s="291"/>
      <c r="AH98" s="291"/>
      <c r="AI98" s="291"/>
      <c r="AJ98" s="291"/>
      <c r="AK98" s="291"/>
      <c r="AL98" s="291"/>
      <c r="AM98" s="291"/>
      <c r="AN98" s="289"/>
      <c r="AO98" s="289"/>
      <c r="AP98" s="289"/>
      <c r="AQ98" s="289"/>
      <c r="AR98" s="264"/>
      <c r="AV98" s="251"/>
    </row>
    <row r="99" spans="2:48" s="249" customFormat="1" ht="12" customHeight="1">
      <c r="B99" s="292" t="str">
        <f>IF('Filtered Data'!$D$1="MD","",IF('Filtered Data'!$D$1="SC","",IF('Filtered Data'!$D$1="UA",'Filtered Data'!AS18,'Filtered Data'!AL18)))</f>
        <v/>
      </c>
      <c r="C99" s="292"/>
      <c r="D99" s="292"/>
      <c r="E99" s="291" t="str">
        <f>IF(B99="","",IF('Filtered Data'!$D$1="UA",VLOOKUP(B99,'Filtered Data'!AS:AU,2,FALSE),VLOOKUP(B99,'Filtered Data'!AL:AN,2,FALSE)))</f>
        <v/>
      </c>
      <c r="F99" s="291"/>
      <c r="G99" s="291"/>
      <c r="H99" s="291"/>
      <c r="I99" s="291"/>
      <c r="J99" s="291"/>
      <c r="K99" s="291"/>
      <c r="L99" s="291"/>
      <c r="M99" s="291"/>
      <c r="N99" s="291"/>
      <c r="O99" s="291"/>
      <c r="P99" s="291"/>
      <c r="Q99" s="291"/>
      <c r="R99" s="291"/>
      <c r="S99" s="291"/>
      <c r="T99" s="291"/>
      <c r="U99" s="290"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90"/>
      <c r="W99" s="290"/>
      <c r="X99" s="290"/>
      <c r="Y99" s="264" t="str">
        <f>IF(E99="","",IF((VLOOKUP(E99,classifications!C:K,9,FALSE))="Sparse","S",""))</f>
        <v/>
      </c>
      <c r="AA99" s="287"/>
      <c r="AB99" s="288"/>
      <c r="AC99" s="288"/>
      <c r="AD99" s="291"/>
      <c r="AE99" s="291"/>
      <c r="AF99" s="291"/>
      <c r="AG99" s="291"/>
      <c r="AH99" s="291"/>
      <c r="AI99" s="291"/>
      <c r="AJ99" s="291"/>
      <c r="AK99" s="291"/>
      <c r="AL99" s="291"/>
      <c r="AM99" s="291"/>
      <c r="AN99" s="289"/>
      <c r="AO99" s="289"/>
      <c r="AP99" s="289"/>
      <c r="AQ99" s="289"/>
      <c r="AR99" s="264"/>
      <c r="AV99" s="251"/>
    </row>
    <row r="100" spans="2:48" s="249" customFormat="1" ht="12" customHeight="1">
      <c r="B100" s="292" t="str">
        <f>IF('Filtered Data'!$D$1="MD","",IF('Filtered Data'!$D$1="SC","",IF('Filtered Data'!$D$1="UA",'Filtered Data'!AS19,'Filtered Data'!AL19)))</f>
        <v/>
      </c>
      <c r="C100" s="292"/>
      <c r="D100" s="292"/>
      <c r="E100" s="291" t="str">
        <f>IF(B100="","",IF('Filtered Data'!$D$1="UA",VLOOKUP(B100,'Filtered Data'!AS:AU,2,FALSE),VLOOKUP(B100,'Filtered Data'!AL:AN,2,FALSE)))</f>
        <v/>
      </c>
      <c r="F100" s="291"/>
      <c r="G100" s="291"/>
      <c r="H100" s="291"/>
      <c r="I100" s="291"/>
      <c r="J100" s="291"/>
      <c r="K100" s="291"/>
      <c r="L100" s="291"/>
      <c r="M100" s="291"/>
      <c r="N100" s="291"/>
      <c r="O100" s="291"/>
      <c r="P100" s="291"/>
      <c r="Q100" s="291"/>
      <c r="R100" s="291"/>
      <c r="S100" s="291"/>
      <c r="T100" s="291"/>
      <c r="U100" s="290"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90"/>
      <c r="W100" s="290"/>
      <c r="X100" s="290"/>
      <c r="Y100" s="264" t="str">
        <f>IF(E100="","",IF((VLOOKUP(E100,classifications!C:K,9,FALSE))="Sparse","S",""))</f>
        <v/>
      </c>
      <c r="AA100" s="287"/>
      <c r="AB100" s="288"/>
      <c r="AC100" s="288"/>
      <c r="AD100" s="291"/>
      <c r="AE100" s="291"/>
      <c r="AF100" s="291"/>
      <c r="AG100" s="291"/>
      <c r="AH100" s="291"/>
      <c r="AI100" s="291"/>
      <c r="AJ100" s="291"/>
      <c r="AK100" s="291"/>
      <c r="AL100" s="291"/>
      <c r="AM100" s="291"/>
      <c r="AN100" s="289"/>
      <c r="AO100" s="289"/>
      <c r="AP100" s="289"/>
      <c r="AQ100" s="289"/>
      <c r="AR100" s="264"/>
      <c r="AV100" s="251"/>
    </row>
    <row r="101" spans="2:48" s="249" customFormat="1" ht="12" customHeight="1">
      <c r="B101" s="292" t="str">
        <f>IF('Filtered Data'!$D$1="MD","",IF('Filtered Data'!$D$1="SC","",IF('Filtered Data'!$D$1="UA",'Filtered Data'!AS20,'Filtered Data'!AL20)))</f>
        <v/>
      </c>
      <c r="C101" s="292"/>
      <c r="D101" s="292"/>
      <c r="E101" s="291" t="str">
        <f>IF(B101="","",IF('Filtered Data'!$D$1="UA",VLOOKUP(B101,'Filtered Data'!AS:AU,2,FALSE),VLOOKUP(B101,'Filtered Data'!AL:AN,2,FALSE)))</f>
        <v/>
      </c>
      <c r="F101" s="291"/>
      <c r="G101" s="291"/>
      <c r="H101" s="291"/>
      <c r="I101" s="291"/>
      <c r="J101" s="291"/>
      <c r="K101" s="291"/>
      <c r="L101" s="291"/>
      <c r="M101" s="291"/>
      <c r="N101" s="291"/>
      <c r="O101" s="291"/>
      <c r="P101" s="291"/>
      <c r="Q101" s="291"/>
      <c r="R101" s="291"/>
      <c r="S101" s="291"/>
      <c r="T101" s="291"/>
      <c r="U101" s="290"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90"/>
      <c r="W101" s="290"/>
      <c r="X101" s="290"/>
      <c r="Y101" s="264" t="str">
        <f>IF(E101="","",IF((VLOOKUP(E101,classifications!C:K,9,FALSE))="Sparse","S",""))</f>
        <v/>
      </c>
      <c r="AA101" s="287"/>
      <c r="AB101" s="288"/>
      <c r="AC101" s="288"/>
      <c r="AD101" s="291"/>
      <c r="AE101" s="291"/>
      <c r="AF101" s="291"/>
      <c r="AG101" s="291"/>
      <c r="AH101" s="291"/>
      <c r="AI101" s="291"/>
      <c r="AJ101" s="291"/>
      <c r="AK101" s="291"/>
      <c r="AL101" s="291"/>
      <c r="AM101" s="291"/>
      <c r="AN101" s="289"/>
      <c r="AO101" s="289"/>
      <c r="AP101" s="289"/>
      <c r="AQ101" s="289"/>
      <c r="AR101" s="264"/>
      <c r="AV101" s="251"/>
    </row>
    <row r="102" spans="2:48" s="249" customFormat="1" ht="12" customHeight="1">
      <c r="B102" s="292" t="str">
        <f>IF('Filtered Data'!$D$1="MD","",IF('Filtered Data'!$D$1="SC","",IF('Filtered Data'!$D$1="UA",'Filtered Data'!AS21,'Filtered Data'!AL21)))</f>
        <v/>
      </c>
      <c r="C102" s="292"/>
      <c r="D102" s="292"/>
      <c r="E102" s="291" t="str">
        <f>IF(B102="","",IF('Filtered Data'!$D$1="UA",VLOOKUP(B102,'Filtered Data'!AS:AU,2,FALSE),VLOOKUP(B102,'Filtered Data'!AL:AN,2,FALSE)))</f>
        <v/>
      </c>
      <c r="F102" s="291"/>
      <c r="G102" s="291"/>
      <c r="H102" s="291"/>
      <c r="I102" s="291"/>
      <c r="J102" s="291"/>
      <c r="K102" s="291"/>
      <c r="L102" s="291"/>
      <c r="M102" s="291"/>
      <c r="N102" s="291"/>
      <c r="O102" s="291"/>
      <c r="P102" s="291"/>
      <c r="Q102" s="291"/>
      <c r="R102" s="291"/>
      <c r="S102" s="291"/>
      <c r="T102" s="291"/>
      <c r="U102" s="290"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90"/>
      <c r="W102" s="290"/>
      <c r="X102" s="290"/>
      <c r="Y102" s="264" t="str">
        <f>IF(E102="","",IF((VLOOKUP(E102,classifications!C:K,9,FALSE))="Sparse","S",""))</f>
        <v/>
      </c>
      <c r="AA102" s="287"/>
      <c r="AB102" s="288"/>
      <c r="AC102" s="288"/>
      <c r="AD102" s="291"/>
      <c r="AE102" s="291"/>
      <c r="AF102" s="291"/>
      <c r="AG102" s="291"/>
      <c r="AH102" s="291"/>
      <c r="AI102" s="291"/>
      <c r="AJ102" s="291"/>
      <c r="AK102" s="291"/>
      <c r="AL102" s="291"/>
      <c r="AM102" s="291"/>
      <c r="AN102" s="289"/>
      <c r="AO102" s="289"/>
      <c r="AP102" s="289"/>
      <c r="AQ102" s="289"/>
      <c r="AR102" s="264"/>
      <c r="AV102" s="251"/>
    </row>
    <row r="103" spans="2:48" s="249" customFormat="1" ht="12" customHeight="1">
      <c r="B103" s="292" t="str">
        <f>IF('Filtered Data'!$D$1="MD","",IF('Filtered Data'!$D$1="SC","",IF('Filtered Data'!$D$1="UA",'Filtered Data'!AS22,'Filtered Data'!AL22)))</f>
        <v/>
      </c>
      <c r="C103" s="292"/>
      <c r="D103" s="292"/>
      <c r="E103" s="291" t="str">
        <f>IF(B103="","",IF('Filtered Data'!$D$1="UA",VLOOKUP(B103,'Filtered Data'!AS:AU,2,FALSE),VLOOKUP(B103,'Filtered Data'!AL:AN,2,FALSE)))</f>
        <v/>
      </c>
      <c r="F103" s="291"/>
      <c r="G103" s="291"/>
      <c r="H103" s="291"/>
      <c r="I103" s="291"/>
      <c r="J103" s="291"/>
      <c r="K103" s="291"/>
      <c r="L103" s="291"/>
      <c r="M103" s="291"/>
      <c r="N103" s="291"/>
      <c r="O103" s="291"/>
      <c r="P103" s="291"/>
      <c r="Q103" s="291"/>
      <c r="R103" s="291"/>
      <c r="S103" s="291"/>
      <c r="T103" s="291"/>
      <c r="U103" s="290"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90"/>
      <c r="W103" s="290"/>
      <c r="X103" s="290"/>
      <c r="Y103" s="264" t="str">
        <f>IF(E103="","",IF((VLOOKUP(E103,classifications!C:K,9,FALSE))="Sparse","S",""))</f>
        <v/>
      </c>
      <c r="AA103" s="287"/>
      <c r="AB103" s="288"/>
      <c r="AC103" s="288"/>
      <c r="AD103" s="291"/>
      <c r="AE103" s="291"/>
      <c r="AF103" s="291"/>
      <c r="AG103" s="291"/>
      <c r="AH103" s="291"/>
      <c r="AI103" s="291"/>
      <c r="AJ103" s="291"/>
      <c r="AK103" s="291"/>
      <c r="AL103" s="291"/>
      <c r="AM103" s="291"/>
      <c r="AN103" s="289"/>
      <c r="AO103" s="289"/>
      <c r="AP103" s="289"/>
      <c r="AQ103" s="289"/>
      <c r="AR103" s="264"/>
      <c r="AV103" s="251"/>
    </row>
    <row r="104" spans="2:48" s="249" customFormat="1" ht="12" customHeight="1">
      <c r="B104" s="292" t="str">
        <f>IF('Filtered Data'!$D$1="MD","",IF('Filtered Data'!$D$1="SC","",IF('Filtered Data'!$D$1="UA",'Filtered Data'!AS23,'Filtered Data'!AL23)))</f>
        <v/>
      </c>
      <c r="C104" s="292"/>
      <c r="D104" s="292"/>
      <c r="E104" s="291" t="str">
        <f>IF(B104="","",IF('Filtered Data'!$D$1="UA",VLOOKUP(B104,'Filtered Data'!AS:AU,2,FALSE),VLOOKUP(B104,'Filtered Data'!AL:AN,2,FALSE)))</f>
        <v/>
      </c>
      <c r="F104" s="291"/>
      <c r="G104" s="291"/>
      <c r="H104" s="291"/>
      <c r="I104" s="291"/>
      <c r="J104" s="291"/>
      <c r="K104" s="291"/>
      <c r="L104" s="291"/>
      <c r="M104" s="291"/>
      <c r="N104" s="291"/>
      <c r="O104" s="291"/>
      <c r="P104" s="291"/>
      <c r="Q104" s="291"/>
      <c r="R104" s="291"/>
      <c r="S104" s="291"/>
      <c r="T104" s="291"/>
      <c r="U104" s="290"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90"/>
      <c r="W104" s="290"/>
      <c r="X104" s="290"/>
      <c r="Y104" s="264" t="str">
        <f>IF(E104="","",IF((VLOOKUP(E104,classifications!C:K,9,FALSE))="Sparse","S",""))</f>
        <v/>
      </c>
      <c r="AA104" s="287"/>
      <c r="AB104" s="288"/>
      <c r="AC104" s="288"/>
      <c r="AD104" s="291"/>
      <c r="AE104" s="291"/>
      <c r="AF104" s="291"/>
      <c r="AG104" s="291"/>
      <c r="AH104" s="291"/>
      <c r="AI104" s="291"/>
      <c r="AJ104" s="291"/>
      <c r="AK104" s="291"/>
      <c r="AL104" s="291"/>
      <c r="AM104" s="291"/>
      <c r="AN104" s="289"/>
      <c r="AO104" s="289"/>
      <c r="AP104" s="289"/>
      <c r="AQ104" s="289"/>
      <c r="AR104" s="264"/>
      <c r="AV104" s="251"/>
    </row>
    <row r="105" spans="2:48" s="249" customFormat="1" ht="12" customHeight="1">
      <c r="B105" s="292" t="str">
        <f>IF('Filtered Data'!$D$1="MD","",IF('Filtered Data'!$D$1="SC","",IF('Filtered Data'!$D$1="UA",'Filtered Data'!AS24,'Filtered Data'!AL24)))</f>
        <v/>
      </c>
      <c r="C105" s="292"/>
      <c r="D105" s="292"/>
      <c r="E105" s="291" t="str">
        <f>IF(B105="","",IF('Filtered Data'!$D$1="UA",VLOOKUP(B105,'Filtered Data'!AS:AU,2,FALSE),VLOOKUP(B105,'Filtered Data'!AL:AN,2,FALSE)))</f>
        <v/>
      </c>
      <c r="F105" s="291"/>
      <c r="G105" s="291"/>
      <c r="H105" s="291"/>
      <c r="I105" s="291"/>
      <c r="J105" s="291"/>
      <c r="K105" s="291"/>
      <c r="L105" s="291"/>
      <c r="M105" s="291"/>
      <c r="N105" s="291"/>
      <c r="O105" s="291"/>
      <c r="P105" s="291"/>
      <c r="Q105" s="291"/>
      <c r="R105" s="291"/>
      <c r="S105" s="291"/>
      <c r="T105" s="291"/>
      <c r="U105" s="290"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90"/>
      <c r="W105" s="290"/>
      <c r="X105" s="290"/>
      <c r="Y105" s="264" t="str">
        <f>IF(E105="","",IF((VLOOKUP(E105,classifications!C:K,9,FALSE))="Sparse","S",""))</f>
        <v/>
      </c>
      <c r="AA105" s="287"/>
      <c r="AB105" s="288"/>
      <c r="AC105" s="288"/>
      <c r="AD105" s="291"/>
      <c r="AE105" s="291"/>
      <c r="AF105" s="291"/>
      <c r="AG105" s="291"/>
      <c r="AH105" s="291"/>
      <c r="AI105" s="291"/>
      <c r="AJ105" s="291"/>
      <c r="AK105" s="291"/>
      <c r="AL105" s="291"/>
      <c r="AM105" s="291"/>
      <c r="AN105" s="289"/>
      <c r="AO105" s="289"/>
      <c r="AP105" s="289"/>
      <c r="AQ105" s="289"/>
      <c r="AR105" s="264"/>
      <c r="AV105" s="251"/>
    </row>
    <row r="106" spans="2:48" s="249" customFormat="1" ht="12" customHeight="1">
      <c r="B106" s="292" t="str">
        <f>IF('Filtered Data'!$D$1="MD","",IF('Filtered Data'!$D$1="SC","",IF('Filtered Data'!$D$1="UA",'Filtered Data'!AS25,'Filtered Data'!AL25)))</f>
        <v/>
      </c>
      <c r="C106" s="292"/>
      <c r="D106" s="292"/>
      <c r="E106" s="291" t="str">
        <f>IF(B106="","",IF('Filtered Data'!$D$1="UA",VLOOKUP(B106,'Filtered Data'!AS:AU,2,FALSE),VLOOKUP(B106,'Filtered Data'!AL:AN,2,FALSE)))</f>
        <v/>
      </c>
      <c r="F106" s="291"/>
      <c r="G106" s="291"/>
      <c r="H106" s="291"/>
      <c r="I106" s="291"/>
      <c r="J106" s="291"/>
      <c r="K106" s="291"/>
      <c r="L106" s="291"/>
      <c r="M106" s="291"/>
      <c r="N106" s="291"/>
      <c r="O106" s="291"/>
      <c r="P106" s="291"/>
      <c r="Q106" s="291"/>
      <c r="R106" s="291"/>
      <c r="S106" s="291"/>
      <c r="T106" s="291"/>
      <c r="U106" s="290"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90"/>
      <c r="W106" s="290"/>
      <c r="X106" s="290"/>
      <c r="Y106" s="264" t="str">
        <f>IF(E106="","",IF((VLOOKUP(E106,classifications!C:K,9,FALSE))="Sparse","S",""))</f>
        <v/>
      </c>
      <c r="AA106" s="287"/>
      <c r="AB106" s="288"/>
      <c r="AC106" s="288"/>
      <c r="AD106" s="291"/>
      <c r="AE106" s="291"/>
      <c r="AF106" s="291"/>
      <c r="AG106" s="291"/>
      <c r="AH106" s="291"/>
      <c r="AI106" s="291"/>
      <c r="AJ106" s="291"/>
      <c r="AK106" s="291"/>
      <c r="AL106" s="291"/>
      <c r="AM106" s="291"/>
      <c r="AN106" s="289"/>
      <c r="AO106" s="289"/>
      <c r="AP106" s="289"/>
      <c r="AQ106" s="289"/>
      <c r="AR106" s="264"/>
      <c r="AV106" s="251"/>
    </row>
    <row r="107" spans="2:48" s="249" customFormat="1" ht="12" customHeight="1">
      <c r="B107" s="292" t="str">
        <f>IF('Filtered Data'!$D$1="MD","",IF('Filtered Data'!$D$1="SC","",IF('Filtered Data'!$D$1="UA",'Filtered Data'!AS26,'Filtered Data'!AL26)))</f>
        <v/>
      </c>
      <c r="C107" s="292"/>
      <c r="D107" s="292"/>
      <c r="E107" s="291" t="str">
        <f>IF(B107="","",IF('Filtered Data'!$D$1="UA",VLOOKUP(B107,'Filtered Data'!AS:AU,2,FALSE),VLOOKUP(B107,'Filtered Data'!AL:AN,2,FALSE)))</f>
        <v/>
      </c>
      <c r="F107" s="291"/>
      <c r="G107" s="291"/>
      <c r="H107" s="291"/>
      <c r="I107" s="291"/>
      <c r="J107" s="291"/>
      <c r="K107" s="291"/>
      <c r="L107" s="291"/>
      <c r="M107" s="291"/>
      <c r="N107" s="291"/>
      <c r="O107" s="291"/>
      <c r="P107" s="291"/>
      <c r="Q107" s="291"/>
      <c r="R107" s="291"/>
      <c r="S107" s="291"/>
      <c r="T107" s="291"/>
      <c r="U107" s="290"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90"/>
      <c r="W107" s="290"/>
      <c r="X107" s="290"/>
      <c r="Y107" s="264" t="str">
        <f>IF(E107="","",IF((VLOOKUP(E107,classifications!C:K,9,FALSE))="Sparse","S",""))</f>
        <v/>
      </c>
      <c r="AA107" s="287"/>
      <c r="AB107" s="288"/>
      <c r="AC107" s="288"/>
      <c r="AD107" s="291"/>
      <c r="AE107" s="291"/>
      <c r="AF107" s="291"/>
      <c r="AG107" s="291"/>
      <c r="AH107" s="291"/>
      <c r="AI107" s="291"/>
      <c r="AJ107" s="291"/>
      <c r="AK107" s="291"/>
      <c r="AL107" s="291"/>
      <c r="AM107" s="291"/>
      <c r="AN107" s="289"/>
      <c r="AO107" s="289"/>
      <c r="AP107" s="289"/>
      <c r="AQ107" s="289"/>
      <c r="AR107" s="264"/>
      <c r="AV107" s="251"/>
    </row>
    <row r="108" spans="2:48" s="249" customFormat="1" ht="12" customHeight="1">
      <c r="B108" s="288"/>
      <c r="C108" s="288"/>
      <c r="D108" s="288"/>
      <c r="E108" s="286" t="str">
        <f>IF('Filtered Data'!D1="MD","",IF('Filtered Data'!D1="SC","","Average"))</f>
        <v>Average</v>
      </c>
      <c r="F108" s="286"/>
      <c r="G108" s="286"/>
      <c r="H108" s="286"/>
      <c r="I108" s="286"/>
      <c r="J108" s="286"/>
      <c r="K108" s="286"/>
      <c r="L108" s="286"/>
      <c r="M108" s="286"/>
      <c r="N108" s="286"/>
      <c r="O108" s="270"/>
      <c r="P108" s="270"/>
      <c r="Q108" s="270"/>
      <c r="R108" s="270"/>
      <c r="S108" s="270"/>
      <c r="T108" s="270"/>
      <c r="U108" s="298">
        <f>L39</f>
        <v>83.050857059767125</v>
      </c>
      <c r="V108" s="298"/>
      <c r="W108" s="298"/>
      <c r="X108" s="298"/>
      <c r="Y108" s="264"/>
      <c r="AA108" s="288"/>
      <c r="AB108" s="288"/>
      <c r="AC108" s="288"/>
      <c r="AD108" s="259"/>
      <c r="AE108" s="259"/>
      <c r="AF108" s="259"/>
      <c r="AG108" s="259"/>
      <c r="AH108" s="259"/>
      <c r="AI108" s="259"/>
      <c r="AJ108" s="259"/>
      <c r="AK108" s="259"/>
      <c r="AL108" s="259"/>
      <c r="AM108" s="265"/>
      <c r="AN108" s="299"/>
      <c r="AO108" s="299"/>
      <c r="AP108" s="299"/>
      <c r="AQ108" s="299"/>
      <c r="AV108" s="251"/>
    </row>
    <row r="109" spans="2:48" s="249" customFormat="1" ht="12" customHeight="1">
      <c r="W109" s="266">
        <f>COUNT(AA92:AB107)</f>
        <v>0</v>
      </c>
    </row>
    <row r="110" spans="2:48" s="249" customFormat="1" ht="19.5" customHeight="1">
      <c r="B110" s="293" t="str">
        <f>B3</f>
        <v>Walking &amp; Cycling Statistics</v>
      </c>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row>
    <row r="111" spans="2:48" s="249" customFormat="1" ht="12" customHeight="1"/>
    <row r="112" spans="2:48" s="249" customFormat="1" ht="12" customHeight="1">
      <c r="B112" s="286" t="s">
        <v>371</v>
      </c>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row>
    <row r="113" spans="2:40" s="249" customFormat="1" ht="12" customHeight="1"/>
    <row r="114" spans="2:40" ht="12" customHeight="1">
      <c r="B114" s="294" t="str">
        <f>W6&amp;" - "&amp;W12</f>
        <v>Proportion of residents who do any walking or cycling, at least once per month - 2018/19</v>
      </c>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48"/>
    </row>
    <row r="115" spans="2:40" ht="12"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Allerdale</v>
      </c>
      <c r="G118" s="284">
        <f>IF('Filtered Data'!H8="..",L35,L35*100)</f>
        <v>81.774925961121198</v>
      </c>
      <c r="H118" s="284"/>
      <c r="I118" s="284"/>
      <c r="J118" s="284"/>
      <c r="K118" s="284"/>
      <c r="L118" s="222"/>
      <c r="M118" s="285">
        <f>K$48</f>
        <v>85.03397177432231</v>
      </c>
      <c r="N118" s="285"/>
      <c r="O118" s="285">
        <f>M$48</f>
        <v>82.398691884098781</v>
      </c>
      <c r="P118" s="285"/>
      <c r="Q118" s="285">
        <f>O$48</f>
        <v>80.040966257648336</v>
      </c>
      <c r="R118" s="285"/>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284">
        <f>IF('Filtered Data'!H8="%%",(AVERAGEIF('Filtered Data'!AA$10:AA$500,$F119,'Filtered Data'!M$10:M$500))*100,(AVERAGEIF('Filtered Data'!AA$10:AA$500,$F119,'Filtered Data'!M$10:M$500)))</f>
        <v>82.963061301000508</v>
      </c>
      <c r="H119" s="284"/>
      <c r="I119" s="284"/>
      <c r="J119" s="284"/>
      <c r="K119" s="284"/>
      <c r="L119" s="222"/>
      <c r="M119" s="285">
        <f>K$48</f>
        <v>85.03397177432231</v>
      </c>
      <c r="N119" s="285"/>
      <c r="O119" s="285">
        <f>M$48</f>
        <v>82.398691884098781</v>
      </c>
      <c r="P119" s="285"/>
      <c r="Q119" s="285">
        <f>O$48</f>
        <v>80.040966257648336</v>
      </c>
      <c r="R119" s="285"/>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284">
        <f>IF('Filtered Data'!H8="%%",(AVERAGEIF('Filtered Data'!AA$10:AA$500,$F120,'Filtered Data'!M$10:M$500))*100,(AVERAGEIF('Filtered Data'!AA$10:AA$500,$F120,'Filtered Data'!M$10:M$500)))</f>
        <v>81.678483633906069</v>
      </c>
      <c r="H120" s="284"/>
      <c r="I120" s="284"/>
      <c r="J120" s="284"/>
      <c r="K120" s="284"/>
      <c r="L120" s="222"/>
      <c r="M120" s="285">
        <f>K$48</f>
        <v>85.03397177432231</v>
      </c>
      <c r="N120" s="285"/>
      <c r="O120" s="285">
        <f>M$48</f>
        <v>82.398691884098781</v>
      </c>
      <c r="P120" s="285"/>
      <c r="Q120" s="285">
        <f>O$48</f>
        <v>80.040966257648336</v>
      </c>
      <c r="R120" s="285"/>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284">
        <f>IF('Filtered Data'!H8="%%",(AVERAGEIF('Filtered Data'!AA$10:AA$500,$F121,'Filtered Data'!M$10:M$500))*100,(AVERAGEIF('Filtered Data'!AA$10:AA$500,$F121,'Filtered Data'!M$10:M$500)))</f>
        <v>82.44539112143471</v>
      </c>
      <c r="H121" s="284"/>
      <c r="I121" s="284"/>
      <c r="J121" s="284"/>
      <c r="K121" s="284"/>
      <c r="L121" s="222"/>
      <c r="M121" s="285">
        <f>K$48</f>
        <v>85.03397177432231</v>
      </c>
      <c r="N121" s="285"/>
      <c r="O121" s="285">
        <f>M$48</f>
        <v>82.398691884098781</v>
      </c>
      <c r="P121" s="285"/>
      <c r="Q121" s="285">
        <f>O$48</f>
        <v>80.040966257648336</v>
      </c>
      <c r="R121" s="285"/>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284"/>
      <c r="H122" s="284"/>
      <c r="I122" s="284"/>
      <c r="J122" s="284"/>
      <c r="K122" s="284"/>
      <c r="L122" s="222"/>
      <c r="M122" s="285"/>
      <c r="N122" s="285"/>
      <c r="O122" s="285"/>
      <c r="P122" s="285"/>
      <c r="Q122" s="285"/>
      <c r="R122" s="285"/>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284"/>
      <c r="H123" s="284"/>
      <c r="I123" s="284"/>
      <c r="J123" s="284"/>
      <c r="K123" s="284"/>
      <c r="L123" s="222"/>
      <c r="M123" s="285"/>
      <c r="N123" s="285"/>
      <c r="O123" s="285"/>
      <c r="P123" s="285"/>
      <c r="Q123" s="285"/>
      <c r="R123" s="285"/>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284"/>
      <c r="H124" s="284"/>
      <c r="I124" s="284"/>
      <c r="J124" s="284"/>
      <c r="K124" s="284"/>
      <c r="L124" s="222"/>
      <c r="M124" s="285"/>
      <c r="N124" s="285"/>
      <c r="O124" s="285"/>
      <c r="P124" s="285"/>
      <c r="Q124" s="285"/>
      <c r="R124" s="285"/>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E50:H50"/>
    <mergeCell ref="E51:H51"/>
    <mergeCell ref="E52:H52"/>
    <mergeCell ref="E53:H53"/>
    <mergeCell ref="K52:L52"/>
    <mergeCell ref="K53:L53"/>
    <mergeCell ref="E65:T65"/>
    <mergeCell ref="K51:L51"/>
    <mergeCell ref="E69:T69"/>
    <mergeCell ref="AA104:AC104"/>
    <mergeCell ref="AA105:AC105"/>
    <mergeCell ref="U103:X103"/>
    <mergeCell ref="M48:N48"/>
    <mergeCell ref="M49:N49"/>
    <mergeCell ref="M50:N50"/>
    <mergeCell ref="M51:N51"/>
    <mergeCell ref="M52:N52"/>
    <mergeCell ref="M53:N53"/>
    <mergeCell ref="O48:P48"/>
    <mergeCell ref="O49:P49"/>
    <mergeCell ref="O50:P50"/>
    <mergeCell ref="O51:P51"/>
    <mergeCell ref="O52:P52"/>
    <mergeCell ref="O53:P53"/>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E68:T68"/>
    <mergeCell ref="AF32:AL32"/>
    <mergeCell ref="S38:U38"/>
    <mergeCell ref="L40:O40"/>
    <mergeCell ref="L39:O39"/>
    <mergeCell ref="Q40:R40"/>
    <mergeCell ref="Q41:R41"/>
    <mergeCell ref="V41:W41"/>
    <mergeCell ref="L38:O38"/>
    <mergeCell ref="V40:W40"/>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AB36:AL37"/>
    <mergeCell ref="E49:H49"/>
    <mergeCell ref="U67:X67"/>
    <mergeCell ref="E71:T71"/>
    <mergeCell ref="U76:X76"/>
    <mergeCell ref="U74:X74"/>
    <mergeCell ref="E78:T78"/>
    <mergeCell ref="U79:X79"/>
    <mergeCell ref="U75:X75"/>
    <mergeCell ref="E74:T74"/>
    <mergeCell ref="AD72:AL72"/>
    <mergeCell ref="AD74:AL74"/>
    <mergeCell ref="AD77:AL77"/>
    <mergeCell ref="E73:T73"/>
    <mergeCell ref="U77:X77"/>
    <mergeCell ref="E77:T77"/>
    <mergeCell ref="E75:T75"/>
    <mergeCell ref="E76:T76"/>
    <mergeCell ref="AD73:AL73"/>
    <mergeCell ref="E70:T70"/>
    <mergeCell ref="B73:D73"/>
    <mergeCell ref="B77:D77"/>
    <mergeCell ref="B91:D91"/>
    <mergeCell ref="B92:D92"/>
    <mergeCell ref="B80:D80"/>
    <mergeCell ref="B82:D82"/>
    <mergeCell ref="B78:D78"/>
    <mergeCell ref="B84:D84"/>
    <mergeCell ref="B85:D85"/>
    <mergeCell ref="E85:T85"/>
    <mergeCell ref="B79:D79"/>
    <mergeCell ref="E86:T86"/>
    <mergeCell ref="E92:T92"/>
    <mergeCell ref="B83:D83"/>
    <mergeCell ref="E79:T79"/>
    <mergeCell ref="E80:T80"/>
    <mergeCell ref="E83:T83"/>
    <mergeCell ref="B76:D76"/>
    <mergeCell ref="B74:D74"/>
    <mergeCell ref="B75:D75"/>
    <mergeCell ref="E91:N91"/>
    <mergeCell ref="B86:D86"/>
    <mergeCell ref="B81:D81"/>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J37:J39"/>
    <mergeCell ref="AD70:AL70"/>
    <mergeCell ref="AA94:AC94"/>
    <mergeCell ref="U92:X92"/>
    <mergeCell ref="U93:X93"/>
    <mergeCell ref="AN98:AQ98"/>
    <mergeCell ref="U97:X97"/>
    <mergeCell ref="AA98:AC98"/>
    <mergeCell ref="AD75:AL75"/>
    <mergeCell ref="AD76:AL76"/>
    <mergeCell ref="U91:W91"/>
    <mergeCell ref="AA92:AC92"/>
    <mergeCell ref="AN91:AP91"/>
    <mergeCell ref="U86:X86"/>
    <mergeCell ref="AN92:AQ92"/>
    <mergeCell ref="AA91:AC91"/>
    <mergeCell ref="AD91:AM91"/>
    <mergeCell ref="U83:X83"/>
    <mergeCell ref="U85:X85"/>
    <mergeCell ref="AD81:AL81"/>
    <mergeCell ref="U78:X78"/>
    <mergeCell ref="U80:X80"/>
    <mergeCell ref="U73:X73"/>
    <mergeCell ref="AD78:AL78"/>
    <mergeCell ref="AD79:AL79"/>
    <mergeCell ref="AD80:AL80"/>
    <mergeCell ref="AN100:AQ100"/>
    <mergeCell ref="AN101:AQ101"/>
    <mergeCell ref="AN102:AQ102"/>
    <mergeCell ref="AN103:AQ103"/>
    <mergeCell ref="U102:X102"/>
    <mergeCell ref="U84:X84"/>
    <mergeCell ref="E84:T84"/>
    <mergeCell ref="AD82:AL82"/>
    <mergeCell ref="AD83:AL83"/>
    <mergeCell ref="AA100:AC100"/>
    <mergeCell ref="AD101:AM101"/>
    <mergeCell ref="U100:X100"/>
    <mergeCell ref="AA95:AC95"/>
    <mergeCell ref="E81:T81"/>
    <mergeCell ref="U82:X82"/>
    <mergeCell ref="AD98:AM98"/>
    <mergeCell ref="AD95:AM95"/>
    <mergeCell ref="AD96:AM96"/>
    <mergeCell ref="U81:X81"/>
    <mergeCell ref="E82:T82"/>
    <mergeCell ref="E102:T102"/>
    <mergeCell ref="E103:T103"/>
    <mergeCell ref="U98:X98"/>
    <mergeCell ref="B94:D94"/>
    <mergeCell ref="B93:D93"/>
    <mergeCell ref="B95:D95"/>
    <mergeCell ref="AD85:AL85"/>
    <mergeCell ref="AD86:AL86"/>
    <mergeCell ref="U95:X95"/>
    <mergeCell ref="AD84:AL84"/>
    <mergeCell ref="AN93:AQ93"/>
    <mergeCell ref="AN94:AQ94"/>
    <mergeCell ref="AN95:AQ95"/>
    <mergeCell ref="AD92:AM92"/>
    <mergeCell ref="AD94:AM94"/>
    <mergeCell ref="AD93:AM93"/>
    <mergeCell ref="AA93:AC93"/>
    <mergeCell ref="U94:X94"/>
    <mergeCell ref="AA102:AC102"/>
    <mergeCell ref="U99:X99"/>
    <mergeCell ref="AA99:AC99"/>
    <mergeCell ref="AA101:AC101"/>
    <mergeCell ref="U96:X96"/>
    <mergeCell ref="U101:X101"/>
    <mergeCell ref="AD103:AM103"/>
    <mergeCell ref="E93:T93"/>
    <mergeCell ref="E94:T94"/>
    <mergeCell ref="E95:T95"/>
    <mergeCell ref="E96:T96"/>
    <mergeCell ref="E97:T97"/>
    <mergeCell ref="E98:T98"/>
    <mergeCell ref="E99:T99"/>
    <mergeCell ref="E100:T100"/>
    <mergeCell ref="AD100:AM100"/>
    <mergeCell ref="AA96:AC96"/>
    <mergeCell ref="AD99:AM99"/>
    <mergeCell ref="AD97:AM97"/>
    <mergeCell ref="AA97:AC97"/>
    <mergeCell ref="B110:AN110"/>
    <mergeCell ref="O118:P118"/>
    <mergeCell ref="Q118:R118"/>
    <mergeCell ref="U104:X104"/>
    <mergeCell ref="G118:K118"/>
    <mergeCell ref="B114:AM115"/>
    <mergeCell ref="B112:AN112"/>
    <mergeCell ref="B108:D108"/>
    <mergeCell ref="AD104:AM104"/>
    <mergeCell ref="AD105:AM105"/>
    <mergeCell ref="AA108:AC108"/>
    <mergeCell ref="U108:X108"/>
    <mergeCell ref="B107:D107"/>
    <mergeCell ref="AN107:AQ107"/>
    <mergeCell ref="AN108:AQ108"/>
    <mergeCell ref="AN106:AQ106"/>
    <mergeCell ref="U107:X107"/>
    <mergeCell ref="M118:N118"/>
    <mergeCell ref="B104:D104"/>
    <mergeCell ref="B105:D105"/>
    <mergeCell ref="B106:D106"/>
    <mergeCell ref="AA106:AC106"/>
    <mergeCell ref="AD106:AM106"/>
    <mergeCell ref="U105:X105"/>
    <mergeCell ref="E108:N108"/>
    <mergeCell ref="AA107:AC107"/>
    <mergeCell ref="AN104:AQ104"/>
    <mergeCell ref="AA103:AC103"/>
    <mergeCell ref="AN105:AQ105"/>
    <mergeCell ref="U106:X106"/>
    <mergeCell ref="AD107:AM107"/>
    <mergeCell ref="E101:T101"/>
    <mergeCell ref="B96:D96"/>
    <mergeCell ref="B99:D99"/>
    <mergeCell ref="E104:T104"/>
    <mergeCell ref="E105:T105"/>
    <mergeCell ref="E106:T106"/>
    <mergeCell ref="E107:T107"/>
    <mergeCell ref="AD102:AM102"/>
    <mergeCell ref="B102:D102"/>
    <mergeCell ref="B100:D100"/>
    <mergeCell ref="B101:D101"/>
    <mergeCell ref="B98:D98"/>
    <mergeCell ref="B97:D97"/>
    <mergeCell ref="AN96:AQ96"/>
    <mergeCell ref="AN97:AQ97"/>
    <mergeCell ref="AN99:AQ99"/>
    <mergeCell ref="B103:D103"/>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G119:K119"/>
    <mergeCell ref="G121:K121"/>
    <mergeCell ref="G120:K120"/>
  </mergeCells>
  <phoneticPr fontId="20" type="noConversion"/>
  <conditionalFormatting sqref="B92:B107 C92:D9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B107 C92:D9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45" workbookViewId="0">
      <selection activeCell="F368" sqref="F368"/>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380</v>
      </c>
      <c r="E1" s="24"/>
      <c r="F1" s="24"/>
      <c r="G1" s="24"/>
      <c r="H1" s="72"/>
      <c r="I1" s="73"/>
      <c r="K1" s="58"/>
      <c r="L1" s="25" t="s">
        <v>358</v>
      </c>
      <c r="M1" s="87" t="s">
        <v>382</v>
      </c>
      <c r="N1" s="87" t="s">
        <v>382</v>
      </c>
      <c r="O1" s="87"/>
      <c r="P1" s="87"/>
      <c r="Q1" s="87"/>
      <c r="R1" s="87"/>
      <c r="T1" s="351" t="s">
        <v>823</v>
      </c>
      <c r="U1" s="352"/>
      <c r="V1" s="352"/>
      <c r="W1" s="353"/>
      <c r="X1" s="58"/>
      <c r="AA1" s="351" t="s">
        <v>822</v>
      </c>
      <c r="AB1" s="352"/>
      <c r="AC1" s="352"/>
      <c r="AD1" s="353"/>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1"/>
      <c r="U2" s="352"/>
      <c r="V2" s="352"/>
      <c r="W2" s="353"/>
      <c r="X2" s="349"/>
      <c r="Y2" s="350"/>
      <c r="Z2" s="350"/>
      <c r="AA2" s="351"/>
      <c r="AB2" s="352"/>
      <c r="AC2" s="352"/>
      <c r="AD2" s="353"/>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Allerdale</v>
      </c>
      <c r="F3" s="73" t="str">
        <f>VLOOKUP(D3,classifications!C:G,4,FALSE)</f>
        <v>SD</v>
      </c>
      <c r="G3" s="25" t="str">
        <f>VLOOKUP(D3,classifications!C:E,3,FALSE)</f>
        <v>North West</v>
      </c>
      <c r="H3" s="81" t="str">
        <f>VLOOKUP(D3,classifications!C:H,6,FALSE)</f>
        <v xml:space="preserve">Mainly Rural (rural including hub towns &gt;=80%) </v>
      </c>
      <c r="I3" s="25" t="str">
        <f>VLOOKUP(D3,classifications!C:J,8,FALSE)</f>
        <v>Cumbria</v>
      </c>
      <c r="J3" s="24" t="str">
        <f>VLOOKUP(D3,classifications!C:I,7,FALSE)</f>
        <v>Predominantly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do any walking or cycling, at least once per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90.450497364548298</v>
      </c>
      <c r="Q7" s="98">
        <f>IF(I8="A",MAX(N11:N363),MIN(N11:N363))</f>
        <v>72.682938952922342</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Allerdale</v>
      </c>
      <c r="Q8" s="99">
        <f>VLOOKUP(D3,L11:N363,3,FALSE)</f>
        <v>81.774925961121198</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SD Authorities only</v>
      </c>
      <c r="I9" s="76"/>
      <c r="J9" s="18"/>
      <c r="K9" s="31" t="str">
        <f>"Rank &amp; Quartiles for all "&amp;D1&amp;" Authorities"</f>
        <v>Rank &amp; Quartiles for all SD Authorities</v>
      </c>
      <c r="L9" s="32"/>
      <c r="M9" s="86">
        <f>IF($H$8="%.",(AVERAGE(M11:M363))/100,(AVERAGE(M11:M363)))</f>
        <v>82.352077646950292</v>
      </c>
      <c r="N9" s="86"/>
      <c r="O9" s="89" t="s">
        <v>340</v>
      </c>
      <c r="P9" s="89" t="s">
        <v>351</v>
      </c>
      <c r="Q9" s="89" t="s">
        <v>352</v>
      </c>
      <c r="R9" s="91" t="s">
        <v>400</v>
      </c>
      <c r="S9" s="30"/>
      <c r="T9" s="178" t="s">
        <v>818</v>
      </c>
      <c r="U9" s="179">
        <f>IF($H$8="%.",(AVERAGE(U11:U363))/100,(AVERAGE(U11:U363)))</f>
        <v>83.080118055723901</v>
      </c>
      <c r="V9" s="180"/>
      <c r="W9" s="180"/>
      <c r="X9" s="84" t="str">
        <f>"Lower Level Ranking for Authorites in "&amp;H3&amp;" &amp; are a "&amp;F3</f>
        <v>Lower Level Ranking for Authorites in Mainly Rural (rural including hub towns &gt;=80%)  &amp; are a SD</v>
      </c>
      <c r="Y9" s="86">
        <f>IF($H$8="%.",(AVERAGE(Y11:Y363))/100,(AVERAGE(Y11:Y363)))</f>
        <v>83.050254507087686</v>
      </c>
      <c r="Z9" s="85"/>
      <c r="AA9" s="186" t="s">
        <v>379</v>
      </c>
      <c r="AB9" s="179">
        <f>IF($H$8="%.",(AVERAGE(AB11:AB363))/100,(AVERAGE(AB11:AB363)))</f>
        <v>82.963061301000508</v>
      </c>
      <c r="AC9" s="187"/>
      <c r="AD9" s="187"/>
      <c r="AE9" s="31" t="s">
        <v>409</v>
      </c>
      <c r="AG9" s="86">
        <f>IF($H$8="%.",(AVERAGE(AG11:AG363))/100,(AVERAGE(AG11:AG363)))</f>
        <v>81.00456611805609</v>
      </c>
      <c r="AI9" s="84" t="str">
        <f>"County Ranking &amp; Top Authorites in "&amp;I3&amp;" &amp; are a "&amp;F3</f>
        <v>County Ranking &amp; Top Authorites in Cumbria &amp; are a SD</v>
      </c>
      <c r="AJ9" s="86">
        <f>IF($H$8="%.",(AVERAGE(AJ11:AJ363))/100,(AVERAGE(AJ11:AJ363)))</f>
        <v>83.050857059767125</v>
      </c>
      <c r="AK9" s="85"/>
      <c r="AL9" s="44"/>
      <c r="AM9" s="8"/>
      <c r="AN9" s="8"/>
      <c r="AP9" s="84" t="str">
        <f>"Regional Ranking in for "&amp;F3</f>
        <v>Regional Ranking in for SD</v>
      </c>
      <c r="AQ9" s="86">
        <f>IF($H$8="%.",(AVERAGE(AQ11:AQ363))/100,(AVERAGE(AQ11:AQ363)))</f>
        <v>80.889369940342846</v>
      </c>
      <c r="AR9" s="85"/>
      <c r="AS9" s="85"/>
      <c r="AT9" s="85"/>
      <c r="AU9" s="85"/>
      <c r="AV9" s="26"/>
      <c r="AW9" s="79"/>
      <c r="AX9" s="125" t="str">
        <f>Profile!$W$6</f>
        <v>Proportion of residents who do any walking or cycling, at least once per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85.03397177432231</v>
      </c>
      <c r="P10" s="93">
        <f>QUARTILE(N:N,2)</f>
        <v>82.398691884098781</v>
      </c>
      <c r="Q10" s="93">
        <f>IF(I8="A",QUARTILE(N:N,3),QUARTILE(N:N,1))</f>
        <v>80.040966257648336</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SD1</v>
      </c>
      <c r="B11" s="57" t="str">
        <f>IF(ISERROR(VLOOKUP(A11,classifications!A:C,3,FALSE)),0,VLOOKUP(A11,classifications!A:C,3,FALSE))</f>
        <v>Allerdale</v>
      </c>
      <c r="C11" s="8" t="s">
        <v>4</v>
      </c>
      <c r="D11" s="26" t="str">
        <f>VLOOKUP($C11,classifications!$C:$J,4,FALSE)</f>
        <v>SD</v>
      </c>
      <c r="E11" s="26">
        <f>VLOOKUP(C11,classifications!C:K,9,FALSE)</f>
        <v>0</v>
      </c>
      <c r="F11" s="36">
        <f t="shared" ref="F11:F74" si="0">HLOOKUP($D$6,AX$10:ZX$368,ROW()-9,FALSE)</f>
        <v>83.883886554025949</v>
      </c>
      <c r="G11" s="71"/>
      <c r="H11" s="37">
        <f t="shared" ref="H11:H74" si="1">IF(D11=$D$1,HLOOKUP($D$6,$AX$10:$ZZ$368,ROW()-9,FALSE),"")</f>
        <v>83.883886554025949</v>
      </c>
      <c r="I11" s="77">
        <f>IF(H11="","",IF($I$8="A",(RANK(H11,H$11:H$368,1)+COUNTIF(H$11:H11,H11)-1),(RANK(H11,H$11:H$368)+COUNTIF(H$11:H11,H11)-1)))</f>
        <v>67</v>
      </c>
      <c r="J11" s="35"/>
      <c r="K11" s="28">
        <v>1</v>
      </c>
      <c r="L11" s="36" t="str">
        <f t="shared" ref="L11:L74" si="2">IF(K11="","",INDEX(C$11:C$368,MATCH(K11,I$11:I$368,0)))</f>
        <v>Oxford</v>
      </c>
      <c r="M11" s="102">
        <f>IF(L11="","",IF(VLOOKUP(L11,C:D,2,FALSE)=$F$3,VLOOKUP(L11,C:H,6,FALSE),""))</f>
        <v>90.450497364548298</v>
      </c>
      <c r="N11" s="101">
        <f>IF(L11="","",IF($H$8="%%",M11*100,M11))</f>
        <v>90.450497364548298</v>
      </c>
      <c r="O11" s="94">
        <f>IF(I$8="A",IF(N11&gt;=$P$7,IF(N11&lt;=$O$10,N11,""),""),IF(N11&lt;=$P$7,IF(N11&gt;=$O$10,N11,""),""))</f>
        <v>90.450497364548298</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5</v>
      </c>
      <c r="AF11" s="43" t="str">
        <f>'Filtered Data'!D3</f>
        <v>Allerdale</v>
      </c>
      <c r="AG11" s="95">
        <f>VLOOKUP(Profile!$J$5,$C$11:$H$368,4,FALSE)</f>
        <v>81.774925961121198</v>
      </c>
      <c r="AH11" s="46">
        <f>AE11</f>
        <v>5</v>
      </c>
      <c r="AI11" s="38" t="str">
        <f>IF(L11="","",VLOOKUP($L11,classifications!$C:$J,8,FALSE))</f>
        <v>Oxfordshire</v>
      </c>
      <c r="AJ11" s="39" t="str">
        <f t="shared" ref="AJ11:AJ74" si="4">IF(AI11=$I$3,M11,"")</f>
        <v/>
      </c>
      <c r="AK11" s="34" t="str">
        <f>IF(AJ11="","",IF(I$8="A",(RANK(AJ11,AJ$11:AJ$368,1)+COUNTIF(AJ$11:AJ11,AJ11)-1),(RANK(AJ11,AJ$11:AJ$368)+COUNTIF(AJ$11:AJ11,AJ11)-1)))</f>
        <v/>
      </c>
      <c r="AL11" s="34">
        <v>1</v>
      </c>
      <c r="AM11" s="8" t="str">
        <f t="shared" ref="AM11:AM74" si="5">IF(ISNA(IF(AL11="","",INDEX(L$11:L$368,MATCH(AL11,AK$11:AK$368,0)))),"",(IF(AL11="","",INDEX(L$11:L$368,MATCH(AL11,AK$11:AK$368,0)))))</f>
        <v>South Lakeland</v>
      </c>
      <c r="AN11" s="8">
        <f>(VLOOKUP(AM11,L:M,2,FALSE))</f>
        <v>86.127920184335537</v>
      </c>
      <c r="AP11" s="38" t="str">
        <f>IF(L11="","",VLOOKUP($L11,classifications!$C:$E,3,FALSE))</f>
        <v>South East</v>
      </c>
      <c r="AQ11" s="39" t="str">
        <f>IF(AP11=$G$3,$M11,"")</f>
        <v/>
      </c>
      <c r="AR11" s="34" t="str">
        <f>IF(AQ11="","",IF(I$8="A",(RANK(AQ11,AQ$11:AQ$368,1)+COUNTIF(AQ$11:AQ11,AQ11)-1),(RANK(AQ11,AQ$11:AQ$368)+COUNTIF(AQ$11:AQ11,AQ11)-1)))</f>
        <v/>
      </c>
      <c r="AS11" s="34">
        <v>1</v>
      </c>
      <c r="AT11" s="34" t="str">
        <f t="shared" ref="AT11:AT74" si="6">IF(AS11="","",INDEX(L$11:L$368,MATCH(AS11,AR$11:AR$368,0)))</f>
        <v>Ribble Valley</v>
      </c>
      <c r="AU11" s="39">
        <f>IF(AT11="","",VLOOKUP(AT11,L:M,2,FALSE))</f>
        <v>86.534664357842871</v>
      </c>
      <c r="AX11" s="21">
        <f>HLOOKUP($AX$9&amp;$AX$10,Data!$A$1:$ZZ$2000,(MATCH($C11,Data!$A$1:$A$2000,0)),FALSE)</f>
        <v>83.883886554025949</v>
      </c>
      <c r="AY11" s="103"/>
      <c r="AZ11" s="21"/>
    </row>
    <row r="12" spans="1:735">
      <c r="A12" s="56" t="str">
        <f>$D$1&amp;2</f>
        <v>SD2</v>
      </c>
      <c r="B12" s="57" t="str">
        <f>IF(ISERROR(VLOOKUP(A12,classifications!A:C,3,FALSE)),0,VLOOKUP(A12,classifications!A:C,3,FALSE))</f>
        <v>Ashford</v>
      </c>
      <c r="C12" s="8" t="s">
        <v>6</v>
      </c>
      <c r="D12" s="26" t="str">
        <f>VLOOKUP($C12,classifications!$C:$J,4,FALSE)</f>
        <v>SD</v>
      </c>
      <c r="E12" s="26" t="str">
        <f>VLOOKUP(C12,classifications!C:K,9,FALSE)</f>
        <v>Sparse</v>
      </c>
      <c r="F12" s="36">
        <f t="shared" si="0"/>
        <v>81.774925961121198</v>
      </c>
      <c r="G12" s="71"/>
      <c r="H12" s="37">
        <f t="shared" si="1"/>
        <v>81.774925961121198</v>
      </c>
      <c r="I12" s="77">
        <f>IF(H12="","",IF($I$8="A",(RANK(H12,H$11:H$368,1)+COUNTIF(H$11:H12,H12)-1),(RANK(H12,H$11:H$368)+COUNTIF(H$11:H12,H12)-1)))</f>
        <v>112</v>
      </c>
      <c r="J12" s="35"/>
      <c r="K12" s="28">
        <f t="shared" ref="K12:K75" si="7">IF(K11="","",IF(K11+1&gt;(COUNT(H$11:H$368)),"",K11+1))</f>
        <v>2</v>
      </c>
      <c r="L12" s="36" t="str">
        <f t="shared" si="2"/>
        <v>Cambridge</v>
      </c>
      <c r="M12" s="102">
        <f>IF(L12="","",IF(VLOOKUP(L12,C:D,2,FALSE)=$F$3,VLOOKUP(L12,C:H,6,FALSE),""))</f>
        <v>89.877725719925976</v>
      </c>
      <c r="N12" s="101">
        <f>IF(L12="","",IF($H$8="%%",M12*100,M12))</f>
        <v>89.877725719925976</v>
      </c>
      <c r="O12" s="94">
        <f t="shared" ref="O12:O74" si="8">IF(I$8="A",IF(N12&gt;=$P$7,IF(N12&lt;=$O$10,N12,""),""),IF(N12&lt;=$P$7,IF(N12&gt;=$O$10,N12,""),""))</f>
        <v>89.877725719925976</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1</v>
      </c>
      <c r="AF12" s="1" t="str">
        <f>VLOOKUP(Profile!$J$5,Families!$C:$R,2,FALSE)</f>
        <v>Dover</v>
      </c>
      <c r="AG12" s="96">
        <f t="shared" ref="AG12:AG26" si="12">VLOOKUP(AF12,$C$11:$H$368,4,FALSE)</f>
        <v>83.82997141888039</v>
      </c>
      <c r="AH12" s="46">
        <f>AE12</f>
        <v>1</v>
      </c>
      <c r="AI12" s="38" t="str">
        <f>IF(L12="","",VLOOKUP($L12,classifications!$C:$J,8,FALSE))</f>
        <v>Cambridgeshire</v>
      </c>
      <c r="AJ12" s="39" t="str">
        <f t="shared" si="4"/>
        <v/>
      </c>
      <c r="AK12" s="34" t="str">
        <f>IF(AJ12="","",IF(I$8="A",(RANK(AJ12,AJ$11:AJ$368,1)+COUNTIF(AJ$11:AJ12,AJ12)-1),(RANK(AJ12,AJ$11:AJ$368)+COUNTIF(AJ$11:AJ12,AJ12)-1)))</f>
        <v/>
      </c>
      <c r="AL12" s="29">
        <f t="shared" ref="AL12:AL75" si="13">IF(AL11="","",IF(AL11+1&gt;(COUNT(AJ$11:AJ$368)),"",AL11+1))</f>
        <v>2</v>
      </c>
      <c r="AM12" s="8" t="str">
        <f t="shared" si="5"/>
        <v>Eden</v>
      </c>
      <c r="AN12" s="8">
        <f t="shared" ref="AN12:AN75" si="14">(VLOOKUP(AM12,L:M,2,FALSE))</f>
        <v>85.470285287194898</v>
      </c>
      <c r="AP12" s="38" t="str">
        <f>IF(L12="","",VLOOKUP($L12,classifications!$C:$E,3,FALSE))</f>
        <v>East of England</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South Lakeland</v>
      </c>
      <c r="AU12" s="39">
        <f t="shared" ref="AU12:AU75" si="17">IF(AT12="","",VLOOKUP(AT12,L:M,2,FALSE))</f>
        <v>86.127920184335537</v>
      </c>
      <c r="AX12" s="21">
        <f>HLOOKUP($AX$9&amp;$AX$10,Data!$A$1:$ZZ$2000,(MATCH($C12,Data!$A$1:$A$2000,0)),FALSE)</f>
        <v>81.774925961121198</v>
      </c>
      <c r="AY12" s="103"/>
      <c r="AZ12" s="21"/>
    </row>
    <row r="13" spans="1:735">
      <c r="A13" s="56" t="str">
        <f>$D$1&amp;3</f>
        <v>SD3</v>
      </c>
      <c r="B13" s="57" t="str">
        <f>IF(ISERROR(VLOOKUP(A13,classifications!A:C,3,FALSE)),0,VLOOKUP(A13,classifications!A:C,3,FALSE))</f>
        <v>Babergh</v>
      </c>
      <c r="C13" s="8" t="s">
        <v>7</v>
      </c>
      <c r="D13" s="26" t="str">
        <f>VLOOKUP($C13,classifications!$C:$J,4,FALSE)</f>
        <v>SD</v>
      </c>
      <c r="E13" s="26">
        <f>VLOOKUP(C13,classifications!C:K,9,FALSE)</f>
        <v>0</v>
      </c>
      <c r="F13" s="36">
        <f t="shared" si="0"/>
        <v>81.9033742825373</v>
      </c>
      <c r="G13" s="71"/>
      <c r="H13" s="37">
        <f t="shared" si="1"/>
        <v>81.9033742825373</v>
      </c>
      <c r="I13" s="77">
        <f>IF(H13="","",IF($I$8="A",(RANK(H13,H$11:H$368,1)+COUNTIF(H$11:H13,H13)-1),(RANK(H13,H$11:H$368)+COUNTIF(H$11:H13,H13)-1)))</f>
        <v>109</v>
      </c>
      <c r="J13" s="35"/>
      <c r="K13" s="28">
        <f t="shared" si="7"/>
        <v>3</v>
      </c>
      <c r="L13" s="36" t="str">
        <f t="shared" si="2"/>
        <v>Exeter</v>
      </c>
      <c r="M13" s="102">
        <f>IF(L13="","",IF(VLOOKUP(L13,C:D,2,FALSE)=$F$3,VLOOKUP(L13,C:H,6,FALSE),""))</f>
        <v>89.804259171588328</v>
      </c>
      <c r="N13" s="101">
        <f>IF(L13="","",IF($H$8="%%",M13*100,M13))</f>
        <v>89.804259171588328</v>
      </c>
      <c r="O13" s="94">
        <f t="shared" si="8"/>
        <v>89.804259171588328</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8</v>
      </c>
      <c r="AF13" s="1" t="str">
        <f>VLOOKUP(Profile!$J$5,Families!$C:$R,3,FALSE)</f>
        <v>Carlisle</v>
      </c>
      <c r="AG13" s="96">
        <f t="shared" si="12"/>
        <v>81.09538839596307</v>
      </c>
      <c r="AH13" s="46">
        <f t="shared" ref="AH13:AH26" si="21">AE13</f>
        <v>8</v>
      </c>
      <c r="AI13" s="38" t="str">
        <f>IF(L13="","",VLOOKUP($L13,classifications!$C:$J,8,FALSE))</f>
        <v>Devon</v>
      </c>
      <c r="AJ13" s="39" t="str">
        <f>IF(AI13=$I$3,M13,"")</f>
        <v/>
      </c>
      <c r="AK13" s="34" t="str">
        <f>IF(AJ13="","",IF(I$8="A",(RANK(AJ13,AJ$11:AJ$368,1)+COUNTIF(AJ$11:AJ13,AJ13)-1),(RANK(AJ13,AJ$11:AJ$368)+COUNTIF(AJ$11:AJ13,AJ13)-1)))</f>
        <v/>
      </c>
      <c r="AL13" s="29">
        <f t="shared" si="13"/>
        <v>3</v>
      </c>
      <c r="AM13" s="8" t="str">
        <f t="shared" si="5"/>
        <v>Barrow-in-Furness</v>
      </c>
      <c r="AN13" s="8">
        <f t="shared" si="14"/>
        <v>82.166266846252938</v>
      </c>
      <c r="AP13" s="38" t="str">
        <f>IF(L13="","",VLOOKUP($L13,classifications!$C:$E,3,FALSE))</f>
        <v>South West</v>
      </c>
      <c r="AQ13" s="39" t="str">
        <f t="shared" si="15"/>
        <v/>
      </c>
      <c r="AR13" s="34" t="str">
        <f>IF(AQ13="","",IF(I$8="A",(RANK(AQ13,AQ$11:AQ$368,1)+COUNTIF(AQ$11:AQ13,AQ13)-1),(RANK(AQ13,AQ$11:AQ$368)+COUNTIF(AQ$11:AQ13,AQ13)-1)))</f>
        <v/>
      </c>
      <c r="AS13" s="29">
        <f t="shared" si="16"/>
        <v>3</v>
      </c>
      <c r="AT13" s="34" t="str">
        <f t="shared" si="6"/>
        <v>Lancaster</v>
      </c>
      <c r="AU13" s="39">
        <f t="shared" si="17"/>
        <v>86.124289461765642</v>
      </c>
      <c r="AX13" s="21">
        <f>HLOOKUP($AX$9&amp;$AX$10,Data!$A$1:$ZZ$2000,(MATCH($C13,Data!$A$1:$A$2000,0)),FALSE)</f>
        <v>81.9033742825373</v>
      </c>
      <c r="AY13" s="103"/>
      <c r="AZ13" s="21"/>
    </row>
    <row r="14" spans="1:735">
      <c r="A14" s="56" t="str">
        <f>$D$1&amp;4</f>
        <v>SD4</v>
      </c>
      <c r="B14" s="57" t="str">
        <f>IF(ISERROR(VLOOKUP(A14,classifications!A:C,3,FALSE)),0,VLOOKUP(A14,classifications!A:C,3,FALSE))</f>
        <v>Boston</v>
      </c>
      <c r="C14" s="8" t="s">
        <v>8</v>
      </c>
      <c r="D14" s="26" t="str">
        <f>VLOOKUP($C14,classifications!$C:$J,4,FALSE)</f>
        <v>SD</v>
      </c>
      <c r="E14" s="26">
        <f>VLOOKUP(C14,classifications!C:K,9,FALSE)</f>
        <v>0</v>
      </c>
      <c r="F14" s="36">
        <f t="shared" si="0"/>
        <v>86.183848082296933</v>
      </c>
      <c r="G14" s="71"/>
      <c r="H14" s="37">
        <f t="shared" si="1"/>
        <v>86.183848082296933</v>
      </c>
      <c r="I14" s="77">
        <f>IF(H14="","",IF($I$8="A",(RANK(H14,H$11:H$368,1)+COUNTIF(H$11:H14,H14)-1),(RANK(H14,H$11:H$368)+COUNTIF(H$11:H14,H14)-1)))</f>
        <v>31</v>
      </c>
      <c r="J14" s="35"/>
      <c r="K14" s="28">
        <f t="shared" si="7"/>
        <v>4</v>
      </c>
      <c r="L14" s="36" t="str">
        <f t="shared" si="2"/>
        <v>East Hertfordshire</v>
      </c>
      <c r="M14" s="102">
        <f t="shared" ref="M14:M75" si="22">IF(L14="","",IF(VLOOKUP(L14,C:D,2,FALSE)=$F$3,VLOOKUP(L14,C:H,6,FALSE),""))</f>
        <v>89.749905538045041</v>
      </c>
      <c r="N14" s="101">
        <f t="shared" ref="N14:N75" si="23">IF(L14="","",IF($H$8="%%",M14*100,M14))</f>
        <v>89.749905538045041</v>
      </c>
      <c r="O14" s="94">
        <f t="shared" si="8"/>
        <v>89.749905538045041</v>
      </c>
      <c r="P14" s="94" t="str">
        <f t="shared" si="18"/>
        <v/>
      </c>
      <c r="Q14" s="94" t="str">
        <f t="shared" si="19"/>
        <v/>
      </c>
      <c r="R14" s="90" t="str">
        <f t="shared" si="20"/>
        <v/>
      </c>
      <c r="S14" s="37" t="str">
        <f t="shared" si="9"/>
        <v/>
      </c>
      <c r="T14" s="176" t="str">
        <f>IF(L14="","",VLOOKUP(L14,classifications!C:K,9,FALSE))</f>
        <v>Sparse</v>
      </c>
      <c r="U14" s="183">
        <f t="shared" si="10"/>
        <v>89.749905538045041</v>
      </c>
      <c r="V14" s="184">
        <f>IF(U14="","",IF($I$8="A",(RANK(U14,U$11:U$368)+COUNTIF(U$11:U14,U14)-1),(RANK(U14,U$11:U$368,1)+COUNTIF(U$11:U14,U14)-1)))</f>
        <v>77</v>
      </c>
      <c r="W14" s="185"/>
      <c r="X14" s="38" t="str">
        <f>IF(L14="","",VLOOKUP($L14,classifications!$C:$J,6,FALSE))</f>
        <v>Urban with Significant Rural (rural including hub towns 26-49%)</v>
      </c>
      <c r="Y14" s="26" t="str">
        <f t="shared" si="3"/>
        <v/>
      </c>
      <c r="Z14" s="34" t="str">
        <f>IF(Y14="","",IF(I$8="A",(RANK(Y14,Y$11:Y$368,1)+COUNTIF(Y$11:Y14,Y14)-1),(RANK(Y14,Y$11:Y$368)+COUNTIF(Y$11:Y14,Y14)-1)))</f>
        <v/>
      </c>
      <c r="AA14" s="188" t="str">
        <f>IF(L14="","",VLOOKUP($L14,classifications!C:I,7,FALSE))</f>
        <v>Significant Rural</v>
      </c>
      <c r="AB14" s="184" t="str">
        <f t="shared" si="11"/>
        <v/>
      </c>
      <c r="AC14" s="184" t="str">
        <f>IF(AB14="","",IF($I$8="A",(RANK(AB14,AB$11:AB$368)+COUNTIF(AB$11:AB14,AB14)-1),(RANK(AB14,AB$11:AB$368,1)+COUNTIF(AB$11:AB14,AB14)-1)))</f>
        <v/>
      </c>
      <c r="AD14" s="184"/>
      <c r="AE14" s="45" t="e">
        <f>IF(I$8="A",(RANK(AG14,AG$11:AG$368,1)+COUNTIF(AG$11:AG14,AG14)-1),(RANK(AG14,AG$11:AG$368)+COUNTIF(AG$11:AG14,AG14)-1))</f>
        <v>#VALUE!</v>
      </c>
      <c r="AF14" s="1" t="str">
        <f>VLOOKUP(Profile!$J$5,Families!$C:$R,4,FALSE)</f>
        <v>Waveney</v>
      </c>
      <c r="AG14" s="96" t="str">
        <f t="shared" si="12"/>
        <v>-</v>
      </c>
      <c r="AH14" s="46" t="e">
        <f t="shared" si="21"/>
        <v>#VALUE!</v>
      </c>
      <c r="AI14" s="38" t="str">
        <f>IF(L14="","",VLOOKUP($L14,classifications!$C:$J,8,FALSE))</f>
        <v>Hertfordshire</v>
      </c>
      <c r="AJ14" s="39" t="str">
        <f t="shared" si="4"/>
        <v/>
      </c>
      <c r="AK14" s="34" t="str">
        <f>IF(AJ14="","",IF(I$8="A",(RANK(AJ14,AJ$11:AJ$368,1)+COUNTIF(AJ$11:AJ14,AJ14)-1),(RANK(AJ14,AJ$11:AJ$368)+COUNTIF(AJ$11:AJ14,AJ14)-1)))</f>
        <v/>
      </c>
      <c r="AL14" s="29">
        <f t="shared" si="13"/>
        <v>4</v>
      </c>
      <c r="AM14" s="8" t="str">
        <f t="shared" si="5"/>
        <v>Allerdale</v>
      </c>
      <c r="AN14" s="8">
        <f t="shared" si="14"/>
        <v>81.774925961121198</v>
      </c>
      <c r="AP14" s="38" t="str">
        <f>IF(L14="","",VLOOKUP($L14,classifications!$C:$E,3,FALSE))</f>
        <v>East of England</v>
      </c>
      <c r="AQ14" s="39" t="str">
        <f t="shared" si="15"/>
        <v/>
      </c>
      <c r="AR14" s="34" t="str">
        <f>IF(AQ14="","",IF(I$8="A",(RANK(AQ14,AQ$11:AQ$368,1)+COUNTIF(AQ$11:AQ14,AQ14)-1),(RANK(AQ14,AQ$11:AQ$368)+COUNTIF(AQ$11:AQ14,AQ14)-1)))</f>
        <v/>
      </c>
      <c r="AS14" s="29">
        <f t="shared" si="16"/>
        <v>4</v>
      </c>
      <c r="AT14" s="34" t="str">
        <f t="shared" si="6"/>
        <v>Eden</v>
      </c>
      <c r="AU14" s="39">
        <f t="shared" si="17"/>
        <v>85.470285287194898</v>
      </c>
      <c r="AX14" s="21">
        <f>HLOOKUP($AX$9&amp;$AX$10,Data!$A$1:$ZZ$2000,(MATCH($C14,Data!$A$1:$A$2000,0)),FALSE)</f>
        <v>86.183848082296933</v>
      </c>
      <c r="AY14" s="103"/>
      <c r="AZ14" s="21"/>
    </row>
    <row r="15" spans="1:735">
      <c r="A15" s="56" t="str">
        <f>$D$1&amp;5</f>
        <v>SD5</v>
      </c>
      <c r="B15" s="57" t="str">
        <f>IF(ISERROR(VLOOKUP(A15,classifications!A:C,3,FALSE)),0,VLOOKUP(A15,classifications!A:C,3,FALSE))</f>
        <v>Braintree</v>
      </c>
      <c r="C15" s="8" t="s">
        <v>9</v>
      </c>
      <c r="D15" s="26" t="str">
        <f>VLOOKUP($C15,classifications!$C:$J,4,FALSE)</f>
        <v>SD</v>
      </c>
      <c r="E15" s="26">
        <f>VLOOKUP(C15,classifications!C:K,9,FALSE)</f>
        <v>0</v>
      </c>
      <c r="F15" s="36">
        <f t="shared" si="0"/>
        <v>77.737873022638354</v>
      </c>
      <c r="G15" s="71"/>
      <c r="H15" s="37">
        <f t="shared" si="1"/>
        <v>77.737873022638354</v>
      </c>
      <c r="I15" s="77">
        <f>IF(H15="","",IF($I$8="A",(RANK(H15,H$11:H$368,1)+COUNTIF(H$11:H15,H15)-1),(RANK(H15,H$11:H$368)+COUNTIF(H$11:H15,H15)-1)))</f>
        <v>168</v>
      </c>
      <c r="J15" s="35"/>
      <c r="K15" s="28">
        <f t="shared" si="7"/>
        <v>5</v>
      </c>
      <c r="L15" s="36" t="str">
        <f t="shared" si="2"/>
        <v>Vale of White Horse</v>
      </c>
      <c r="M15" s="102">
        <f t="shared" si="22"/>
        <v>89.410573933239718</v>
      </c>
      <c r="N15" s="101">
        <f t="shared" si="23"/>
        <v>89.410573933239718</v>
      </c>
      <c r="O15" s="94">
        <f t="shared" si="8"/>
        <v>89.410573933239718</v>
      </c>
      <c r="P15" s="94" t="str">
        <f t="shared" si="18"/>
        <v/>
      </c>
      <c r="Q15" s="94" t="str">
        <f t="shared" si="19"/>
        <v/>
      </c>
      <c r="R15" s="90" t="str">
        <f t="shared" si="20"/>
        <v/>
      </c>
      <c r="S15" s="37" t="str">
        <f t="shared" si="9"/>
        <v/>
      </c>
      <c r="T15" s="176" t="str">
        <f>IF(L15="","",VLOOKUP(L15,classifications!C:K,9,FALSE))</f>
        <v>Sparse</v>
      </c>
      <c r="U15" s="183">
        <f t="shared" si="10"/>
        <v>89.410573933239718</v>
      </c>
      <c r="V15" s="184">
        <f>IF(U15="","",IF($I$8="A",(RANK(U15,U$11:U$368)+COUNTIF(U$11:U15,U15)-1),(RANK(U15,U$11:U$368,1)+COUNTIF(U$11:U15,U15)-1)))</f>
        <v>76</v>
      </c>
      <c r="W15" s="185"/>
      <c r="X15" s="38" t="str">
        <f>IF(L15="","",VLOOKUP($L15,classifications!$C:$J,6,FALSE))</f>
        <v xml:space="preserve">Largely Rural (rural including hub towns 50-79%) </v>
      </c>
      <c r="Y15" s="26" t="str">
        <f t="shared" si="3"/>
        <v/>
      </c>
      <c r="Z15" s="34" t="str">
        <f>IF(Y15="","",IF(I$8="A",(RANK(Y15,Y$11:Y$368,1)+COUNTIF(Y$11:Y15,Y15)-1),(RANK(Y15,Y$11:Y$368)+COUNTIF(Y$11:Y15,Y15)-1)))</f>
        <v/>
      </c>
      <c r="AA15" s="188" t="str">
        <f>IF(L15="","",VLOOKUP($L15,classifications!C:I,7,FALSE))</f>
        <v>Predominantly Rural</v>
      </c>
      <c r="AB15" s="184">
        <f t="shared" si="11"/>
        <v>89.410573933239718</v>
      </c>
      <c r="AC15" s="184">
        <f>IF(AB15="","",IF($I$8="A",(RANK(AB15,AB$11:AB$368)+COUNTIF(AB$11:AB15,AB15)-1),(RANK(AB15,AB$11:AB$368,1)+COUNTIF(AB$11:AB15,AB15)-1)))</f>
        <v>75</v>
      </c>
      <c r="AD15" s="184"/>
      <c r="AE15" s="45">
        <f>IF(I$8="A",(RANK(AG15,AG$11:AG$368,1)+COUNTIF(AG$11:AG15,AG15)-1),(RANK(AG15,AG$11:AG$368)+COUNTIF(AG$11:AG15,AG15)-1))</f>
        <v>12</v>
      </c>
      <c r="AF15" s="1" t="str">
        <f>VLOOKUP(Profile!$J$5,Families!$C:$R,5,FALSE)</f>
        <v>Bassetlaw</v>
      </c>
      <c r="AG15" s="96">
        <f t="shared" si="12"/>
        <v>79.150372986211494</v>
      </c>
      <c r="AH15" s="46">
        <f t="shared" si="21"/>
        <v>12</v>
      </c>
      <c r="AI15" s="38" t="str">
        <f>IF(L15="","",VLOOKUP($L15,classifications!$C:$J,8,FALSE))</f>
        <v>Oxfordshire</v>
      </c>
      <c r="AJ15" s="39" t="str">
        <f t="shared" si="4"/>
        <v/>
      </c>
      <c r="AK15" s="34" t="str">
        <f>IF(AJ15="","",IF(I$8="A",(RANK(AJ15,AJ$11:AJ$368,1)+COUNTIF(AJ$11:AJ15,AJ15)-1),(RANK(AJ15,AJ$11:AJ$368)+COUNTIF(AJ$11:AJ15,AJ15)-1)))</f>
        <v/>
      </c>
      <c r="AL15" s="29">
        <f t="shared" si="13"/>
        <v>5</v>
      </c>
      <c r="AM15" s="8" t="str">
        <f t="shared" si="5"/>
        <v>Copeland</v>
      </c>
      <c r="AN15" s="8">
        <f t="shared" si="14"/>
        <v>81.67035568373511</v>
      </c>
      <c r="AP15" s="38" t="str">
        <f>IF(L15="","",VLOOKUP($L15,classifications!$C:$E,3,FALSE))</f>
        <v>South East</v>
      </c>
      <c r="AQ15" s="39" t="str">
        <f t="shared" si="15"/>
        <v/>
      </c>
      <c r="AR15" s="34" t="str">
        <f>IF(AQ15="","",IF(I$8="A",(RANK(AQ15,AQ$11:AQ$368,1)+COUNTIF(AQ$11:AQ15,AQ15)-1),(RANK(AQ15,AQ$11:AQ$368)+COUNTIF(AQ$11:AQ15,AQ15)-1)))</f>
        <v/>
      </c>
      <c r="AS15" s="29">
        <f t="shared" si="16"/>
        <v>5</v>
      </c>
      <c r="AT15" s="34" t="str">
        <f t="shared" si="6"/>
        <v>South Ribble</v>
      </c>
      <c r="AU15" s="39">
        <f t="shared" si="17"/>
        <v>83.096861801507984</v>
      </c>
      <c r="AX15" s="21">
        <f>HLOOKUP($AX$9&amp;$AX$10,Data!$A$1:$ZZ$2000,(MATCH($C15,Data!$A$1:$A$2000,0)),FALSE)</f>
        <v>77.737873022638354</v>
      </c>
      <c r="AY15" s="103"/>
      <c r="AZ15" s="21"/>
    </row>
    <row r="16" spans="1:735">
      <c r="A16" s="56" t="str">
        <f>$D$1&amp;6</f>
        <v>SD6</v>
      </c>
      <c r="B16" s="57" t="str">
        <f>IF(ISERROR(VLOOKUP(A16,classifications!A:C,3,FALSE)),0,VLOOKUP(A16,classifications!A:C,3,FALSE))</f>
        <v>Breckland</v>
      </c>
      <c r="C16" s="8" t="s">
        <v>10</v>
      </c>
      <c r="D16" s="26" t="str">
        <f>VLOOKUP($C16,classifications!$C:$J,4,FALSE)</f>
        <v>SD</v>
      </c>
      <c r="E16" s="26" t="str">
        <f>VLOOKUP(C16,classifications!C:K,9,FALSE)</f>
        <v>Sparse</v>
      </c>
      <c r="F16" s="36">
        <f t="shared" si="0"/>
        <v>79.637339452150854</v>
      </c>
      <c r="G16" s="71"/>
      <c r="H16" s="37">
        <f t="shared" si="1"/>
        <v>79.637339452150854</v>
      </c>
      <c r="I16" s="77">
        <f>IF(H16="","",IF($I$8="A",(RANK(H16,H$11:H$368,1)+COUNTIF(H$11:H16,H16)-1),(RANK(H16,H$11:H$368)+COUNTIF(H$11:H16,H16)-1)))</f>
        <v>148</v>
      </c>
      <c r="J16" s="35"/>
      <c r="K16" s="28">
        <f t="shared" si="7"/>
        <v>6</v>
      </c>
      <c r="L16" s="36" t="str">
        <f t="shared" si="2"/>
        <v>Waverley</v>
      </c>
      <c r="M16" s="102">
        <f t="shared" si="22"/>
        <v>89.385768010507832</v>
      </c>
      <c r="N16" s="101">
        <f t="shared" si="23"/>
        <v>89.385768010507832</v>
      </c>
      <c r="O16" s="94">
        <f t="shared" si="8"/>
        <v>89.385768010507832</v>
      </c>
      <c r="P16" s="94" t="str">
        <f t="shared" si="18"/>
        <v/>
      </c>
      <c r="Q16" s="94" t="str">
        <f t="shared" si="19"/>
        <v/>
      </c>
      <c r="R16" s="90" t="str">
        <f t="shared" si="20"/>
        <v/>
      </c>
      <c r="S16" s="37" t="str">
        <f t="shared" si="9"/>
        <v/>
      </c>
      <c r="T16" s="176">
        <f>IF(L16="","",VLOOKUP(L16,classifications!C:K,9,FALSE))</f>
        <v>0</v>
      </c>
      <c r="U16" s="183" t="str">
        <f t="shared" si="10"/>
        <v/>
      </c>
      <c r="V16" s="184" t="str">
        <f>IF(U16="","",IF($I$8="A",(RANK(U16,U$11:U$368)+COUNTIF(U$11:U16,U16)-1),(RANK(U16,U$11:U$368,1)+COUNTIF(U$11:U16,U16)-1)))</f>
        <v/>
      </c>
      <c r="W16" s="185"/>
      <c r="X16" s="38" t="str">
        <f>IF(L16="","",VLOOKUP($L16,classifications!$C:$J,6,FALSE))</f>
        <v xml:space="preserve">Largely Rural (rural including hub towns 50-79%) </v>
      </c>
      <c r="Y16" s="26" t="str">
        <f t="shared" si="3"/>
        <v/>
      </c>
      <c r="Z16" s="34" t="str">
        <f>IF(Y16="","",IF(I$8="A",(RANK(Y16,Y$11:Y$368,1)+COUNTIF(Y$11:Y16,Y16)-1),(RANK(Y16,Y$11:Y$368)+COUNTIF(Y$11:Y16,Y16)-1)))</f>
        <v/>
      </c>
      <c r="AA16" s="188" t="str">
        <f>IF(L16="","",VLOOKUP($L16,classifications!C:I,7,FALSE))</f>
        <v>Predominantly Rural</v>
      </c>
      <c r="AB16" s="184">
        <f t="shared" si="11"/>
        <v>89.385768010507832</v>
      </c>
      <c r="AC16" s="184">
        <f>IF(AB16="","",IF($I$8="A",(RANK(AB16,AB$11:AB$368)+COUNTIF(AB$11:AB16,AB16)-1),(RANK(AB16,AB$11:AB$368,1)+COUNTIF(AB$11:AB16,AB16)-1)))</f>
        <v>74</v>
      </c>
      <c r="AD16" s="184"/>
      <c r="AE16" s="45">
        <f>IF(I$8="A",(RANK(AG16,AG$11:AG$368,1)+COUNTIF(AG$11:AG16,AG16)-1),(RANK(AG16,AG$11:AG$368)+COUNTIF(AG$11:AG16,AG16)-1))</f>
        <v>6</v>
      </c>
      <c r="AF16" s="1" t="str">
        <f>VLOOKUP(Profile!$J$5,Families!$C:$R,6,FALSE)</f>
        <v>North Devon</v>
      </c>
      <c r="AG16" s="96">
        <f t="shared" si="12"/>
        <v>81.713744611381074</v>
      </c>
      <c r="AH16" s="46">
        <f t="shared" si="21"/>
        <v>6</v>
      </c>
      <c r="AI16" s="38" t="str">
        <f>IF(L16="","",VLOOKUP($L16,classifications!$C:$J,8,FALSE))</f>
        <v>Surrey</v>
      </c>
      <c r="AJ16" s="39" t="str">
        <f t="shared" si="4"/>
        <v/>
      </c>
      <c r="AK16" s="34" t="str">
        <f>IF(AJ16="","",IF(I$8="A",(RANK(AJ16,AJ$11:AJ$368,1)+COUNTIF(AJ$11:AJ16,AJ16)-1),(RANK(AJ16,AJ$11:AJ$368)+COUNTIF(AJ$11:AJ16,AJ16)-1)))</f>
        <v/>
      </c>
      <c r="AL16" s="29">
        <f t="shared" si="13"/>
        <v>6</v>
      </c>
      <c r="AM16" s="8" t="str">
        <f t="shared" si="5"/>
        <v>Carlisle</v>
      </c>
      <c r="AN16" s="8">
        <f t="shared" si="14"/>
        <v>81.09538839596307</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Barrow-in-Furness</v>
      </c>
      <c r="AU16" s="39">
        <f t="shared" si="17"/>
        <v>82.166266846252938</v>
      </c>
      <c r="AX16" s="21">
        <f>HLOOKUP($AX$9&amp;$AX$10,Data!$A$1:$ZZ$2000,(MATCH($C16,Data!$A$1:$A$2000,0)),FALSE)</f>
        <v>79.637339452150854</v>
      </c>
      <c r="AY16" s="103"/>
      <c r="AZ16" s="21"/>
    </row>
    <row r="17" spans="1:52">
      <c r="A17" s="56" t="str">
        <f>$D$1&amp;7</f>
        <v>SD7</v>
      </c>
      <c r="B17" s="57" t="str">
        <f>IF(ISERROR(VLOOKUP(A17,classifications!A:C,3,FALSE)),0,VLOOKUP(A17,classifications!A:C,3,FALSE))</f>
        <v>Cherwell</v>
      </c>
      <c r="C17" s="8" t="s">
        <v>11</v>
      </c>
      <c r="D17" s="26" t="str">
        <f>VLOOKUP($C17,classifications!$C:$J,4,FALSE)</f>
        <v>SD</v>
      </c>
      <c r="E17" s="26">
        <f>VLOOKUP(C17,classifications!C:K,9,FALSE)</f>
        <v>0</v>
      </c>
      <c r="F17" s="36">
        <f t="shared" si="0"/>
        <v>82.891590896344596</v>
      </c>
      <c r="G17" s="71"/>
      <c r="H17" s="37">
        <f t="shared" si="1"/>
        <v>82.891590896344596</v>
      </c>
      <c r="I17" s="77">
        <f>IF(H17="","",IF($I$8="A",(RANK(H17,H$11:H$368,1)+COUNTIF(H$11:H17,H17)-1),(RANK(H17,H$11:H$368)+COUNTIF(H$11:H17,H17)-1)))</f>
        <v>93</v>
      </c>
      <c r="J17" s="35"/>
      <c r="K17" s="28">
        <f t="shared" si="7"/>
        <v>7</v>
      </c>
      <c r="L17" s="36" t="str">
        <f t="shared" si="2"/>
        <v>Elmbridge</v>
      </c>
      <c r="M17" s="102">
        <f t="shared" si="22"/>
        <v>88.850306199577062</v>
      </c>
      <c r="N17" s="101">
        <f t="shared" si="23"/>
        <v>88.850306199577062</v>
      </c>
      <c r="O17" s="94">
        <f t="shared" si="8"/>
        <v>88.850306199577062</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Urban with Major Conurbation</v>
      </c>
      <c r="Y17" s="26" t="str">
        <f t="shared" si="3"/>
        <v/>
      </c>
      <c r="Z17" s="34" t="str">
        <f>IF(Y17="","",IF(I$8="A",(RANK(Y17,Y$11:Y$368,1)+COUNTIF(Y$11:Y17,Y17)-1),(RANK(Y17,Y$11:Y$368)+COUNTIF(Y$11:Y17,Y17)-1)))</f>
        <v/>
      </c>
      <c r="AA17" s="188" t="str">
        <f>IF(L17="","",VLOOKUP($L17,classifications!C:I,7,FALSE))</f>
        <v>Predominantly Urban</v>
      </c>
      <c r="AB17" s="184" t="str">
        <f t="shared" si="11"/>
        <v/>
      </c>
      <c r="AC17" s="184" t="str">
        <f>IF(AB17="","",IF($I$8="A",(RANK(AB17,AB$11:AB$368)+COUNTIF(AB$11:AB17,AB17)-1),(RANK(AB17,AB$11:AB$368,1)+COUNTIF(AB$11:AB17,AB17)-1)))</f>
        <v/>
      </c>
      <c r="AD17" s="184"/>
      <c r="AE17" s="45">
        <f>IF(I$8="A",(RANK(AG17,AG$11:AG$368,1)+COUNTIF(AG$11:AG17,AG17)-1),(RANK(AG17,AG$11:AG$368)+COUNTIF(AG$11:AG17,AG17)-1))</f>
        <v>10</v>
      </c>
      <c r="AF17" s="1" t="str">
        <f>VLOOKUP(Profile!$J$5,Families!$C:$R,7,FALSE)</f>
        <v>Sedgemoor</v>
      </c>
      <c r="AG17" s="96">
        <f t="shared" si="12"/>
        <v>80.987988076128133</v>
      </c>
      <c r="AH17" s="46">
        <f t="shared" si="21"/>
        <v>10</v>
      </c>
      <c r="AI17" s="38" t="str">
        <f>IF(L17="","",VLOOKUP($L17,classifications!$C:$J,8,FALSE))</f>
        <v>Surrey</v>
      </c>
      <c r="AJ17" s="39" t="str">
        <f t="shared" si="4"/>
        <v/>
      </c>
      <c r="AK17" s="34" t="str">
        <f>IF(AJ17="","",IF(I$8="A",(RANK(AJ17,AJ$11:AJ$368,1)+COUNTIF(AJ$11:AJ17,AJ17)-1),(RANK(AJ17,AJ$11:AJ$368)+COUNTIF(AJ$11:AJ17,AJ17)-1)))</f>
        <v/>
      </c>
      <c r="AL17" s="29" t="str">
        <f t="shared" si="13"/>
        <v/>
      </c>
      <c r="AM17" s="8" t="str">
        <f t="shared" si="5"/>
        <v/>
      </c>
      <c r="AN17" s="8" t="str">
        <f t="shared" si="14"/>
        <v/>
      </c>
      <c r="AP17" s="38" t="str">
        <f>IF(L17="","",VLOOKUP($L17,classifications!$C:$E,3,FALSE))</f>
        <v>South East</v>
      </c>
      <c r="AQ17" s="39" t="str">
        <f t="shared" si="15"/>
        <v/>
      </c>
      <c r="AR17" s="34" t="str">
        <f>IF(AQ17="","",IF(I$8="A",(RANK(AQ17,AQ$11:AQ$368,1)+COUNTIF(AQ$11:AQ17,AQ17)-1),(RANK(AQ17,AQ$11:AQ$368)+COUNTIF(AQ$11:AQ17,AQ17)-1)))</f>
        <v/>
      </c>
      <c r="AS17" s="29">
        <f t="shared" si="16"/>
        <v>7</v>
      </c>
      <c r="AT17" s="34" t="str">
        <f t="shared" si="6"/>
        <v>Allerdale</v>
      </c>
      <c r="AU17" s="39">
        <f t="shared" si="17"/>
        <v>81.774925961121198</v>
      </c>
      <c r="AX17" s="21">
        <f>HLOOKUP($AX$9&amp;$AX$10,Data!$A$1:$ZZ$2000,(MATCH($C17,Data!$A$1:$A$2000,0)),FALSE)</f>
        <v>82.891590896344596</v>
      </c>
      <c r="AY17" s="103"/>
      <c r="AZ17" s="21"/>
    </row>
    <row r="18" spans="1:52">
      <c r="A18" s="56" t="str">
        <f>$D$1&amp;8</f>
        <v>SD8</v>
      </c>
      <c r="B18" s="57" t="str">
        <f>IF(ISERROR(VLOOKUP(A18,classifications!A:C,3,FALSE)),0,VLOOKUP(A18,classifications!A:C,3,FALSE))</f>
        <v>Chichester</v>
      </c>
      <c r="C18" s="8" t="s">
        <v>12</v>
      </c>
      <c r="D18" s="26" t="str">
        <f>VLOOKUP($C18,classifications!$C:$J,4,FALSE)</f>
        <v>SD</v>
      </c>
      <c r="E18" s="26" t="str">
        <f>VLOOKUP(C18,classifications!C:K,9,FALSE)</f>
        <v>Sparse</v>
      </c>
      <c r="F18" s="36">
        <f t="shared" si="0"/>
        <v>78.89244691922211</v>
      </c>
      <c r="G18" s="71"/>
      <c r="H18" s="37">
        <f t="shared" si="1"/>
        <v>78.89244691922211</v>
      </c>
      <c r="I18" s="77">
        <f>IF(H18="","",IF($I$8="A",(RANK(H18,H$11:H$368,1)+COUNTIF(H$11:H18,H18)-1),(RANK(H18,H$11:H$368)+COUNTIF(H$11:H18,H18)-1)))</f>
        <v>155</v>
      </c>
      <c r="J18" s="35"/>
      <c r="K18" s="28">
        <f t="shared" si="7"/>
        <v>8</v>
      </c>
      <c r="L18" s="36" t="str">
        <f t="shared" si="2"/>
        <v>Winchester</v>
      </c>
      <c r="M18" s="102">
        <f t="shared" si="22"/>
        <v>88.154799004680399</v>
      </c>
      <c r="N18" s="101">
        <f t="shared" si="23"/>
        <v>88.154799004680399</v>
      </c>
      <c r="O18" s="94">
        <f t="shared" si="8"/>
        <v>88.154799004680399</v>
      </c>
      <c r="P18" s="94" t="str">
        <f t="shared" si="18"/>
        <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 xml:space="preserve">Largely Rural (rural including hub towns 50-79%) </v>
      </c>
      <c r="Y18" s="26" t="str">
        <f t="shared" si="3"/>
        <v/>
      </c>
      <c r="Z18" s="34" t="str">
        <f>IF(Y18="","",IF(I$8="A",(RANK(Y18,Y$11:Y$368,1)+COUNTIF(Y$11:Y18,Y18)-1),(RANK(Y18,Y$11:Y$368)+COUNTIF(Y$11:Y18,Y18)-1)))</f>
        <v/>
      </c>
      <c r="AA18" s="188" t="str">
        <f>IF(L18="","",VLOOKUP($L18,classifications!C:I,7,FALSE))</f>
        <v>Predominantly Rural</v>
      </c>
      <c r="AB18" s="184">
        <f t="shared" si="11"/>
        <v>88.154799004680399</v>
      </c>
      <c r="AC18" s="184">
        <f>IF(AB18="","",IF($I$8="A",(RANK(AB18,AB$11:AB$368)+COUNTIF(AB$11:AB18,AB18)-1),(RANK(AB18,AB$11:AB$368,1)+COUNTIF(AB$11:AB18,AB18)-1)))</f>
        <v>73</v>
      </c>
      <c r="AD18" s="184"/>
      <c r="AE18" s="45">
        <f>IF(I$8="A",(RANK(AG18,AG$11:AG$368,1)+COUNTIF(AG$11:AG18,AG18)-1),(RANK(AG18,AG$11:AG$368)+COUNTIF(AG$11:AG18,AG18)-1))</f>
        <v>14</v>
      </c>
      <c r="AF18" s="1" t="str">
        <f>VLOOKUP(Profile!$J$5,Families!$C:$R,8,FALSE)</f>
        <v>Torridge</v>
      </c>
      <c r="AG18" s="96">
        <f t="shared" si="12"/>
        <v>78.94026222564095</v>
      </c>
      <c r="AH18" s="46">
        <f t="shared" si="21"/>
        <v>14</v>
      </c>
      <c r="AI18" s="38" t="str">
        <f>IF(L18="","",VLOOKUP($L18,classifications!$C:$J,8,FALSE))</f>
        <v>Hampshire</v>
      </c>
      <c r="AJ18" s="39" t="str">
        <f t="shared" si="4"/>
        <v/>
      </c>
      <c r="AK18" s="34" t="str">
        <f>IF(AJ18="","",IF(I$8="A",(RANK(AJ18,AJ$11:AJ$368,1)+COUNTIF(AJ$11:AJ18,AJ18)-1),(RANK(AJ18,AJ$11:AJ$368)+COUNTIF(AJ$11:AJ18,AJ18)-1)))</f>
        <v/>
      </c>
      <c r="AL18" s="29" t="str">
        <f t="shared" si="13"/>
        <v/>
      </c>
      <c r="AM18" s="8" t="str">
        <f t="shared" si="5"/>
        <v/>
      </c>
      <c r="AN18" s="8" t="str">
        <f t="shared" si="14"/>
        <v/>
      </c>
      <c r="AP18" s="38" t="str">
        <f>IF(L18="","",VLOOKUP($L18,classifications!$C:$E,3,FALSE))</f>
        <v>South East</v>
      </c>
      <c r="AQ18" s="39" t="str">
        <f t="shared" si="15"/>
        <v/>
      </c>
      <c r="AR18" s="34" t="str">
        <f>IF(AQ18="","",IF(I$8="A",(RANK(AQ18,AQ$11:AQ$368,1)+COUNTIF(AQ$11:AQ18,AQ18)-1),(RANK(AQ18,AQ$11:AQ$368)+COUNTIF(AQ$11:AQ18,AQ18)-1)))</f>
        <v/>
      </c>
      <c r="AS18" s="29">
        <f t="shared" si="16"/>
        <v>8</v>
      </c>
      <c r="AT18" s="34" t="str">
        <f t="shared" si="6"/>
        <v>Copeland</v>
      </c>
      <c r="AU18" s="39">
        <f t="shared" si="17"/>
        <v>81.67035568373511</v>
      </c>
      <c r="AX18" s="21">
        <f>HLOOKUP($AX$9&amp;$AX$10,Data!$A$1:$ZZ$2000,(MATCH($C18,Data!$A$1:$A$2000,0)),FALSE)</f>
        <v>78.89244691922211</v>
      </c>
      <c r="AY18" s="103"/>
      <c r="AZ18" s="21"/>
    </row>
    <row r="19" spans="1:52">
      <c r="A19" s="56" t="str">
        <f>$D$1&amp;9</f>
        <v>SD9</v>
      </c>
      <c r="B19" s="57" t="str">
        <f>IF(ISERROR(VLOOKUP(A19,classifications!A:C,3,FALSE)),0,VLOOKUP(A19,classifications!A:C,3,FALSE))</f>
        <v>Copeland</v>
      </c>
      <c r="C19" s="8" t="s">
        <v>338</v>
      </c>
      <c r="D19" s="26" t="str">
        <f>VLOOKUP($C19,classifications!$C:$J,4,FALSE)</f>
        <v>L</v>
      </c>
      <c r="E19" s="26">
        <f>VLOOKUP(C19,classifications!C:K,9,FALSE)</f>
        <v>0</v>
      </c>
      <c r="F19" s="36">
        <f t="shared" si="0"/>
        <v>65.837289067000057</v>
      </c>
      <c r="G19" s="71"/>
      <c r="H19" s="37" t="str">
        <f t="shared" si="1"/>
        <v/>
      </c>
      <c r="I19" s="77" t="str">
        <f>IF(H19="","",IF($I$8="A",(RANK(H19,H$11:H$368,1)+COUNTIF(H$11:H19,H19)-1),(RANK(H19,H$11:H$368)+COUNTIF(H$11:H19,H19)-1)))</f>
        <v/>
      </c>
      <c r="J19" s="35"/>
      <c r="K19" s="28">
        <f t="shared" si="7"/>
        <v>9</v>
      </c>
      <c r="L19" s="36" t="str">
        <f t="shared" si="2"/>
        <v>South Hams</v>
      </c>
      <c r="M19" s="102">
        <f t="shared" si="22"/>
        <v>88.114833574245324</v>
      </c>
      <c r="N19" s="101">
        <f t="shared" si="23"/>
        <v>88.114833574245324</v>
      </c>
      <c r="O19" s="94">
        <f t="shared" si="8"/>
        <v>88.114833574245324</v>
      </c>
      <c r="P19" s="94" t="str">
        <f t="shared" si="18"/>
        <v/>
      </c>
      <c r="Q19" s="94" t="str">
        <f t="shared" si="19"/>
        <v/>
      </c>
      <c r="R19" s="90" t="str">
        <f t="shared" si="20"/>
        <v/>
      </c>
      <c r="S19" s="37" t="str">
        <f t="shared" si="9"/>
        <v/>
      </c>
      <c r="T19" s="176" t="str">
        <f>IF(L19="","",VLOOKUP(L19,classifications!C:K,9,FALSE))</f>
        <v>Sparse</v>
      </c>
      <c r="U19" s="183">
        <f t="shared" si="10"/>
        <v>88.114833574245324</v>
      </c>
      <c r="V19" s="184">
        <f>IF(U19="","",IF($I$8="A",(RANK(U19,U$11:U$368)+COUNTIF(U$11:U19,U19)-1),(RANK(U19,U$11:U$368,1)+COUNTIF(U$11:U19,U19)-1)))</f>
        <v>75</v>
      </c>
      <c r="W19" s="185"/>
      <c r="X19" s="38" t="str">
        <f>IF(L19="","",VLOOKUP($L19,classifications!$C:$J,6,FALSE))</f>
        <v xml:space="preserve">Mainly Rural (rural including hub towns &gt;=80%) </v>
      </c>
      <c r="Y19" s="26">
        <f t="shared" si="3"/>
        <v>88.114833574245324</v>
      </c>
      <c r="Z19" s="34">
        <f>IF(Y19="","",IF(I$8="A",(RANK(Y19,Y$11:Y$368,1)+COUNTIF(Y$11:Y19,Y19)-1),(RANK(Y19,Y$11:Y$368)+COUNTIF(Y$11:Y19,Y19)-1)))</f>
        <v>1</v>
      </c>
      <c r="AA19" s="188" t="str">
        <f>IF(L19="","",VLOOKUP($L19,classifications!C:I,7,FALSE))</f>
        <v>Predominantly Rural</v>
      </c>
      <c r="AB19" s="184">
        <f t="shared" si="11"/>
        <v>88.114833574245324</v>
      </c>
      <c r="AC19" s="184">
        <f>IF(AB19="","",IF($I$8="A",(RANK(AB19,AB$11:AB$368)+COUNTIF(AB$11:AB19,AB19)-1),(RANK(AB19,AB$11:AB$368,1)+COUNTIF(AB$11:AB19,AB19)-1)))</f>
        <v>72</v>
      </c>
      <c r="AD19" s="184"/>
      <c r="AE19" s="45">
        <f>IF(I$8="A",(RANK(AG19,AG$11:AG$368,1)+COUNTIF(AG$11:AG19,AG19)-1),(RANK(AG19,AG$11:AG$368)+COUNTIF(AG$11:AG19,AG19)-1))</f>
        <v>11</v>
      </c>
      <c r="AF19" s="1" t="str">
        <f>VLOOKUP(Profile!$J$5,Families!$C:$R,9,FALSE)</f>
        <v>Newark &amp; Sherwood</v>
      </c>
      <c r="AG19" s="96">
        <f t="shared" si="12"/>
        <v>80.124545311152787</v>
      </c>
      <c r="AH19" s="46">
        <f t="shared" si="21"/>
        <v>11</v>
      </c>
      <c r="AI19" s="38" t="str">
        <f>IF(L19="","",VLOOKUP($L19,classifications!$C:$J,8,FALSE))</f>
        <v>Devon</v>
      </c>
      <c r="AJ19" s="39" t="str">
        <f t="shared" si="4"/>
        <v/>
      </c>
      <c r="AK19" s="34" t="str">
        <f>IF(AJ19="","",IF(I$8="A",(RANK(AJ19,AJ$11:AJ$368,1)+COUNTIF(AJ$11:AJ19,AJ19)-1),(RANK(AJ19,AJ$11:AJ$368)+COUNTIF(AJ$11:AJ19,AJ19)-1)))</f>
        <v/>
      </c>
      <c r="AL19" s="29" t="str">
        <f t="shared" si="13"/>
        <v/>
      </c>
      <c r="AM19" s="8" t="str">
        <f t="shared" si="5"/>
        <v/>
      </c>
      <c r="AN19" s="8" t="str">
        <f t="shared" si="14"/>
        <v/>
      </c>
      <c r="AP19" s="38" t="str">
        <f>IF(L19="","",VLOOKUP($L19,classifications!$C:$E,3,FALSE))</f>
        <v>South West</v>
      </c>
      <c r="AQ19" s="39" t="str">
        <f t="shared" si="15"/>
        <v/>
      </c>
      <c r="AR19" s="34" t="str">
        <f>IF(AQ19="","",IF(I$8="A",(RANK(AQ19,AQ$11:AQ$368,1)+COUNTIF(AQ$11:AQ19,AQ19)-1),(RANK(AQ19,AQ$11:AQ$368)+COUNTIF(AQ$11:AQ19,AQ19)-1)))</f>
        <v/>
      </c>
      <c r="AS19" s="29">
        <f t="shared" si="16"/>
        <v>9</v>
      </c>
      <c r="AT19" s="34" t="str">
        <f t="shared" si="6"/>
        <v>Carlisle</v>
      </c>
      <c r="AU19" s="39">
        <f t="shared" si="17"/>
        <v>81.09538839596307</v>
      </c>
      <c r="AX19" s="21">
        <f>HLOOKUP($AX$9&amp;$AX$10,Data!$A$1:$ZZ$2000,(MATCH($C19,Data!$A$1:$A$2000,0)),FALSE)</f>
        <v>65.837289067000057</v>
      </c>
      <c r="AY19" s="103"/>
      <c r="AZ19" s="21"/>
    </row>
    <row r="20" spans="1:52">
      <c r="A20" s="56" t="str">
        <f>$D$1&amp;10</f>
        <v>SD10</v>
      </c>
      <c r="B20" s="57" t="str">
        <f>IF(ISERROR(VLOOKUP(A20,classifications!A:C,3,FALSE)),0,VLOOKUP(A20,classifications!A:C,3,FALSE))</f>
        <v>Cotswold</v>
      </c>
      <c r="C20" s="8" t="s">
        <v>196</v>
      </c>
      <c r="D20" s="26" t="str">
        <f>VLOOKUP($C20,classifications!$C:$J,4,FALSE)</f>
        <v>L</v>
      </c>
      <c r="E20" s="26">
        <f>VLOOKUP(C20,classifications!C:K,9,FALSE)</f>
        <v>0</v>
      </c>
      <c r="F20" s="36">
        <f t="shared" si="0"/>
        <v>80.428551002401136</v>
      </c>
      <c r="G20" s="71"/>
      <c r="H20" s="37" t="str">
        <f t="shared" si="1"/>
        <v/>
      </c>
      <c r="I20" s="77" t="str">
        <f>IF(H20="","",IF($I$8="A",(RANK(H20,H$11:H$368,1)+COUNTIF(H$11:H20,H20)-1),(RANK(H20,H$11:H$368)+COUNTIF(H$11:H20,H20)-1)))</f>
        <v/>
      </c>
      <c r="J20" s="35"/>
      <c r="K20" s="28">
        <f t="shared" si="7"/>
        <v>10</v>
      </c>
      <c r="L20" s="36" t="str">
        <f t="shared" si="2"/>
        <v>Mid Sussex</v>
      </c>
      <c r="M20" s="102">
        <f t="shared" si="22"/>
        <v>88.090950078857276</v>
      </c>
      <c r="N20" s="101">
        <f t="shared" si="23"/>
        <v>88.090950078857276</v>
      </c>
      <c r="O20" s="94">
        <f t="shared" si="8"/>
        <v>88.090950078857276</v>
      </c>
      <c r="P20" s="94" t="str">
        <f t="shared" si="18"/>
        <v/>
      </c>
      <c r="Q20" s="94" t="str">
        <f t="shared" si="19"/>
        <v/>
      </c>
      <c r="R20" s="90" t="str">
        <f t="shared" si="20"/>
        <v/>
      </c>
      <c r="S20" s="37" t="str">
        <f t="shared" si="9"/>
        <v/>
      </c>
      <c r="T20" s="176" t="str">
        <f>IF(L20="","",VLOOKUP(L20,classifications!C:K,9,FALSE))</f>
        <v>Sparse</v>
      </c>
      <c r="U20" s="183">
        <f t="shared" si="10"/>
        <v>88.090950078857276</v>
      </c>
      <c r="V20" s="184">
        <f>IF(U20="","",IF($I$8="A",(RANK(U20,U$11:U$368)+COUNTIF(U$11:U20,U20)-1),(RANK(U20,U$11:U$368,1)+COUNTIF(U$11:U20,U20)-1)))</f>
        <v>74</v>
      </c>
      <c r="W20" s="185"/>
      <c r="X20" s="38" t="str">
        <f>IF(L20="","",VLOOKUP($L20,classifications!$C:$J,6,FALSE))</f>
        <v>Urban with City and Town</v>
      </c>
      <c r="Y20" s="26" t="str">
        <f t="shared" si="3"/>
        <v/>
      </c>
      <c r="Z20" s="34" t="str">
        <f>IF(Y20="","",IF(I$8="A",(RANK(Y20,Y$11:Y$368,1)+COUNTIF(Y$11:Y20,Y20)-1),(RANK(Y20,Y$11:Y$368)+COUNTIF(Y$11:Y20,Y20)-1)))</f>
        <v/>
      </c>
      <c r="AA20" s="188" t="str">
        <f>IF(L20="","",VLOOKUP($L20,classifications!C:I,7,FALSE))</f>
        <v>Predominantly Urban</v>
      </c>
      <c r="AB20" s="184" t="str">
        <f t="shared" si="11"/>
        <v/>
      </c>
      <c r="AC20" s="184" t="str">
        <f>IF(AB20="","",IF($I$8="A",(RANK(AB20,AB$11:AB$368)+COUNTIF(AB$11:AB20,AB20)-1),(RANK(AB20,AB$11:AB$368,1)+COUNTIF(AB$11:AB20,AB20)-1)))</f>
        <v/>
      </c>
      <c r="AD20" s="184"/>
      <c r="AE20" s="45">
        <f>IF(I$8="A",(RANK(AG20,AG$11:AG$368,1)+COUNTIF(AG$11:AG20,AG20)-1),(RANK(AG20,AG$11:AG$368)+COUNTIF(AG$11:AG20,AG20)-1))</f>
        <v>4</v>
      </c>
      <c r="AF20" s="1" t="str">
        <f>VLOOKUP(Profile!$J$5,Families!$C:$R,10,FALSE)</f>
        <v>Amber Valley</v>
      </c>
      <c r="AG20" s="96">
        <f t="shared" si="12"/>
        <v>81.9033742825373</v>
      </c>
      <c r="AH20" s="46">
        <f t="shared" si="21"/>
        <v>4</v>
      </c>
      <c r="AI20" s="38" t="str">
        <f>IF(L20="","",VLOOKUP($L20,classifications!$C:$J,8,FALSE))</f>
        <v>West Sussex</v>
      </c>
      <c r="AJ20" s="39" t="str">
        <f t="shared" si="4"/>
        <v/>
      </c>
      <c r="AK20" s="34" t="str">
        <f>IF(AJ20="","",IF(I$8="A",(RANK(AJ20,AJ$11:AJ$368,1)+COUNTIF(AJ$11:AJ20,AJ20)-1),(RANK(AJ20,AJ$11:AJ$368)+COUNTIF(AJ$11:AJ20,AJ20)-1)))</f>
        <v/>
      </c>
      <c r="AL20" s="29" t="str">
        <f t="shared" si="13"/>
        <v/>
      </c>
      <c r="AM20" s="8" t="str">
        <f t="shared" si="5"/>
        <v/>
      </c>
      <c r="AN20" s="8" t="str">
        <f t="shared" si="14"/>
        <v/>
      </c>
      <c r="AP20" s="38" t="str">
        <f>IF(L20="","",VLOOKUP($L20,classifications!$C:$E,3,FALSE))</f>
        <v>South East</v>
      </c>
      <c r="AQ20" s="39" t="str">
        <f t="shared" si="15"/>
        <v/>
      </c>
      <c r="AR20" s="34" t="str">
        <f>IF(AQ20="","",IF(I$8="A",(RANK(AQ20,AQ$11:AQ$368,1)+COUNTIF(AQ$11:AQ20,AQ20)-1),(RANK(AQ20,AQ$11:AQ$368)+COUNTIF(AQ$11:AQ20,AQ20)-1)))</f>
        <v/>
      </c>
      <c r="AS20" s="29">
        <f t="shared" si="16"/>
        <v>10</v>
      </c>
      <c r="AT20" s="34" t="str">
        <f t="shared" si="6"/>
        <v>Chorley</v>
      </c>
      <c r="AU20" s="39">
        <f t="shared" si="17"/>
        <v>80.404348716541534</v>
      </c>
      <c r="AX20" s="21">
        <f>HLOOKUP($AX$9&amp;$AX$10,Data!$A$1:$ZZ$2000,(MATCH($C20,Data!$A$1:$A$2000,0)),FALSE)</f>
        <v>80.428551002401136</v>
      </c>
      <c r="AY20" s="103"/>
      <c r="AZ20" s="21"/>
    </row>
    <row r="21" spans="1:52">
      <c r="A21" s="56" t="str">
        <f>$D$1&amp;11</f>
        <v>SD11</v>
      </c>
      <c r="B21" s="57" t="str">
        <f>IF(ISERROR(VLOOKUP(A21,classifications!A:C,3,FALSE)),0,VLOOKUP(A21,classifications!A:C,3,FALSE))</f>
        <v>Craven</v>
      </c>
      <c r="C21" s="8" t="s">
        <v>222</v>
      </c>
      <c r="D21" s="26" t="str">
        <f>VLOOKUP($C21,classifications!$C:$J,4,FALSE)</f>
        <v>MD</v>
      </c>
      <c r="E21" s="26">
        <f>VLOOKUP(C21,classifications!C:K,9,FALSE)</f>
        <v>0</v>
      </c>
      <c r="F21" s="36">
        <f t="shared" si="0"/>
        <v>78.336351209328939</v>
      </c>
      <c r="G21" s="71"/>
      <c r="H21" s="37" t="str">
        <f t="shared" si="1"/>
        <v/>
      </c>
      <c r="I21" s="77" t="str">
        <f>IF(H21="","",IF($I$8="A",(RANK(H21,H$11:H$368,1)+COUNTIF(H$11:H21,H21)-1),(RANK(H21,H$11:H$368)+COUNTIF(H$11:H21,H21)-1)))</f>
        <v/>
      </c>
      <c r="J21" s="35"/>
      <c r="K21" s="28">
        <f t="shared" si="7"/>
        <v>11</v>
      </c>
      <c r="L21" s="36" t="str">
        <f t="shared" si="2"/>
        <v>Mid Devon</v>
      </c>
      <c r="M21" s="102">
        <f t="shared" si="22"/>
        <v>87.858171031059385</v>
      </c>
      <c r="N21" s="101">
        <f t="shared" si="23"/>
        <v>87.858171031059385</v>
      </c>
      <c r="O21" s="94">
        <f t="shared" si="8"/>
        <v>87.858171031059385</v>
      </c>
      <c r="P21" s="94" t="str">
        <f t="shared" si="18"/>
        <v/>
      </c>
      <c r="Q21" s="94" t="str">
        <f t="shared" si="19"/>
        <v/>
      </c>
      <c r="R21" s="90" t="str">
        <f t="shared" si="20"/>
        <v/>
      </c>
      <c r="S21" s="37" t="str">
        <f t="shared" si="9"/>
        <v/>
      </c>
      <c r="T21" s="176" t="str">
        <f>IF(L21="","",VLOOKUP(L21,classifications!C:K,9,FALSE))</f>
        <v>Sparse</v>
      </c>
      <c r="U21" s="183">
        <f t="shared" si="10"/>
        <v>87.858171031059385</v>
      </c>
      <c r="V21" s="184">
        <f>IF(U21="","",IF($I$8="A",(RANK(U21,U$11:U$368)+COUNTIF(U$11:U21,U21)-1),(RANK(U21,U$11:U$368,1)+COUNTIF(U$11:U21,U21)-1)))</f>
        <v>73</v>
      </c>
      <c r="W21" s="185"/>
      <c r="X21" s="38" t="str">
        <f>IF(L21="","",VLOOKUP($L21,classifications!$C:$J,6,FALSE))</f>
        <v xml:space="preserve">Mainly Rural (rural including hub towns &gt;=80%) </v>
      </c>
      <c r="Y21" s="26">
        <f t="shared" si="3"/>
        <v>87.858171031059385</v>
      </c>
      <c r="Z21" s="34">
        <f>IF(Y21="","",IF(I$8="A",(RANK(Y21,Y$11:Y$368,1)+COUNTIF(Y$11:Y21,Y21)-1),(RANK(Y21,Y$11:Y$368)+COUNTIF(Y$11:Y21,Y21)-1)))</f>
        <v>2</v>
      </c>
      <c r="AA21" s="188" t="str">
        <f>IF(L21="","",VLOOKUP($L21,classifications!C:I,7,FALSE))</f>
        <v>Predominantly Rural</v>
      </c>
      <c r="AB21" s="184">
        <f t="shared" si="11"/>
        <v>87.858171031059385</v>
      </c>
      <c r="AC21" s="184">
        <f>IF(AB21="","",IF($I$8="A",(RANK(AB21,AB$11:AB$368)+COUNTIF(AB$11:AB21,AB21)-1),(RANK(AB21,AB$11:AB$368,1)+COUNTIF(AB$11:AB21,AB21)-1)))</f>
        <v>71</v>
      </c>
      <c r="AD21" s="184"/>
      <c r="AE21" s="45">
        <f>IF(I$8="A",(RANK(AG21,AG$11:AG$368,1)+COUNTIF(AG$11:AG21,AG21)-1),(RANK(AG21,AG$11:AG$368)+COUNTIF(AG$11:AG21,AG21)-1))</f>
        <v>7</v>
      </c>
      <c r="AF21" s="1" t="str">
        <f>VLOOKUP(Profile!$J$5,Families!$C:$R,11,FALSE)</f>
        <v>Copeland</v>
      </c>
      <c r="AG21" s="96">
        <f t="shared" si="12"/>
        <v>81.67035568373511</v>
      </c>
      <c r="AH21" s="46">
        <f t="shared" si="21"/>
        <v>7</v>
      </c>
      <c r="AI21" s="38" t="str">
        <f>IF(L21="","",VLOOKUP($L21,classifications!$C:$J,8,FALSE))</f>
        <v>Devon</v>
      </c>
      <c r="AJ21" s="39" t="str">
        <f t="shared" si="4"/>
        <v/>
      </c>
      <c r="AK21" s="34" t="str">
        <f>IF(AJ21="","",IF(I$8="A",(RANK(AJ21,AJ$11:AJ$368,1)+COUNTIF(AJ$11:AJ21,AJ21)-1),(RANK(AJ21,AJ$11:AJ$368)+COUNTIF(AJ$11:AJ21,AJ21)-1)))</f>
        <v/>
      </c>
      <c r="AL21" s="29" t="str">
        <f t="shared" si="13"/>
        <v/>
      </c>
      <c r="AM21" s="8" t="str">
        <f t="shared" si="5"/>
        <v/>
      </c>
      <c r="AN21" s="8" t="str">
        <f t="shared" si="14"/>
        <v/>
      </c>
      <c r="AP21" s="38" t="str">
        <f>IF(L21="","",VLOOKUP($L21,classifications!$C:$E,3,FALSE))</f>
        <v>South West</v>
      </c>
      <c r="AQ21" s="39" t="str">
        <f t="shared" si="15"/>
        <v/>
      </c>
      <c r="AR21" s="34" t="str">
        <f>IF(AQ21="","",IF(I$8="A",(RANK(AQ21,AQ$11:AQ$368,1)+COUNTIF(AQ$11:AQ21,AQ21)-1),(RANK(AQ21,AQ$11:AQ$368)+COUNTIF(AQ$11:AQ21,AQ21)-1)))</f>
        <v/>
      </c>
      <c r="AS21" s="29">
        <f t="shared" si="16"/>
        <v>11</v>
      </c>
      <c r="AT21" s="34" t="str">
        <f t="shared" si="6"/>
        <v>Fylde</v>
      </c>
      <c r="AU21" s="39">
        <f t="shared" si="17"/>
        <v>80.353941162409996</v>
      </c>
      <c r="AX21" s="21">
        <f>HLOOKUP($AX$9&amp;$AX$10,Data!$A$1:$ZZ$2000,(MATCH($C21,Data!$A$1:$A$2000,0)),FALSE)</f>
        <v>78.336351209328939</v>
      </c>
      <c r="AY21" s="103"/>
      <c r="AZ21" s="21"/>
    </row>
    <row r="22" spans="1:52">
      <c r="A22" s="56" t="str">
        <f>$D$1&amp;12</f>
        <v>SD12</v>
      </c>
      <c r="B22" s="57" t="str">
        <f>IF(ISERROR(VLOOKUP(A22,classifications!A:C,3,FALSE)),0,VLOOKUP(A22,classifications!A:C,3,FALSE))</f>
        <v>Daventry</v>
      </c>
      <c r="C22" s="8" t="s">
        <v>13</v>
      </c>
      <c r="D22" s="26" t="str">
        <f>VLOOKUP($C22,classifications!$C:$J,4,FALSE)</f>
        <v>SD</v>
      </c>
      <c r="E22" s="26">
        <f>VLOOKUP(C22,classifications!C:K,9,FALSE)</f>
        <v>0</v>
      </c>
      <c r="F22" s="36">
        <f t="shared" si="0"/>
        <v>82.166266846252938</v>
      </c>
      <c r="G22" s="71"/>
      <c r="H22" s="37">
        <f t="shared" si="1"/>
        <v>82.166266846252938</v>
      </c>
      <c r="I22" s="77">
        <f>IF(H22="","",IF($I$8="A",(RANK(H22,H$11:H$368,1)+COUNTIF(H$11:H22,H22)-1),(RANK(H22,H$11:H$368)+COUNTIF(H$11:H22,H22)-1)))</f>
        <v>105</v>
      </c>
      <c r="J22" s="35"/>
      <c r="K22" s="28">
        <f t="shared" si="7"/>
        <v>12</v>
      </c>
      <c r="L22" s="36" t="str">
        <f t="shared" si="2"/>
        <v>Tunbridge Wells</v>
      </c>
      <c r="M22" s="102">
        <f t="shared" si="22"/>
        <v>87.850206267883763</v>
      </c>
      <c r="N22" s="101">
        <f t="shared" si="23"/>
        <v>87.850206267883763</v>
      </c>
      <c r="O22" s="94">
        <f t="shared" si="8"/>
        <v>87.850206267883763</v>
      </c>
      <c r="P22" s="94" t="str">
        <f t="shared" si="18"/>
        <v/>
      </c>
      <c r="Q22" s="94" t="str">
        <f t="shared" si="19"/>
        <v/>
      </c>
      <c r="R22" s="90" t="str">
        <f t="shared" si="20"/>
        <v/>
      </c>
      <c r="S22" s="37" t="str">
        <f t="shared" si="9"/>
        <v/>
      </c>
      <c r="T22" s="176" t="str">
        <f>IF(L22="","",VLOOKUP(L22,classifications!C:K,9,FALSE))</f>
        <v>Sparse</v>
      </c>
      <c r="U22" s="183">
        <f t="shared" si="10"/>
        <v>87.850206267883763</v>
      </c>
      <c r="V22" s="184">
        <f>IF(U22="","",IF($I$8="A",(RANK(U22,U$11:U$368)+COUNTIF(U$11:U22,U22)-1),(RANK(U22,U$11:U$368,1)+COUNTIF(U$11:U22,U22)-1)))</f>
        <v>72</v>
      </c>
      <c r="W22" s="185"/>
      <c r="X22" s="38" t="str">
        <f>IF(L22="","",VLOOKUP($L22,classifications!$C:$J,6,FALSE))</f>
        <v>Urban with Significant Rural (rural including hub towns 26-49%)</v>
      </c>
      <c r="Y22" s="26" t="str">
        <f t="shared" si="3"/>
        <v/>
      </c>
      <c r="Z22" s="34" t="str">
        <f>IF(Y22="","",IF(I$8="A",(RANK(Y22,Y$11:Y$368,1)+COUNTIF(Y$11:Y22,Y22)-1),(RANK(Y22,Y$11:Y$368)+COUNTIF(Y$11:Y22,Y22)-1)))</f>
        <v/>
      </c>
      <c r="AA22" s="188" t="str">
        <f>IF(L22="","",VLOOKUP($L22,classifications!C:I,7,FALSE))</f>
        <v>Significant Rural</v>
      </c>
      <c r="AB22" s="184" t="str">
        <f t="shared" si="11"/>
        <v/>
      </c>
      <c r="AC22" s="184" t="str">
        <f>IF(AB22="","",IF($I$8="A",(RANK(AB22,AB$11:AB$368)+COUNTIF(AB$11:AB22,AB22)-1),(RANK(AB22,AB$11:AB$368,1)+COUNTIF(AB$11:AB22,AB22)-1)))</f>
        <v/>
      </c>
      <c r="AD22" s="184"/>
      <c r="AE22" s="45">
        <f>IF(I$8="A",(RANK(AG22,AG$11:AG$368,1)+COUNTIF(AG$11:AG22,AG22)-1),(RANK(AG22,AG$11:AG$368)+COUNTIF(AG$11:AG22,AG22)-1))</f>
        <v>15</v>
      </c>
      <c r="AF22" s="1" t="str">
        <f>VLOOKUP(Profile!$J$5,Families!$C:$R,12,FALSE)</f>
        <v>Newcastle-under-Lyme</v>
      </c>
      <c r="AG22" s="96">
        <f t="shared" si="12"/>
        <v>77.970266597016874</v>
      </c>
      <c r="AH22" s="46">
        <f t="shared" si="21"/>
        <v>15</v>
      </c>
      <c r="AI22" s="38" t="str">
        <f>IF(L22="","",VLOOKUP($L22,classifications!$C:$J,8,FALSE))</f>
        <v>Kent</v>
      </c>
      <c r="AJ22" s="39" t="str">
        <f t="shared" si="4"/>
        <v/>
      </c>
      <c r="AK22" s="34" t="str">
        <f>IF(AJ22="","",IF(I$8="A",(RANK(AJ22,AJ$11:AJ$368,1)+COUNTIF(AJ$11:AJ22,AJ22)-1),(RANK(AJ22,AJ$11:AJ$368)+COUNTIF(AJ$11:AJ22,AJ22)-1)))</f>
        <v/>
      </c>
      <c r="AL22" s="29" t="str">
        <f t="shared" si="13"/>
        <v/>
      </c>
      <c r="AM22" s="8" t="str">
        <f t="shared" si="5"/>
        <v/>
      </c>
      <c r="AN22" s="8" t="str">
        <f t="shared" si="14"/>
        <v/>
      </c>
      <c r="AP22" s="38" t="str">
        <f>IF(L22="","",VLOOKUP($L22,classifications!$C:$E,3,FALSE))</f>
        <v>South East</v>
      </c>
      <c r="AQ22" s="39" t="str">
        <f t="shared" si="15"/>
        <v/>
      </c>
      <c r="AR22" s="34" t="str">
        <f>IF(AQ22="","",IF(I$8="A",(RANK(AQ22,AQ$11:AQ$368,1)+COUNTIF(AQ$11:AQ22,AQ22)-1),(RANK(AQ22,AQ$11:AQ$368)+COUNTIF(AQ$11:AQ22,AQ22)-1)))</f>
        <v/>
      </c>
      <c r="AS22" s="29">
        <f t="shared" si="16"/>
        <v>12</v>
      </c>
      <c r="AT22" s="34" t="str">
        <f t="shared" si="6"/>
        <v>Preston</v>
      </c>
      <c r="AU22" s="39">
        <f t="shared" si="17"/>
        <v>79.710929981788055</v>
      </c>
      <c r="AX22" s="21">
        <f>HLOOKUP($AX$9&amp;$AX$10,Data!$A$1:$ZZ$2000,(MATCH($C22,Data!$A$1:$A$2000,0)),FALSE)</f>
        <v>82.166266846252938</v>
      </c>
      <c r="AY22" s="103"/>
      <c r="AZ22" s="21"/>
    </row>
    <row r="23" spans="1:52">
      <c r="A23" s="56" t="str">
        <f>$D$1&amp;13</f>
        <v>SD13</v>
      </c>
      <c r="B23" s="57" t="str">
        <f>IF(ISERROR(VLOOKUP(A23,classifications!A:C,3,FALSE)),0,VLOOKUP(A23,classifications!A:C,3,FALSE))</f>
        <v>Derbyshire Dales</v>
      </c>
      <c r="C23" s="8" t="s">
        <v>14</v>
      </c>
      <c r="D23" s="26" t="str">
        <f>VLOOKUP($C23,classifications!$C:$J,4,FALSE)</f>
        <v>SD</v>
      </c>
      <c r="E23" s="26">
        <f>VLOOKUP(C23,classifications!C:K,9,FALSE)</f>
        <v>0</v>
      </c>
      <c r="F23" s="36">
        <f t="shared" si="0"/>
        <v>78.582258343408768</v>
      </c>
      <c r="G23" s="71"/>
      <c r="H23" s="37">
        <f t="shared" si="1"/>
        <v>78.582258343408768</v>
      </c>
      <c r="I23" s="77">
        <f>IF(H23="","",IF($I$8="A",(RANK(H23,H$11:H$368,1)+COUNTIF(H$11:H23,H23)-1),(RANK(H23,H$11:H$368)+COUNTIF(H$11:H23,H23)-1)))</f>
        <v>158</v>
      </c>
      <c r="J23" s="35"/>
      <c r="K23" s="28">
        <f t="shared" si="7"/>
        <v>13</v>
      </c>
      <c r="L23" s="36" t="str">
        <f t="shared" si="2"/>
        <v>Mole Valley</v>
      </c>
      <c r="M23" s="102">
        <f t="shared" si="22"/>
        <v>87.778055448573227</v>
      </c>
      <c r="N23" s="101">
        <f t="shared" si="23"/>
        <v>87.778055448573227</v>
      </c>
      <c r="O23" s="94">
        <f t="shared" si="8"/>
        <v>87.778055448573227</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Significant Rural (rural including hub towns 26-49%)</v>
      </c>
      <c r="Y23" s="26" t="str">
        <f t="shared" si="3"/>
        <v/>
      </c>
      <c r="Z23" s="34" t="str">
        <f>IF(Y23="","",IF(I$8="A",(RANK(Y23,Y$11:Y$368,1)+COUNTIF(Y$11:Y23,Y23)-1),(RANK(Y23,Y$11:Y$368)+COUNTIF(Y$11:Y23,Y23)-1)))</f>
        <v/>
      </c>
      <c r="AA23" s="188" t="str">
        <f>IF(L23="","",VLOOKUP($L23,classifications!C:I,7,FALSE))</f>
        <v>Significant Rural</v>
      </c>
      <c r="AB23" s="184" t="str">
        <f t="shared" si="11"/>
        <v/>
      </c>
      <c r="AC23" s="184" t="str">
        <f>IF(AB23="","",IF($I$8="A",(RANK(AB23,AB$11:AB$368)+COUNTIF(AB$11:AB23,AB23)-1),(RANK(AB23,AB$11:AB$368,1)+COUNTIF(AB$11:AB23,AB23)-1)))</f>
        <v/>
      </c>
      <c r="AD23" s="184"/>
      <c r="AE23" s="45">
        <f>IF(I$8="A",(RANK(AG23,AG$11:AG$368,1)+COUNTIF(AG$11:AG23,AG23)-1),(RANK(AG23,AG$11:AG$368)+COUNTIF(AG$11:AG23,AG23)-1))</f>
        <v>2</v>
      </c>
      <c r="AF23" s="1" t="str">
        <f>VLOOKUP(Profile!$J$5,Families!$C:$R,13,FALSE)</f>
        <v>Wyre Forest</v>
      </c>
      <c r="AG23" s="96">
        <f t="shared" si="12"/>
        <v>83.369638917778488</v>
      </c>
      <c r="AH23" s="46">
        <f t="shared" si="21"/>
        <v>2</v>
      </c>
      <c r="AI23" s="38" t="str">
        <f>IF(L23="","",VLOOKUP($L23,classifications!$C:$J,8,FALSE))</f>
        <v>Surrey</v>
      </c>
      <c r="AJ23" s="39" t="str">
        <f t="shared" si="4"/>
        <v/>
      </c>
      <c r="AK23" s="34" t="str">
        <f>IF(AJ23="","",IF(I$8="A",(RANK(AJ23,AJ$11:AJ$368,1)+COUNTIF(AJ$11:AJ23,AJ23)-1),(RANK(AJ23,AJ$11:AJ$368)+COUNTIF(AJ$11:AJ23,AJ23)-1)))</f>
        <v/>
      </c>
      <c r="AL23" s="29" t="str">
        <f t="shared" si="13"/>
        <v/>
      </c>
      <c r="AM23" s="8" t="str">
        <f t="shared" si="5"/>
        <v/>
      </c>
      <c r="AN23" s="8" t="str">
        <f t="shared" si="14"/>
        <v/>
      </c>
      <c r="AP23" s="38" t="str">
        <f>IF(L23="","",VLOOKUP($L23,classifications!$C:$E,3,FALSE))</f>
        <v>South East</v>
      </c>
      <c r="AQ23" s="39" t="str">
        <f t="shared" si="15"/>
        <v/>
      </c>
      <c r="AR23" s="34" t="str">
        <f>IF(AQ23="","",IF(I$8="A",(RANK(AQ23,AQ$11:AQ$368,1)+COUNTIF(AQ$11:AQ23,AQ23)-1),(RANK(AQ23,AQ$11:AQ$368)+COUNTIF(AQ$11:AQ23,AQ23)-1)))</f>
        <v/>
      </c>
      <c r="AS23" s="29">
        <f t="shared" si="16"/>
        <v>13</v>
      </c>
      <c r="AT23" s="34" t="str">
        <f t="shared" si="6"/>
        <v>Wyre</v>
      </c>
      <c r="AU23" s="39">
        <f t="shared" si="17"/>
        <v>79.146909289786848</v>
      </c>
      <c r="AX23" s="21">
        <f>HLOOKUP($AX$9&amp;$AX$10,Data!$A$1:$ZZ$2000,(MATCH($C23,Data!$A$1:$A$2000,0)),FALSE)</f>
        <v>78.582258343408768</v>
      </c>
      <c r="AY23" s="103"/>
      <c r="AZ23" s="21"/>
    </row>
    <row r="24" spans="1:52">
      <c r="A24" s="56" t="str">
        <f>$D$1&amp;14</f>
        <v>SD14</v>
      </c>
      <c r="B24" s="57" t="str">
        <f>IF(ISERROR(VLOOKUP(A24,classifications!A:C,3,FALSE)),0,VLOOKUP(A24,classifications!A:C,3,FALSE))</f>
        <v>East Cambridgeshire</v>
      </c>
      <c r="C24" s="8" t="s">
        <v>342</v>
      </c>
      <c r="D24" s="26" t="str">
        <f>VLOOKUP($C24,classifications!$C:$J,4,FALSE)</f>
        <v>SD</v>
      </c>
      <c r="E24" s="26">
        <f>VLOOKUP(C24,classifications!C:K,9,FALSE)</f>
        <v>0</v>
      </c>
      <c r="F24" s="36">
        <f t="shared" si="0"/>
        <v>81.321531256910234</v>
      </c>
      <c r="G24" s="71"/>
      <c r="H24" s="37">
        <f t="shared" si="1"/>
        <v>81.321531256910234</v>
      </c>
      <c r="I24" s="77">
        <f>IF(H24="","",IF($I$8="A",(RANK(H24,H$11:H$368,1)+COUNTIF(H$11:H24,H24)-1),(RANK(H24,H$11:H$368)+COUNTIF(H$11:H24,H24)-1)))</f>
        <v>121</v>
      </c>
      <c r="J24" s="35"/>
      <c r="K24" s="28">
        <f t="shared" si="7"/>
        <v>14</v>
      </c>
      <c r="L24" s="36" t="str">
        <f t="shared" si="2"/>
        <v>Norwich</v>
      </c>
      <c r="M24" s="102">
        <f t="shared" si="22"/>
        <v>87.667255896741864</v>
      </c>
      <c r="N24" s="101">
        <f t="shared" si="23"/>
        <v>87.667255896741864</v>
      </c>
      <c r="O24" s="94">
        <f t="shared" si="8"/>
        <v>87.667255896741864</v>
      </c>
      <c r="P24" s="94" t="str">
        <f t="shared" si="18"/>
        <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Urban with City and Town</v>
      </c>
      <c r="Y24" s="26" t="str">
        <f t="shared" si="3"/>
        <v/>
      </c>
      <c r="Z24" s="34" t="str">
        <f>IF(Y24="","",IF(I$8="A",(RANK(Y24,Y$11:Y$368,1)+COUNTIF(Y$11:Y24,Y24)-1),(RANK(Y24,Y$11:Y$368)+COUNTIF(Y$11:Y24,Y24)-1)))</f>
        <v/>
      </c>
      <c r="AA24" s="188" t="str">
        <f>IF(L24="","",VLOOKUP($L24,classifications!C:I,7,FALSE))</f>
        <v>Predominantly Urban</v>
      </c>
      <c r="AB24" s="184" t="str">
        <f t="shared" si="11"/>
        <v/>
      </c>
      <c r="AC24" s="184" t="str">
        <f>IF(AB24="","",IF($I$8="A",(RANK(AB24,AB$11:AB$368)+COUNTIF(AB$11:AB24,AB24)-1),(RANK(AB24,AB$11:AB$368,1)+COUNTIF(AB$11:AB24,AB24)-1)))</f>
        <v/>
      </c>
      <c r="AD24" s="184"/>
      <c r="AE24" s="45">
        <f>IF(I$8="A",(RANK(AG24,AG$11:AG$368,1)+COUNTIF(AG$11:AG24,AG24)-1),(RANK(AG24,AG$11:AG$368)+COUNTIF(AG$11:AG24,AG24)-1))</f>
        <v>3</v>
      </c>
      <c r="AF24" s="1" t="str">
        <f>VLOOKUP(Profile!$J$5,Families!$C:$R,14,FALSE)</f>
        <v>North East Derbyshire</v>
      </c>
      <c r="AG24" s="96">
        <f t="shared" si="12"/>
        <v>82.305033352848682</v>
      </c>
      <c r="AH24" s="46">
        <f t="shared" si="21"/>
        <v>3</v>
      </c>
      <c r="AI24" s="38" t="str">
        <f>IF(L24="","",VLOOKUP($L24,classifications!$C:$J,8,FALSE))</f>
        <v>Norfolk</v>
      </c>
      <c r="AJ24" s="39" t="str">
        <f t="shared" si="4"/>
        <v/>
      </c>
      <c r="AK24" s="34" t="str">
        <f>IF(AJ24="","",IF(I$8="A",(RANK(AJ24,AJ$11:AJ$368,1)+COUNTIF(AJ$11:AJ24,AJ24)-1),(RANK(AJ24,AJ$11:AJ$368)+COUNTIF(AJ$11:AJ24,AJ24)-1)))</f>
        <v/>
      </c>
      <c r="AL24" s="29" t="str">
        <f t="shared" si="13"/>
        <v/>
      </c>
      <c r="AM24" s="8" t="str">
        <f t="shared" si="5"/>
        <v/>
      </c>
      <c r="AN24" s="8" t="str">
        <f t="shared" si="14"/>
        <v/>
      </c>
      <c r="AP24" s="38" t="str">
        <f>IF(L24="","",VLOOKUP($L24,classifications!$C:$E,3,FALSE))</f>
        <v>East of England</v>
      </c>
      <c r="AQ24" s="39" t="str">
        <f t="shared" si="15"/>
        <v/>
      </c>
      <c r="AR24" s="34" t="str">
        <f>IF(AQ24="","",IF(I$8="A",(RANK(AQ24,AQ$11:AQ$368,1)+COUNTIF(AQ$11:AQ24,AQ24)-1),(RANK(AQ24,AQ$11:AQ$368)+COUNTIF(AQ$11:AQ24,AQ24)-1)))</f>
        <v/>
      </c>
      <c r="AS24" s="29">
        <f t="shared" si="16"/>
        <v>14</v>
      </c>
      <c r="AT24" s="34" t="str">
        <f t="shared" si="6"/>
        <v>Hyndburn</v>
      </c>
      <c r="AU24" s="39">
        <f t="shared" si="17"/>
        <v>77.551421506656155</v>
      </c>
      <c r="AX24" s="21">
        <f>HLOOKUP($AX$9&amp;$AX$10,Data!$A$1:$ZZ$2000,(MATCH($C24,Data!$A$1:$A$2000,0)),FALSE)</f>
        <v>81.321531256910234</v>
      </c>
      <c r="AY24" s="103"/>
      <c r="AZ24" s="21"/>
    </row>
    <row r="25" spans="1:52">
      <c r="A25" s="56" t="str">
        <f>$D$1&amp;15</f>
        <v>SD15</v>
      </c>
      <c r="B25" s="57" t="str">
        <f>IF(ISERROR(VLOOKUP(A25,classifications!A:C,3,FALSE)),0,VLOOKUP(A25,classifications!A:C,3,FALSE))</f>
        <v>East Devon</v>
      </c>
      <c r="C25" s="8" t="s">
        <v>15</v>
      </c>
      <c r="D25" s="26" t="str">
        <f>VLOOKUP($C25,classifications!$C:$J,4,FALSE)</f>
        <v>SD</v>
      </c>
      <c r="E25" s="26">
        <f>VLOOKUP(C25,classifications!C:K,9,FALSE)</f>
        <v>0</v>
      </c>
      <c r="F25" s="36">
        <f t="shared" si="0"/>
        <v>79.150372986211494</v>
      </c>
      <c r="G25" s="71"/>
      <c r="H25" s="37">
        <f t="shared" si="1"/>
        <v>79.150372986211494</v>
      </c>
      <c r="I25" s="77">
        <f>IF(H25="","",IF($I$8="A",(RANK(H25,H$11:H$368,1)+COUNTIF(H$11:H25,H25)-1),(RANK(H25,H$11:H$368)+COUNTIF(H$11:H25,H25)-1)))</f>
        <v>151</v>
      </c>
      <c r="J25" s="35"/>
      <c r="K25" s="28">
        <f t="shared" si="7"/>
        <v>15</v>
      </c>
      <c r="L25" s="36" t="str">
        <f t="shared" si="2"/>
        <v>Cotswold</v>
      </c>
      <c r="M25" s="102">
        <f t="shared" si="22"/>
        <v>87.647615077230469</v>
      </c>
      <c r="N25" s="101">
        <f t="shared" si="23"/>
        <v>87.647615077230469</v>
      </c>
      <c r="O25" s="94">
        <f t="shared" si="8"/>
        <v>87.647615077230469</v>
      </c>
      <c r="P25" s="94" t="str">
        <f t="shared" si="18"/>
        <v/>
      </c>
      <c r="Q25" s="94" t="str">
        <f t="shared" si="19"/>
        <v/>
      </c>
      <c r="R25" s="90" t="str">
        <f t="shared" si="20"/>
        <v/>
      </c>
      <c r="S25" s="37" t="str">
        <f t="shared" si="9"/>
        <v/>
      </c>
      <c r="T25" s="176" t="str">
        <f>IF(L25="","",VLOOKUP(L25,classifications!C:K,9,FALSE))</f>
        <v>Sparse</v>
      </c>
      <c r="U25" s="183">
        <f t="shared" si="10"/>
        <v>87.647615077230469</v>
      </c>
      <c r="V25" s="184">
        <f>IF(U25="","",IF($I$8="A",(RANK(U25,U$11:U$368)+COUNTIF(U$11:U25,U25)-1),(RANK(U25,U$11:U$368,1)+COUNTIF(U$11:U25,U25)-1)))</f>
        <v>71</v>
      </c>
      <c r="W25" s="185"/>
      <c r="X25" s="38" t="str">
        <f>IF(L25="","",VLOOKUP($L25,classifications!$C:$J,6,FALSE))</f>
        <v xml:space="preserve">Mainly Rural (rural including hub towns &gt;=80%) </v>
      </c>
      <c r="Y25" s="26">
        <f t="shared" si="3"/>
        <v>87.647615077230469</v>
      </c>
      <c r="Z25" s="34">
        <f>IF(Y25="","",IF(I$8="A",(RANK(Y25,Y$11:Y$368,1)+COUNTIF(Y$11:Y25,Y25)-1),(RANK(Y25,Y$11:Y$368)+COUNTIF(Y$11:Y25,Y25)-1)))</f>
        <v>3</v>
      </c>
      <c r="AA25" s="188" t="str">
        <f>IF(L25="","",VLOOKUP($L25,classifications!C:I,7,FALSE))</f>
        <v>Predominantly Rural</v>
      </c>
      <c r="AB25" s="184">
        <f t="shared" si="11"/>
        <v>87.647615077230469</v>
      </c>
      <c r="AC25" s="184">
        <f>IF(AB25="","",IF($I$8="A",(RANK(AB25,AB$11:AB$368)+COUNTIF(AB$11:AB25,AB25)-1),(RANK(AB25,AB$11:AB$368,1)+COUNTIF(AB$11:AB25,AB25)-1)))</f>
        <v>70</v>
      </c>
      <c r="AD25" s="184"/>
      <c r="AE25" s="45">
        <f>IF(I$8="A",(RANK(AG25,AG$11:AG$368,1)+COUNTIF(AG$11:AG25,AG25)-1),(RANK(AG25,AG$11:AG$368)+COUNTIF(AG$11:AG25,AG25)-1))</f>
        <v>9</v>
      </c>
      <c r="AF25" s="1" t="str">
        <f>VLOOKUP(Profile!$J$5,Families!$C:$R,15,FALSE)</f>
        <v>Bolsover</v>
      </c>
      <c r="AG25" s="96">
        <f t="shared" si="12"/>
        <v>81.08571466065861</v>
      </c>
      <c r="AH25" s="46">
        <f t="shared" si="21"/>
        <v>9</v>
      </c>
      <c r="AI25" s="38" t="str">
        <f>IF(L25="","",VLOOKUP($L25,classifications!$C:$J,8,FALSE))</f>
        <v>Gloucestershire</v>
      </c>
      <c r="AJ25" s="39" t="str">
        <f t="shared" si="4"/>
        <v/>
      </c>
      <c r="AK25" s="34" t="str">
        <f>IF(AJ25="","",IF(I$8="A",(RANK(AJ25,AJ$11:AJ$368,1)+COUNTIF(AJ$11:AJ25,AJ25)-1),(RANK(AJ25,AJ$11:AJ$368)+COUNTIF(AJ$11:AJ25,AJ25)-1)))</f>
        <v/>
      </c>
      <c r="AL25" s="29" t="str">
        <f t="shared" si="13"/>
        <v/>
      </c>
      <c r="AM25" s="8" t="str">
        <f t="shared" si="5"/>
        <v/>
      </c>
      <c r="AN25" s="8" t="str">
        <f t="shared" si="14"/>
        <v/>
      </c>
      <c r="AP25" s="38" t="str">
        <f>IF(L25="","",VLOOKUP($L25,classifications!$C:$E,3,FALSE))</f>
        <v>South West</v>
      </c>
      <c r="AQ25" s="39" t="str">
        <f t="shared" si="15"/>
        <v/>
      </c>
      <c r="AR25" s="34" t="str">
        <f>IF(AQ25="","",IF(I$8="A",(RANK(AQ25,AQ$11:AQ$368,1)+COUNTIF(AQ$11:AQ25,AQ25)-1),(RANK(AQ25,AQ$11:AQ$368)+COUNTIF(AQ$11:AQ25,AQ25)-1)))</f>
        <v/>
      </c>
      <c r="AS25" s="29">
        <f t="shared" si="16"/>
        <v>15</v>
      </c>
      <c r="AT25" s="34" t="str">
        <f t="shared" si="6"/>
        <v>Rossendale</v>
      </c>
      <c r="AU25" s="39">
        <f t="shared" si="17"/>
        <v>76.997319645735686</v>
      </c>
      <c r="AX25" s="21">
        <f>HLOOKUP($AX$9&amp;$AX$10,Data!$A$1:$ZZ$2000,(MATCH($C25,Data!$A$1:$A$2000,0)),FALSE)</f>
        <v>79.150372986211494</v>
      </c>
      <c r="AY25" s="103"/>
      <c r="AZ25" s="21"/>
    </row>
    <row r="26" spans="1:52">
      <c r="A26" s="56" t="str">
        <f>$D$1&amp;16</f>
        <v>SD16</v>
      </c>
      <c r="B26" s="57" t="str">
        <f>IF(ISERROR(VLOOKUP(A26,classifications!A:C,3,FALSE)),0,VLOOKUP(A26,classifications!A:C,3,FALSE))</f>
        <v>East Hertfordshire</v>
      </c>
      <c r="C26" s="8" t="s">
        <v>258</v>
      </c>
      <c r="D26" s="26" t="str">
        <f>VLOOKUP($C26,classifications!$C:$J,4,FALSE)</f>
        <v>UA</v>
      </c>
      <c r="E26" s="26">
        <f>VLOOKUP(C26,classifications!C:K,9,FALSE)</f>
        <v>0</v>
      </c>
      <c r="F26" s="36">
        <f t="shared" si="0"/>
        <v>85.480091908289921</v>
      </c>
      <c r="G26" s="71"/>
      <c r="H26" s="37" t="str">
        <f t="shared" si="1"/>
        <v/>
      </c>
      <c r="I26" s="77" t="str">
        <f>IF(H26="","",IF($I$8="A",(RANK(H26,H$11:H$368,1)+COUNTIF(H$11:H26,H26)-1),(RANK(H26,H$11:H$368)+COUNTIF(H$11:H26,H26)-1)))</f>
        <v/>
      </c>
      <c r="J26" s="35"/>
      <c r="K26" s="28">
        <f t="shared" si="7"/>
        <v>16</v>
      </c>
      <c r="L26" s="36" t="str">
        <f t="shared" si="2"/>
        <v>Colchester</v>
      </c>
      <c r="M26" s="102">
        <f t="shared" si="22"/>
        <v>87.528570676960697</v>
      </c>
      <c r="N26" s="101">
        <f t="shared" si="23"/>
        <v>87.528570676960697</v>
      </c>
      <c r="O26" s="94">
        <f t="shared" si="8"/>
        <v>87.528570676960697</v>
      </c>
      <c r="P26" s="94" t="str">
        <f t="shared" si="18"/>
        <v/>
      </c>
      <c r="Q26" s="94" t="str">
        <f t="shared" si="19"/>
        <v/>
      </c>
      <c r="R26" s="90" t="str">
        <f t="shared" si="20"/>
        <v/>
      </c>
      <c r="S26" s="37" t="str">
        <f t="shared" si="9"/>
        <v/>
      </c>
      <c r="T26" s="176">
        <f>IF(L26="","",VLOOKUP(L26,classifications!C:K,9,FALSE))</f>
        <v>0</v>
      </c>
      <c r="U26" s="183" t="str">
        <f t="shared" si="10"/>
        <v/>
      </c>
      <c r="V26" s="184" t="str">
        <f>IF(U26="","",IF($I$8="A",(RANK(U26,U$11:U$368)+COUNTIF(U$11:U26,U26)-1),(RANK(U26,U$11:U$368,1)+COUNTIF(U$11:U26,U26)-1)))</f>
        <v/>
      </c>
      <c r="W26" s="185"/>
      <c r="X26" s="38" t="str">
        <f>IF(L26="","",VLOOKUP($L26,classifications!$C:$J,6,FALSE))</f>
        <v>Urban with Significant Rural (rural including hub towns 26-49%)</v>
      </c>
      <c r="Y26" s="26" t="str">
        <f t="shared" si="3"/>
        <v/>
      </c>
      <c r="Z26" s="34" t="str">
        <f>IF(Y26="","",IF(I$8="A",(RANK(Y26,Y$11:Y$368,1)+COUNTIF(Y$11:Y26,Y26)-1),(RANK(Y26,Y$11:Y$368)+COUNTIF(Y$11:Y26,Y26)-1)))</f>
        <v/>
      </c>
      <c r="AA26" s="188" t="str">
        <f>IF(L26="","",VLOOKUP($L26,classifications!C:I,7,FALSE))</f>
        <v>Significant Rural</v>
      </c>
      <c r="AB26" s="184" t="str">
        <f t="shared" si="11"/>
        <v/>
      </c>
      <c r="AC26" s="184" t="str">
        <f>IF(AB26="","",IF($I$8="A",(RANK(AB26,AB$11:AB$368)+COUNTIF(AB$11:AB26,AB26)-1),(RANK(AB26,AB$11:AB$368,1)+COUNTIF(AB$11:AB26,AB26)-1)))</f>
        <v/>
      </c>
      <c r="AD26" s="184"/>
      <c r="AE26" s="45">
        <f>IF(I$8="A",(RANK(AG26,AG$11:AG$368,1)+COUNTIF(AG$11:AG26,AG26)-1),(RANK(AG26,AG$11:AG$368)+COUNTIF(AG$11:AG26,AG26)-1))</f>
        <v>13</v>
      </c>
      <c r="AF26" s="1" t="str">
        <f>VLOOKUP(Profile!$J$5,Families!$C:$R,16,FALSE)</f>
        <v>Wyre</v>
      </c>
      <c r="AG26" s="96">
        <f t="shared" si="12"/>
        <v>79.146909289786848</v>
      </c>
      <c r="AH26" s="46">
        <f t="shared" si="21"/>
        <v>13</v>
      </c>
      <c r="AI26" s="38" t="str">
        <f>IF(L26="","",VLOOKUP($L26,classifications!$C:$J,8,FALSE))</f>
        <v>Essex</v>
      </c>
      <c r="AJ26" s="39" t="str">
        <f t="shared" si="4"/>
        <v/>
      </c>
      <c r="AK26" s="34" t="str">
        <f>IF(AJ26="","",IF(I$8="A",(RANK(AJ26,AJ$11:AJ$368,1)+COUNTIF(AJ$11:AJ26,AJ26)-1),(RANK(AJ26,AJ$11:AJ$368)+COUNTIF(AJ$11:AJ26,AJ26)-1)))</f>
        <v/>
      </c>
      <c r="AL26" s="29" t="str">
        <f t="shared" si="13"/>
        <v/>
      </c>
      <c r="AM26" s="8" t="str">
        <f t="shared" si="5"/>
        <v/>
      </c>
      <c r="AN26" s="8" t="str">
        <f t="shared" si="14"/>
        <v/>
      </c>
      <c r="AP26" s="38" t="str">
        <f>IF(L26="","",VLOOKUP($L26,classifications!$C:$E,3,FALSE))</f>
        <v>East of England</v>
      </c>
      <c r="AQ26" s="39" t="str">
        <f t="shared" si="15"/>
        <v/>
      </c>
      <c r="AR26" s="34" t="str">
        <f>IF(AQ26="","",IF(I$8="A",(RANK(AQ26,AQ$11:AQ$368,1)+COUNTIF(AQ$11:AQ26,AQ26)-1),(RANK(AQ26,AQ$11:AQ$368)+COUNTIF(AQ$11:AQ26,AQ26)-1)))</f>
        <v/>
      </c>
      <c r="AS26" s="29">
        <f t="shared" si="16"/>
        <v>16</v>
      </c>
      <c r="AT26" s="34" t="str">
        <f t="shared" si="6"/>
        <v>West Lancashire</v>
      </c>
      <c r="AU26" s="39">
        <f t="shared" si="17"/>
        <v>76.980907264177205</v>
      </c>
      <c r="AX26" s="21">
        <f>HLOOKUP($AX$9&amp;$AX$10,Data!$A$1:$ZZ$2000,(MATCH($C26,Data!$A$1:$A$2000,0)),FALSE)</f>
        <v>85.480091908289921</v>
      </c>
      <c r="AY26" s="103"/>
      <c r="AZ26" s="21"/>
    </row>
    <row r="27" spans="1:52">
      <c r="A27" s="56" t="str">
        <f>$D$1&amp;17</f>
        <v>SD17</v>
      </c>
      <c r="B27" s="57" t="str">
        <f>IF(ISERROR(VLOOKUP(A27,classifications!A:C,3,FALSE)),0,VLOOKUP(A27,classifications!A:C,3,FALSE))</f>
        <v>East Lindsey</v>
      </c>
      <c r="C27" s="8" t="s">
        <v>259</v>
      </c>
      <c r="D27" s="26" t="str">
        <f>VLOOKUP($C27,classifications!$C:$J,4,FALSE)</f>
        <v>UA</v>
      </c>
      <c r="E27" s="26">
        <f>VLOOKUP(C27,classifications!C:K,9,FALSE)</f>
        <v>0</v>
      </c>
      <c r="F27" s="36">
        <f t="shared" si="0"/>
        <v>78.479133299122552</v>
      </c>
      <c r="G27" s="71"/>
      <c r="H27" s="37" t="str">
        <f t="shared" si="1"/>
        <v/>
      </c>
      <c r="I27" s="77" t="str">
        <f>IF(H27="","",IF($I$8="A",(RANK(H27,H$11:H$368,1)+COUNTIF(H$11:H27,H27)-1),(RANK(H27,H$11:H$368)+COUNTIF(H$11:H27,H27)-1)))</f>
        <v/>
      </c>
      <c r="J27" s="35"/>
      <c r="K27" s="28">
        <f t="shared" si="7"/>
        <v>17</v>
      </c>
      <c r="L27" s="36" t="str">
        <f t="shared" si="2"/>
        <v>Chiltern</v>
      </c>
      <c r="M27" s="102">
        <f t="shared" si="22"/>
        <v>87.493941229861846</v>
      </c>
      <c r="N27" s="101">
        <f t="shared" si="23"/>
        <v>87.493941229861846</v>
      </c>
      <c r="O27" s="94">
        <f t="shared" si="8"/>
        <v>87.493941229861846</v>
      </c>
      <c r="P27" s="94" t="str">
        <f t="shared" si="18"/>
        <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Significant Rural (rural including hub towns 26-49%)</v>
      </c>
      <c r="Y27" s="26" t="str">
        <f t="shared" si="3"/>
        <v/>
      </c>
      <c r="Z27" s="34" t="str">
        <f>IF(Y27="","",IF(I$8="A",(RANK(Y27,Y$11:Y$368,1)+COUNTIF(Y$11:Y27,Y27)-1),(RANK(Y27,Y$11:Y$368)+COUNTIF(Y$11:Y27,Y27)-1)))</f>
        <v/>
      </c>
      <c r="AA27" s="188" t="str">
        <f>IF(L27="","",VLOOKUP($L27,classifications!C:I,7,FALSE))</f>
        <v>Significant Rural</v>
      </c>
      <c r="AB27" s="184" t="str">
        <f t="shared" si="11"/>
        <v/>
      </c>
      <c r="AC27" s="184" t="str">
        <f>IF(AB27="","",IF($I$8="A",(RANK(AB27,AB$11:AB$368)+COUNTIF(AB$11:AB27,AB27)-1),(RANK(AB27,AB$11:AB$368,1)+COUNTIF(AB$11:AB27,AB27)-1)))</f>
        <v/>
      </c>
      <c r="AD27" s="184"/>
      <c r="AE27" s="28"/>
      <c r="AF27" s="1"/>
      <c r="AG27" s="96"/>
      <c r="AH27" s="29"/>
      <c r="AI27" s="38" t="str">
        <f>IF(L27="","",VLOOKUP($L27,classifications!$C:$J,8,FALSE))</f>
        <v>Buckinghamshire</v>
      </c>
      <c r="AJ27" s="39" t="str">
        <f t="shared" si="4"/>
        <v/>
      </c>
      <c r="AK27" s="34" t="str">
        <f>IF(AJ27="","",IF(I$8="A",(RANK(AJ27,AJ$11:AJ$368,1)+COUNTIF(AJ$11:AJ27,AJ27)-1),(RANK(AJ27,AJ$11:AJ$368)+COUNTIF(AJ$11:AJ27,AJ27)-1)))</f>
        <v/>
      </c>
      <c r="AL27" s="29" t="str">
        <f t="shared" si="13"/>
        <v/>
      </c>
      <c r="AM27" s="8" t="str">
        <f t="shared" si="5"/>
        <v/>
      </c>
      <c r="AN27" s="8" t="str">
        <f t="shared" si="14"/>
        <v/>
      </c>
      <c r="AP27" s="38" t="str">
        <f>IF(L27="","",VLOOKUP($L27,classifications!$C:$E,3,FALSE))</f>
        <v>South East</v>
      </c>
      <c r="AQ27" s="39" t="str">
        <f t="shared" si="15"/>
        <v/>
      </c>
      <c r="AR27" s="34" t="str">
        <f>IF(AQ27="","",IF(I$8="A",(RANK(AQ27,AQ$11:AQ$368,1)+COUNTIF(AQ$11:AQ27,AQ27)-1),(RANK(AQ27,AQ$11:AQ$368)+COUNTIF(AQ$11:AQ27,AQ27)-1)))</f>
        <v/>
      </c>
      <c r="AS27" s="29">
        <f t="shared" si="16"/>
        <v>17</v>
      </c>
      <c r="AT27" s="34" t="str">
        <f t="shared" si="6"/>
        <v>Pendle</v>
      </c>
      <c r="AU27" s="39">
        <f t="shared" si="17"/>
        <v>75.635752488429077</v>
      </c>
      <c r="AX27" s="21">
        <f>HLOOKUP($AX$9&amp;$AX$10,Data!$A$1:$ZZ$2000,(MATCH($C27,Data!$A$1:$A$2000,0)),FALSE)</f>
        <v>78.479133299122552</v>
      </c>
      <c r="AY27" s="103"/>
      <c r="AZ27" s="21"/>
    </row>
    <row r="28" spans="1:52">
      <c r="A28" s="56" t="str">
        <f>$D$1&amp;18</f>
        <v>SD18</v>
      </c>
      <c r="B28" s="57" t="str">
        <f>IF(ISERROR(VLOOKUP(A28,classifications!A:C,3,FALSE)),0,VLOOKUP(A28,classifications!A:C,3,FALSE))</f>
        <v>East Northamptonshire</v>
      </c>
      <c r="C28" s="8" t="s">
        <v>197</v>
      </c>
      <c r="D28" s="26" t="str">
        <f>VLOOKUP($C28,classifications!$C:$J,4,FALSE)</f>
        <v>L</v>
      </c>
      <c r="E28" s="26">
        <f>VLOOKUP(C28,classifications!C:K,9,FALSE)</f>
        <v>0</v>
      </c>
      <c r="F28" s="36">
        <f t="shared" si="0"/>
        <v>79.654329840891364</v>
      </c>
      <c r="G28" s="71"/>
      <c r="H28" s="37" t="str">
        <f t="shared" si="1"/>
        <v/>
      </c>
      <c r="I28" s="77" t="str">
        <f>IF(H28="","",IF($I$8="A",(RANK(H28,H$11:H$368,1)+COUNTIF(H$11:H28,H28)-1),(RANK(H28,H$11:H$368)+COUNTIF(H$11:H28,H28)-1)))</f>
        <v/>
      </c>
      <c r="J28" s="35"/>
      <c r="K28" s="28">
        <f t="shared" si="7"/>
        <v>18</v>
      </c>
      <c r="L28" s="36" t="str">
        <f t="shared" si="2"/>
        <v>North Hertfordshire</v>
      </c>
      <c r="M28" s="102">
        <f t="shared" si="22"/>
        <v>87.469177998201303</v>
      </c>
      <c r="N28" s="101">
        <f t="shared" si="23"/>
        <v>87.469177998201303</v>
      </c>
      <c r="O28" s="94">
        <f t="shared" si="8"/>
        <v>87.469177998201303</v>
      </c>
      <c r="P28" s="94" t="str">
        <f t="shared" si="18"/>
        <v/>
      </c>
      <c r="Q28" s="94" t="str">
        <f t="shared" si="19"/>
        <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Urban with Significant Rural (rural including hub towns 26-49%)</v>
      </c>
      <c r="Y28" s="26" t="str">
        <f t="shared" si="3"/>
        <v/>
      </c>
      <c r="Z28" s="34" t="str">
        <f>IF(Y28="","",IF(I$8="A",(RANK(Y28,Y$11:Y$368,1)+COUNTIF(Y$11:Y28,Y28)-1),(RANK(Y28,Y$11:Y$368)+COUNTIF(Y$11:Y28,Y28)-1)))</f>
        <v/>
      </c>
      <c r="AA28" s="188" t="str">
        <f>IF(L28="","",VLOOKUP($L28,classifications!C:I,7,FALSE))</f>
        <v>Significant Rural</v>
      </c>
      <c r="AB28" s="184" t="str">
        <f t="shared" si="11"/>
        <v/>
      </c>
      <c r="AC28" s="184" t="str">
        <f>IF(AB28="","",IF($I$8="A",(RANK(AB28,AB$11:AB$368)+COUNTIF(AB$11:AB28,AB28)-1),(RANK(AB28,AB$11:AB$368,1)+COUNTIF(AB$11:AB28,AB28)-1)))</f>
        <v/>
      </c>
      <c r="AD28" s="184"/>
      <c r="AE28" s="28"/>
      <c r="AF28" s="1"/>
      <c r="AG28" s="96"/>
      <c r="AH28" s="29"/>
      <c r="AI28" s="38" t="str">
        <f>IF(L28="","",VLOOKUP($L28,classifications!$C:$J,8,FALSE))</f>
        <v>Hertfordshire</v>
      </c>
      <c r="AJ28" s="39" t="str">
        <f t="shared" si="4"/>
        <v/>
      </c>
      <c r="AK28" s="34" t="str">
        <f>IF(AJ28="","",IF(I$8="A",(RANK(AJ28,AJ$11:AJ$368,1)+COUNTIF(AJ$11:AJ28,AJ28)-1),(RANK(AJ28,AJ$11:AJ$368)+COUNTIF(AJ$11:AJ28,AJ28)-1)))</f>
        <v/>
      </c>
      <c r="AL28" s="29" t="str">
        <f t="shared" si="13"/>
        <v/>
      </c>
      <c r="AM28" s="8" t="str">
        <f t="shared" si="5"/>
        <v/>
      </c>
      <c r="AN28" s="8" t="str">
        <f t="shared" si="14"/>
        <v/>
      </c>
      <c r="AP28" s="38" t="str">
        <f>IF(L28="","",VLOOKUP($L28,classifications!$C:$E,3,FALSE))</f>
        <v>East of England</v>
      </c>
      <c r="AQ28" s="39" t="str">
        <f t="shared" si="15"/>
        <v/>
      </c>
      <c r="AR28" s="34" t="str">
        <f>IF(AQ28="","",IF(I$8="A",(RANK(AQ28,AQ$11:AQ$368,1)+COUNTIF(AQ$11:AQ28,AQ28)-1),(RANK(AQ28,AQ$11:AQ$368)+COUNTIF(AQ$11:AQ28,AQ28)-1)))</f>
        <v/>
      </c>
      <c r="AS28" s="29">
        <f t="shared" si="16"/>
        <v>18</v>
      </c>
      <c r="AT28" s="34" t="str">
        <f t="shared" si="6"/>
        <v>Burnley</v>
      </c>
      <c r="AU28" s="39">
        <f t="shared" si="17"/>
        <v>75.166170890927546</v>
      </c>
      <c r="AX28" s="21">
        <f>HLOOKUP($AX$9&amp;$AX$10,Data!$A$1:$ZZ$2000,(MATCH($C28,Data!$A$1:$A$2000,0)),FALSE)</f>
        <v>79.654329840891364</v>
      </c>
      <c r="AY28" s="103"/>
      <c r="AZ28" s="21"/>
    </row>
    <row r="29" spans="1:52">
      <c r="A29" s="56" t="str">
        <f>$D$1&amp;19</f>
        <v>SD19</v>
      </c>
      <c r="B29" s="57" t="str">
        <f>IF(ISERROR(VLOOKUP(A29,classifications!A:C,3,FALSE)),0,VLOOKUP(A29,classifications!A:C,3,FALSE))</f>
        <v>East Suffolk</v>
      </c>
      <c r="C29" s="8" t="s">
        <v>223</v>
      </c>
      <c r="D29" s="26" t="str">
        <f>VLOOKUP($C29,classifications!$C:$J,4,FALSE)</f>
        <v>MD</v>
      </c>
      <c r="E29" s="26">
        <f>VLOOKUP(C29,classifications!C:K,9,FALSE)</f>
        <v>0</v>
      </c>
      <c r="F29" s="36">
        <f t="shared" si="0"/>
        <v>76.78860140422789</v>
      </c>
      <c r="G29" s="71"/>
      <c r="H29" s="37" t="str">
        <f t="shared" si="1"/>
        <v/>
      </c>
      <c r="I29" s="77" t="str">
        <f>IF(H29="","",IF($I$8="A",(RANK(H29,H$11:H$368,1)+COUNTIF(H$11:H29,H29)-1),(RANK(H29,H$11:H$368)+COUNTIF(H$11:H29,H29)-1)))</f>
        <v/>
      </c>
      <c r="J29" s="35"/>
      <c r="K29" s="28">
        <f t="shared" si="7"/>
        <v>19</v>
      </c>
      <c r="L29" s="36" t="str">
        <f t="shared" si="2"/>
        <v>Derbyshire Dales</v>
      </c>
      <c r="M29" s="102">
        <f t="shared" si="22"/>
        <v>87.156969497663397</v>
      </c>
      <c r="N29" s="101">
        <f t="shared" si="23"/>
        <v>87.156969497663397</v>
      </c>
      <c r="O29" s="94">
        <f t="shared" si="8"/>
        <v>87.156969497663397</v>
      </c>
      <c r="P29" s="94" t="str">
        <f t="shared" si="18"/>
        <v/>
      </c>
      <c r="Q29" s="94" t="str">
        <f t="shared" si="19"/>
        <v/>
      </c>
      <c r="R29" s="90" t="str">
        <f t="shared" si="20"/>
        <v/>
      </c>
      <c r="S29" s="37" t="str">
        <f t="shared" si="9"/>
        <v/>
      </c>
      <c r="T29" s="176" t="str">
        <f>IF(L29="","",VLOOKUP(L29,classifications!C:K,9,FALSE))</f>
        <v>Sparse</v>
      </c>
      <c r="U29" s="183">
        <f t="shared" si="10"/>
        <v>87.156969497663397</v>
      </c>
      <c r="V29" s="184">
        <f>IF(U29="","",IF($I$8="A",(RANK(U29,U$11:U$368)+COUNTIF(U$11:U29,U29)-1),(RANK(U29,U$11:U$368,1)+COUNTIF(U$11:U29,U29)-1)))</f>
        <v>70</v>
      </c>
      <c r="W29" s="185"/>
      <c r="X29" s="38" t="str">
        <f>IF(L29="","",VLOOKUP($L29,classifications!$C:$J,6,FALSE))</f>
        <v xml:space="preserve">Mainly Rural (rural including hub towns &gt;=80%) </v>
      </c>
      <c r="Y29" s="26">
        <f t="shared" si="3"/>
        <v>87.156969497663397</v>
      </c>
      <c r="Z29" s="34">
        <f>IF(Y29="","",IF(I$8="A",(RANK(Y29,Y$11:Y$368,1)+COUNTIF(Y$11:Y29,Y29)-1),(RANK(Y29,Y$11:Y$368)+COUNTIF(Y$11:Y29,Y29)-1)))</f>
        <v>4</v>
      </c>
      <c r="AA29" s="188" t="str">
        <f>IF(L29="","",VLOOKUP($L29,classifications!C:I,7,FALSE))</f>
        <v>Predominantly Rural</v>
      </c>
      <c r="AB29" s="184">
        <f t="shared" si="11"/>
        <v>87.156969497663397</v>
      </c>
      <c r="AC29" s="184">
        <f>IF(AB29="","",IF($I$8="A",(RANK(AB29,AB$11:AB$368)+COUNTIF(AB$11:AB29,AB29)-1),(RANK(AB29,AB$11:AB$368,1)+COUNTIF(AB$11:AB29,AB29)-1)))</f>
        <v>69</v>
      </c>
      <c r="AD29" s="184"/>
      <c r="AE29" s="28"/>
      <c r="AF29" s="1"/>
      <c r="AG29" s="96"/>
      <c r="AH29" s="29"/>
      <c r="AI29" s="38" t="str">
        <f>IF(L29="","",VLOOKUP($L29,classifications!$C:$J,8,FALSE))</f>
        <v>Derbyshire</v>
      </c>
      <c r="AJ29" s="39" t="str">
        <f t="shared" si="4"/>
        <v/>
      </c>
      <c r="AK29" s="34" t="str">
        <f>IF(AJ29="","",IF(I$8="A",(RANK(AJ29,AJ$11:AJ$368,1)+COUNTIF(AJ$11:AJ29,AJ29)-1),(RANK(AJ29,AJ$11:AJ$368)+COUNTIF(AJ$11:AJ29,AJ29)-1)))</f>
        <v/>
      </c>
      <c r="AL29" s="29" t="str">
        <f t="shared" si="13"/>
        <v/>
      </c>
      <c r="AM29" s="8" t="str">
        <f t="shared" si="5"/>
        <v/>
      </c>
      <c r="AN29" s="8" t="str">
        <f t="shared" si="14"/>
        <v/>
      </c>
      <c r="AP29" s="38" t="str">
        <f>IF(L29="","",VLOOKUP($L29,classifications!$C:$E,3,FALSE))</f>
        <v>East Midlands</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76.78860140422789</v>
      </c>
      <c r="AY29" s="103"/>
      <c r="AZ29" s="21"/>
    </row>
    <row r="30" spans="1:52">
      <c r="A30" s="56" t="str">
        <f>$D$1&amp;20</f>
        <v>SD20</v>
      </c>
      <c r="B30" s="57" t="str">
        <f>IF(ISERROR(VLOOKUP(A30,classifications!A:C,3,FALSE)),0,VLOOKUP(A30,classifications!A:C,3,FALSE))</f>
        <v>Eden</v>
      </c>
      <c r="C30" s="8" t="s">
        <v>16</v>
      </c>
      <c r="D30" s="26" t="str">
        <f>VLOOKUP($C30,classifications!$C:$J,4,FALSE)</f>
        <v>SD</v>
      </c>
      <c r="E30" s="26">
        <f>VLOOKUP(C30,classifications!C:K,9,FALSE)</f>
        <v>0</v>
      </c>
      <c r="F30" s="36">
        <f t="shared" si="0"/>
        <v>80.526976949454593</v>
      </c>
      <c r="G30" s="71"/>
      <c r="H30" s="37">
        <f t="shared" si="1"/>
        <v>80.526976949454593</v>
      </c>
      <c r="I30" s="77">
        <f>IF(H30="","",IF($I$8="A",(RANK(H30,H$11:H$368,1)+COUNTIF(H$11:H30,H30)-1),(RANK(H30,H$11:H$368)+COUNTIF(H$11:H30,H30)-1)))</f>
        <v>134</v>
      </c>
      <c r="J30" s="35"/>
      <c r="K30" s="28">
        <f t="shared" si="7"/>
        <v>20</v>
      </c>
      <c r="L30" s="36" t="str">
        <f t="shared" si="2"/>
        <v>Epsom &amp; Ewell</v>
      </c>
      <c r="M30" s="102">
        <f t="shared" si="22"/>
        <v>86.93318830237007</v>
      </c>
      <c r="N30" s="101">
        <f t="shared" si="23"/>
        <v>86.93318830237007</v>
      </c>
      <c r="O30" s="94">
        <f t="shared" si="8"/>
        <v>86.93318830237007</v>
      </c>
      <c r="P30" s="94" t="str">
        <f t="shared" si="18"/>
        <v/>
      </c>
      <c r="Q30" s="94" t="str">
        <f t="shared" si="19"/>
        <v/>
      </c>
      <c r="R30" s="90" t="str">
        <f t="shared" si="20"/>
        <v/>
      </c>
      <c r="S30" s="37" t="str">
        <f t="shared" si="9"/>
        <v/>
      </c>
      <c r="T30" s="176">
        <f>IF(L30="","",VLOOKUP(L30,classifications!C:K,9,FALSE))</f>
        <v>0</v>
      </c>
      <c r="U30" s="183" t="str">
        <f t="shared" si="10"/>
        <v/>
      </c>
      <c r="V30" s="184" t="str">
        <f>IF(U30="","",IF($I$8="A",(RANK(U30,U$11:U$368)+COUNTIF(U$11:U30,U30)-1),(RANK(U30,U$11:U$368,1)+COUNTIF(U$11:U30,U30)-1)))</f>
        <v/>
      </c>
      <c r="W30" s="185"/>
      <c r="X30" s="38" t="str">
        <f>IF(L30="","",VLOOKUP($L30,classifications!$C:$J,6,FALSE))</f>
        <v>Urban with Major Conurbation</v>
      </c>
      <c r="Y30" s="26" t="str">
        <f t="shared" si="3"/>
        <v/>
      </c>
      <c r="Z30" s="34" t="str">
        <f>IF(Y30="","",IF(I$8="A",(RANK(Y30,Y$11:Y$368,1)+COUNTIF(Y$11:Y30,Y30)-1),(RANK(Y30,Y$11:Y$368)+COUNTIF(Y$11:Y30,Y30)-1)))</f>
        <v/>
      </c>
      <c r="AA30" s="188" t="str">
        <f>IF(L30="","",VLOOKUP($L30,classifications!C:I,7,FALSE))</f>
        <v>Predominantly Urban</v>
      </c>
      <c r="AB30" s="184" t="str">
        <f t="shared" si="11"/>
        <v/>
      </c>
      <c r="AC30" s="184" t="str">
        <f>IF(AB30="","",IF($I$8="A",(RANK(AB30,AB$11:AB$368)+COUNTIF(AB$11:AB30,AB30)-1),(RANK(AB30,AB$11:AB$368,1)+COUNTIF(AB$11:AB30,AB30)-1)))</f>
        <v/>
      </c>
      <c r="AD30" s="184"/>
      <c r="AE30" s="28"/>
      <c r="AF30" s="1"/>
      <c r="AG30" s="96"/>
      <c r="AH30" s="29"/>
      <c r="AI30" s="38" t="str">
        <f>IF(L30="","",VLOOKUP($L30,classifications!$C:$J,8,FALSE))</f>
        <v>Surrey</v>
      </c>
      <c r="AJ30" s="39" t="str">
        <f t="shared" si="4"/>
        <v/>
      </c>
      <c r="AK30" s="34" t="str">
        <f>IF(AJ30="","",IF(I$8="A",(RANK(AJ30,AJ$11:AJ$368,1)+COUNTIF(AJ$11:AJ30,AJ30)-1),(RANK(AJ30,AJ$11:AJ$368)+COUNTIF(AJ$11:AJ30,AJ30)-1)))</f>
        <v/>
      </c>
      <c r="AL30" s="29" t="str">
        <f t="shared" si="13"/>
        <v/>
      </c>
      <c r="AM30" s="8" t="str">
        <f t="shared" si="5"/>
        <v/>
      </c>
      <c r="AN30" s="8" t="str">
        <f t="shared" si="14"/>
        <v/>
      </c>
      <c r="AP30" s="38" t="str">
        <f>IF(L30="","",VLOOKUP($L30,classifications!$C:$E,3,FALSE))</f>
        <v>South East</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80.526976949454593</v>
      </c>
      <c r="AY30" s="103"/>
      <c r="AZ30" s="21"/>
    </row>
    <row r="31" spans="1:52">
      <c r="A31" s="56" t="str">
        <f>$D$1&amp;21</f>
        <v>SD21</v>
      </c>
      <c r="B31" s="57" t="str">
        <f>IF(ISERROR(VLOOKUP(A31,classifications!A:C,3,FALSE)),0,VLOOKUP(A31,classifications!A:C,3,FALSE))</f>
        <v>Forest Heath</v>
      </c>
      <c r="C31" s="8" t="s">
        <v>260</v>
      </c>
      <c r="D31" s="26" t="str">
        <f>VLOOKUP($C31,classifications!$C:$J,4,FALSE)</f>
        <v>UA</v>
      </c>
      <c r="E31" s="26">
        <f>VLOOKUP(C31,classifications!C:K,9,FALSE)</f>
        <v>0</v>
      </c>
      <c r="F31" s="36">
        <f t="shared" si="0"/>
        <v>71.910386159482883</v>
      </c>
      <c r="G31" s="71"/>
      <c r="H31" s="37" t="str">
        <f t="shared" si="1"/>
        <v/>
      </c>
      <c r="I31" s="77" t="str">
        <f>IF(H31="","",IF($I$8="A",(RANK(H31,H$11:H$368,1)+COUNTIF(H$11:H31,H31)-1),(RANK(H31,H$11:H$368)+COUNTIF(H$11:H31,H31)-1)))</f>
        <v/>
      </c>
      <c r="J31" s="35"/>
      <c r="K31" s="28">
        <f t="shared" si="7"/>
        <v>21</v>
      </c>
      <c r="L31" s="36" t="str">
        <f t="shared" si="2"/>
        <v>High Peak</v>
      </c>
      <c r="M31" s="102">
        <f t="shared" si="22"/>
        <v>86.790958981324778</v>
      </c>
      <c r="N31" s="101">
        <f t="shared" si="23"/>
        <v>86.790958981324778</v>
      </c>
      <c r="O31" s="94">
        <f t="shared" si="8"/>
        <v>86.790958981324778</v>
      </c>
      <c r="P31" s="94" t="str">
        <f t="shared" si="18"/>
        <v/>
      </c>
      <c r="Q31" s="94" t="str">
        <f t="shared" si="19"/>
        <v/>
      </c>
      <c r="R31" s="90" t="str">
        <f t="shared" si="20"/>
        <v/>
      </c>
      <c r="S31" s="37" t="str">
        <f t="shared" si="9"/>
        <v/>
      </c>
      <c r="T31" s="176">
        <f>IF(L31="","",VLOOKUP(L31,classifications!C:K,9,FALSE))</f>
        <v>0</v>
      </c>
      <c r="U31" s="183" t="str">
        <f t="shared" si="10"/>
        <v/>
      </c>
      <c r="V31" s="184" t="str">
        <f>IF(U31="","",IF($I$8="A",(RANK(U31,U$11:U$368)+COUNTIF(U$11:U31,U31)-1),(RANK(U31,U$11:U$368,1)+COUNTIF(U$11:U31,U31)-1)))</f>
        <v/>
      </c>
      <c r="W31" s="185"/>
      <c r="X31" s="38" t="str">
        <f>IF(L31="","",VLOOKUP($L31,classifications!$C:$J,6,FALSE))</f>
        <v xml:space="preserve">Largely Rural (rural including hub towns 50-79%) </v>
      </c>
      <c r="Y31" s="26" t="str">
        <f t="shared" si="3"/>
        <v/>
      </c>
      <c r="Z31" s="34" t="str">
        <f>IF(Y31="","",IF(I$8="A",(RANK(Y31,Y$11:Y$368,1)+COUNTIF(Y$11:Y31,Y31)-1),(RANK(Y31,Y$11:Y$368)+COUNTIF(Y$11:Y31,Y31)-1)))</f>
        <v/>
      </c>
      <c r="AA31" s="188" t="str">
        <f>IF(L31="","",VLOOKUP($L31,classifications!C:I,7,FALSE))</f>
        <v>Predominantly Rural</v>
      </c>
      <c r="AB31" s="184">
        <f t="shared" si="11"/>
        <v>86.790958981324778</v>
      </c>
      <c r="AC31" s="184">
        <f>IF(AB31="","",IF($I$8="A",(RANK(AB31,AB$11:AB$368)+COUNTIF(AB$11:AB31,AB31)-1),(RANK(AB31,AB$11:AB$368,1)+COUNTIF(AB$11:AB31,AB31)-1)))</f>
        <v>68</v>
      </c>
      <c r="AD31" s="184"/>
      <c r="AE31" s="28"/>
      <c r="AF31" s="1"/>
      <c r="AG31" s="96"/>
      <c r="AH31" s="29"/>
      <c r="AI31" s="38" t="str">
        <f>IF(L31="","",VLOOKUP($L31,classifications!$C:$J,8,FALSE))</f>
        <v>Derbyshire</v>
      </c>
      <c r="AJ31" s="39" t="str">
        <f t="shared" si="4"/>
        <v/>
      </c>
      <c r="AK31" s="34" t="str">
        <f>IF(AJ31="","",IF(I$8="A",(RANK(AJ31,AJ$11:AJ$368,1)+COUNTIF(AJ$11:AJ31,AJ31)-1),(RANK(AJ31,AJ$11:AJ$368)+COUNTIF(AJ$11:AJ31,AJ31)-1)))</f>
        <v/>
      </c>
      <c r="AL31" s="29" t="str">
        <f t="shared" si="13"/>
        <v/>
      </c>
      <c r="AM31" s="8" t="str">
        <f t="shared" si="5"/>
        <v/>
      </c>
      <c r="AN31" s="8" t="str">
        <f t="shared" si="14"/>
        <v/>
      </c>
      <c r="AP31" s="38" t="str">
        <f>IF(L31="","",VLOOKUP($L31,classifications!$C:$E,3,FALSE))</f>
        <v>East Midlands</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71.910386159482883</v>
      </c>
      <c r="AY31" s="103"/>
      <c r="AZ31" s="21"/>
    </row>
    <row r="32" spans="1:52">
      <c r="A32" s="56" t="str">
        <f>$D$1&amp;22</f>
        <v>SD22</v>
      </c>
      <c r="B32" s="57" t="str">
        <f>IF(ISERROR(VLOOKUP(A32,classifications!A:C,3,FALSE)),0,VLOOKUP(A32,classifications!A:C,3,FALSE))</f>
        <v>Forest of Dean</v>
      </c>
      <c r="C32" s="8" t="s">
        <v>261</v>
      </c>
      <c r="D32" s="26" t="str">
        <f>VLOOKUP($C32,classifications!$C:$J,4,FALSE)</f>
        <v>UA</v>
      </c>
      <c r="E32" s="26">
        <f>VLOOKUP(C32,classifications!C:K,9,FALSE)</f>
        <v>0</v>
      </c>
      <c r="F32" s="36">
        <f t="shared" si="0"/>
        <v>76.207456845799953</v>
      </c>
      <c r="G32" s="71"/>
      <c r="H32" s="37" t="str">
        <f t="shared" si="1"/>
        <v/>
      </c>
      <c r="I32" s="77" t="str">
        <f>IF(H32="","",IF($I$8="A",(RANK(H32,H$11:H$368,1)+COUNTIF(H$11:H32,H32)-1),(RANK(H32,H$11:H$368)+COUNTIF(H$11:H32,H32)-1)))</f>
        <v/>
      </c>
      <c r="J32" s="35"/>
      <c r="K32" s="28">
        <f t="shared" si="7"/>
        <v>22</v>
      </c>
      <c r="L32" s="36" t="str">
        <f t="shared" si="2"/>
        <v>Hertsmere</v>
      </c>
      <c r="M32" s="102">
        <f t="shared" si="22"/>
        <v>86.767004660693942</v>
      </c>
      <c r="N32" s="101">
        <f t="shared" si="23"/>
        <v>86.767004660693942</v>
      </c>
      <c r="O32" s="94">
        <f t="shared" si="8"/>
        <v>86.767004660693942</v>
      </c>
      <c r="P32" s="94" t="str">
        <f t="shared" si="18"/>
        <v/>
      </c>
      <c r="Q32" s="94" t="str">
        <f t="shared" si="19"/>
        <v/>
      </c>
      <c r="R32" s="90" t="str">
        <f t="shared" si="20"/>
        <v/>
      </c>
      <c r="S32" s="37" t="str">
        <f t="shared" si="9"/>
        <v/>
      </c>
      <c r="T32" s="176">
        <f>IF(L32="","",VLOOKUP(L32,classifications!C:K,9,FALSE))</f>
        <v>0</v>
      </c>
      <c r="U32" s="183" t="str">
        <f t="shared" si="10"/>
        <v/>
      </c>
      <c r="V32" s="184" t="str">
        <f>IF(U32="","",IF($I$8="A",(RANK(U32,U$11:U$368)+COUNTIF(U$11:U32,U32)-1),(RANK(U32,U$11:U$368,1)+COUNTIF(U$11:U32,U32)-1)))</f>
        <v/>
      </c>
      <c r="W32" s="185"/>
      <c r="X32" s="38" t="str">
        <f>IF(L32="","",VLOOKUP($L32,classifications!$C:$J,6,FALSE))</f>
        <v>Urban with Major Conurbation</v>
      </c>
      <c r="Y32" s="26" t="str">
        <f t="shared" si="3"/>
        <v/>
      </c>
      <c r="Z32" s="34" t="str">
        <f>IF(Y32="","",IF(I$8="A",(RANK(Y32,Y$11:Y$368,1)+COUNTIF(Y$11:Y32,Y32)-1),(RANK(Y32,Y$11:Y$368)+COUNTIF(Y$11:Y32,Y32)-1)))</f>
        <v/>
      </c>
      <c r="AA32" s="188" t="str">
        <f>IF(L32="","",VLOOKUP($L32,classifications!C:I,7,FALSE))</f>
        <v>Predominantly Urban</v>
      </c>
      <c r="AB32" s="184" t="str">
        <f t="shared" si="11"/>
        <v/>
      </c>
      <c r="AC32" s="184" t="str">
        <f>IF(AB32="","",IF($I$8="A",(RANK(AB32,AB$11:AB$368)+COUNTIF(AB$11:AB32,AB32)-1),(RANK(AB32,AB$11:AB$368,1)+COUNTIF(AB$11:AB32,AB32)-1)))</f>
        <v/>
      </c>
      <c r="AD32" s="184"/>
      <c r="AE32" s="28"/>
      <c r="AG32" s="96"/>
      <c r="AH32" s="29"/>
      <c r="AI32" s="38" t="str">
        <f>IF(L32="","",VLOOKUP($L32,classifications!$C:$J,8,FALSE))</f>
        <v>Hertfordshire</v>
      </c>
      <c r="AJ32" s="39" t="str">
        <f t="shared" si="4"/>
        <v/>
      </c>
      <c r="AK32" s="34" t="str">
        <f>IF(AJ32="","",IF(I$8="A",(RANK(AJ32,AJ$11:AJ$368,1)+COUNTIF(AJ$11:AJ32,AJ32)-1),(RANK(AJ32,AJ$11:AJ$368)+COUNTIF(AJ$11:AJ32,AJ32)-1)))</f>
        <v/>
      </c>
      <c r="AL32" s="29" t="str">
        <f t="shared" si="13"/>
        <v/>
      </c>
      <c r="AM32" s="8" t="str">
        <f t="shared" si="5"/>
        <v/>
      </c>
      <c r="AN32" s="8" t="str">
        <f t="shared" si="14"/>
        <v/>
      </c>
      <c r="AP32" s="38" t="str">
        <f>IF(L32="","",VLOOKUP($L32,classifications!$C:$E,3,FALSE))</f>
        <v>East of England</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76.207456845799953</v>
      </c>
      <c r="AY32" s="103"/>
      <c r="AZ32" s="21"/>
    </row>
    <row r="33" spans="1:52">
      <c r="A33" s="56" t="str">
        <f>$D$1&amp;23</f>
        <v>SD23</v>
      </c>
      <c r="B33" s="57" t="str">
        <f>IF(ISERROR(VLOOKUP(A33,classifications!A:C,3,FALSE)),0,VLOOKUP(A33,classifications!A:C,3,FALSE))</f>
        <v>Hambleton</v>
      </c>
      <c r="C33" s="8" t="s">
        <v>17</v>
      </c>
      <c r="D33" s="26" t="str">
        <f>VLOOKUP($C33,classifications!$C:$J,4,FALSE)</f>
        <v>SD</v>
      </c>
      <c r="E33" s="26">
        <f>VLOOKUP(C33,classifications!C:K,9,FALSE)</f>
        <v>0</v>
      </c>
      <c r="F33" s="36">
        <f t="shared" si="0"/>
        <v>81.08571466065861</v>
      </c>
      <c r="G33" s="71"/>
      <c r="H33" s="37">
        <f t="shared" si="1"/>
        <v>81.08571466065861</v>
      </c>
      <c r="I33" s="77">
        <f>IF(H33="","",IF($I$8="A",(RANK(H33,H$11:H$368,1)+COUNTIF(H$11:H33,H33)-1),(RANK(H33,H$11:H$368)+COUNTIF(H$11:H33,H33)-1)))</f>
        <v>127</v>
      </c>
      <c r="J33" s="35"/>
      <c r="K33" s="28">
        <f t="shared" si="7"/>
        <v>23</v>
      </c>
      <c r="L33" s="36" t="str">
        <f t="shared" si="2"/>
        <v>Cherwell</v>
      </c>
      <c r="M33" s="102">
        <f t="shared" si="22"/>
        <v>86.690590013021321</v>
      </c>
      <c r="N33" s="101">
        <f t="shared" si="23"/>
        <v>86.690590013021321</v>
      </c>
      <c r="O33" s="94">
        <f t="shared" si="8"/>
        <v>86.690590013021321</v>
      </c>
      <c r="P33" s="94" t="str">
        <f t="shared" si="18"/>
        <v/>
      </c>
      <c r="Q33" s="94" t="str">
        <f t="shared" si="19"/>
        <v/>
      </c>
      <c r="R33" s="90" t="str">
        <f t="shared" si="20"/>
        <v/>
      </c>
      <c r="S33" s="37" t="str">
        <f t="shared" si="9"/>
        <v/>
      </c>
      <c r="T33" s="176" t="str">
        <f>IF(L33="","",VLOOKUP(L33,classifications!C:K,9,FALSE))</f>
        <v>Sparse</v>
      </c>
      <c r="U33" s="183">
        <f t="shared" si="10"/>
        <v>86.690590013021321</v>
      </c>
      <c r="V33" s="184">
        <f>IF(U33="","",IF($I$8="A",(RANK(U33,U$11:U$368)+COUNTIF(U$11:U33,U33)-1),(RANK(U33,U$11:U$368,1)+COUNTIF(U$11:U33,U33)-1)))</f>
        <v>69</v>
      </c>
      <c r="W33" s="185"/>
      <c r="X33" s="38" t="str">
        <f>IF(L33="","",VLOOKUP($L33,classifications!$C:$J,6,FALSE))</f>
        <v>Urban with Significant Rural (rural including hub towns 26-49%)</v>
      </c>
      <c r="Y33" s="26" t="str">
        <f t="shared" si="3"/>
        <v/>
      </c>
      <c r="Z33" s="34" t="str">
        <f>IF(Y33="","",IF(I$8="A",(RANK(Y33,Y$11:Y$368,1)+COUNTIF(Y$11:Y33,Y33)-1),(RANK(Y33,Y$11:Y$368)+COUNTIF(Y$11:Y33,Y33)-1)))</f>
        <v/>
      </c>
      <c r="AA33" s="188" t="str">
        <f>IF(L33="","",VLOOKUP($L33,classifications!C:I,7,FALSE))</f>
        <v>Significant Rural</v>
      </c>
      <c r="AB33" s="184" t="str">
        <f t="shared" si="11"/>
        <v/>
      </c>
      <c r="AC33" s="184" t="str">
        <f>IF(AB33="","",IF($I$8="A",(RANK(AB33,AB$11:AB$368)+COUNTIF(AB$11:AB33,AB33)-1),(RANK(AB33,AB$11:AB$368,1)+COUNTIF(AB$11:AB33,AB33)-1)))</f>
        <v/>
      </c>
      <c r="AD33" s="184"/>
      <c r="AE33" s="28"/>
      <c r="AG33" s="96"/>
      <c r="AH33" s="29"/>
      <c r="AI33" s="38" t="str">
        <f>IF(L33="","",VLOOKUP($L33,classifications!$C:$J,8,FALSE))</f>
        <v>Oxfordshire</v>
      </c>
      <c r="AJ33" s="39" t="str">
        <f t="shared" si="4"/>
        <v/>
      </c>
      <c r="AK33" s="34" t="str">
        <f>IF(AJ33="","",IF(I$8="A",(RANK(AJ33,AJ$11:AJ$368,1)+COUNTIF(AJ$11:AJ33,AJ33)-1),(RANK(AJ33,AJ$11:AJ$368)+COUNTIF(AJ$11:AJ33,AJ33)-1)))</f>
        <v/>
      </c>
      <c r="AL33" s="29" t="str">
        <f t="shared" si="13"/>
        <v/>
      </c>
      <c r="AM33" s="8" t="str">
        <f t="shared" si="5"/>
        <v/>
      </c>
      <c r="AN33" s="8" t="str">
        <f t="shared" si="14"/>
        <v/>
      </c>
      <c r="AP33" s="38" t="str">
        <f>IF(L33="","",VLOOKUP($L33,classifications!$C:$E,3,FALSE))</f>
        <v>South East</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81.08571466065861</v>
      </c>
      <c r="AY33" s="103"/>
      <c r="AZ33" s="21"/>
    </row>
    <row r="34" spans="1:52">
      <c r="A34" s="56" t="str">
        <f>$D$1&amp;24</f>
        <v>SD24</v>
      </c>
      <c r="B34" s="57" t="str">
        <f>IF(ISERROR(VLOOKUP(A34,classifications!A:C,3,FALSE)),0,VLOOKUP(A34,classifications!A:C,3,FALSE))</f>
        <v>Harborough</v>
      </c>
      <c r="C34" s="8" t="s">
        <v>224</v>
      </c>
      <c r="D34" s="26" t="str">
        <f>VLOOKUP($C34,classifications!$C:$J,4,FALSE)</f>
        <v>MD</v>
      </c>
      <c r="E34" s="26">
        <f>VLOOKUP(C34,classifications!C:K,9,FALSE)</f>
        <v>0</v>
      </c>
      <c r="F34" s="36">
        <f t="shared" si="0"/>
        <v>72.807675733968708</v>
      </c>
      <c r="G34" s="71"/>
      <c r="H34" s="37" t="str">
        <f t="shared" si="1"/>
        <v/>
      </c>
      <c r="I34" s="77" t="str">
        <f>IF(H34="","",IF($I$8="A",(RANK(H34,H$11:H$368,1)+COUNTIF(H$11:H34,H34)-1),(RANK(H34,H$11:H$368)+COUNTIF(H$11:H34,H34)-1)))</f>
        <v/>
      </c>
      <c r="J34" s="35"/>
      <c r="K34" s="28">
        <f t="shared" si="7"/>
        <v>24</v>
      </c>
      <c r="L34" s="36" t="str">
        <f t="shared" si="2"/>
        <v>Chichester</v>
      </c>
      <c r="M34" s="102">
        <f t="shared" si="22"/>
        <v>86.676283490967094</v>
      </c>
      <c r="N34" s="101">
        <f t="shared" si="23"/>
        <v>86.676283490967094</v>
      </c>
      <c r="O34" s="94">
        <f t="shared" si="8"/>
        <v>86.676283490967094</v>
      </c>
      <c r="P34" s="94" t="str">
        <f t="shared" si="18"/>
        <v/>
      </c>
      <c r="Q34" s="94" t="str">
        <f t="shared" si="19"/>
        <v/>
      </c>
      <c r="R34" s="90" t="str">
        <f t="shared" si="20"/>
        <v/>
      </c>
      <c r="S34" s="37" t="str">
        <f t="shared" si="9"/>
        <v/>
      </c>
      <c r="T34" s="176" t="str">
        <f>IF(L34="","",VLOOKUP(L34,classifications!C:K,9,FALSE))</f>
        <v>Sparse</v>
      </c>
      <c r="U34" s="183">
        <f t="shared" si="10"/>
        <v>86.676283490967094</v>
      </c>
      <c r="V34" s="184">
        <f>IF(U34="","",IF($I$8="A",(RANK(U34,U$11:U$368)+COUNTIF(U$11:U34,U34)-1),(RANK(U34,U$11:U$368,1)+COUNTIF(U$11:U34,U34)-1)))</f>
        <v>68</v>
      </c>
      <c r="W34" s="185"/>
      <c r="X34" s="38" t="str">
        <f>IF(L34="","",VLOOKUP($L34,classifications!$C:$J,6,FALSE))</f>
        <v xml:space="preserve">Largely Rural (rural including hub towns 50-79%) </v>
      </c>
      <c r="Y34" s="26" t="str">
        <f t="shared" si="3"/>
        <v/>
      </c>
      <c r="Z34" s="34" t="str">
        <f>IF(Y34="","",IF(I$8="A",(RANK(Y34,Y$11:Y$368,1)+COUNTIF(Y$11:Y34,Y34)-1),(RANK(Y34,Y$11:Y$368)+COUNTIF(Y$11:Y34,Y34)-1)))</f>
        <v/>
      </c>
      <c r="AA34" s="188" t="str">
        <f>IF(L34="","",VLOOKUP($L34,classifications!C:I,7,FALSE))</f>
        <v>Predominantly Rural</v>
      </c>
      <c r="AB34" s="184">
        <f t="shared" si="11"/>
        <v>86.676283490967094</v>
      </c>
      <c r="AC34" s="184">
        <f>IF(AB34="","",IF($I$8="A",(RANK(AB34,AB$11:AB$368)+COUNTIF(AB$11:AB34,AB34)-1),(RANK(AB34,AB$11:AB$368,1)+COUNTIF(AB$11:AB34,AB34)-1)))</f>
        <v>67</v>
      </c>
      <c r="AD34" s="184"/>
      <c r="AE34" s="28"/>
      <c r="AG34" s="96"/>
      <c r="AH34" s="29"/>
      <c r="AI34" s="38" t="str">
        <f>IF(L34="","",VLOOKUP($L34,classifications!$C:$J,8,FALSE))</f>
        <v>West Sussex</v>
      </c>
      <c r="AJ34" s="39" t="str">
        <f t="shared" si="4"/>
        <v/>
      </c>
      <c r="AK34" s="34" t="str">
        <f>IF(AJ34="","",IF(I$8="A",(RANK(AJ34,AJ$11:AJ$368,1)+COUNTIF(AJ$11:AJ34,AJ34)-1),(RANK(AJ34,AJ$11:AJ$368)+COUNTIF(AJ$11:AJ34,AJ34)-1)))</f>
        <v/>
      </c>
      <c r="AL34" s="29" t="str">
        <f t="shared" si="13"/>
        <v/>
      </c>
      <c r="AM34" s="8" t="str">
        <f t="shared" si="5"/>
        <v/>
      </c>
      <c r="AN34" s="8" t="str">
        <f t="shared" si="14"/>
        <v/>
      </c>
      <c r="AP34" s="38" t="str">
        <f>IF(L34="","",VLOOKUP($L34,classifications!$C:$E,3,FALSE))</f>
        <v>South East</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72.807675733968708</v>
      </c>
      <c r="AY34" s="103"/>
      <c r="AZ34" s="21"/>
    </row>
    <row r="35" spans="1:52">
      <c r="A35" s="56" t="str">
        <f>$D$1&amp;25</f>
        <v>SD25</v>
      </c>
      <c r="B35" s="57" t="str">
        <f>IF(ISERROR(VLOOKUP(A35,classifications!A:C,3,FALSE)),0,VLOOKUP(A35,classifications!A:C,3,FALSE))</f>
        <v>Harrogate</v>
      </c>
      <c r="C35" s="8" t="s">
        <v>18</v>
      </c>
      <c r="D35" s="26" t="str">
        <f>VLOOKUP($C35,classifications!$C:$J,4,FALSE)</f>
        <v>SD</v>
      </c>
      <c r="E35" s="26" t="str">
        <f>VLOOKUP(C35,classifications!C:K,9,FALSE)</f>
        <v>Sparse</v>
      </c>
      <c r="F35" s="36">
        <f t="shared" si="0"/>
        <v>77.376417647046452</v>
      </c>
      <c r="G35" s="71"/>
      <c r="H35" s="37">
        <f t="shared" si="1"/>
        <v>77.376417647046452</v>
      </c>
      <c r="I35" s="77">
        <f>IF(H35="","",IF($I$8="A",(RANK(H35,H$11:H$368,1)+COUNTIF(H$11:H35,H35)-1),(RANK(H35,H$11:H$368)+COUNTIF(H$11:H35,H35)-1)))</f>
        <v>170</v>
      </c>
      <c r="J35" s="35"/>
      <c r="K35" s="28">
        <f t="shared" si="7"/>
        <v>25</v>
      </c>
      <c r="L35" s="36" t="str">
        <f t="shared" si="2"/>
        <v>Rochford</v>
      </c>
      <c r="M35" s="102">
        <f t="shared" si="22"/>
        <v>86.613854711442926</v>
      </c>
      <c r="N35" s="101">
        <f t="shared" si="23"/>
        <v>86.613854711442926</v>
      </c>
      <c r="O35" s="94">
        <f t="shared" si="8"/>
        <v>86.613854711442926</v>
      </c>
      <c r="P35" s="94" t="str">
        <f t="shared" si="18"/>
        <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City and Town</v>
      </c>
      <c r="Y35" s="26" t="str">
        <f t="shared" si="3"/>
        <v/>
      </c>
      <c r="Z35" s="34" t="str">
        <f>IF(Y35="","",IF(I$8="A",(RANK(Y35,Y$11:Y$368,1)+COUNTIF(Y$11:Y35,Y35)-1),(RANK(Y35,Y$11:Y$368)+COUNTIF(Y$11:Y35,Y35)-1)))</f>
        <v/>
      </c>
      <c r="AA35" s="188" t="str">
        <f>IF(L35="","",VLOOKUP($L35,classifications!C:I,7,FALSE))</f>
        <v>Predominantly Urban</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Essex</v>
      </c>
      <c r="AJ35" s="39" t="str">
        <f t="shared" si="4"/>
        <v/>
      </c>
      <c r="AK35" s="34" t="str">
        <f>IF(AJ35="","",IF(I$8="A",(RANK(AJ35,AJ$11:AJ$368,1)+COUNTIF(AJ$11:AJ35,AJ35)-1),(RANK(AJ35,AJ$11:AJ$368)+COUNTIF(AJ$11:AJ35,AJ35)-1)))</f>
        <v/>
      </c>
      <c r="AL35" s="29" t="str">
        <f t="shared" si="13"/>
        <v/>
      </c>
      <c r="AM35" s="8" t="str">
        <f t="shared" si="5"/>
        <v/>
      </c>
      <c r="AN35" s="8" t="str">
        <f t="shared" si="14"/>
        <v/>
      </c>
      <c r="AP35" s="38" t="str">
        <f>IF(L35="","",VLOOKUP($L35,classifications!$C:$E,3,FALSE))</f>
        <v>East of England</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77.376417647046452</v>
      </c>
      <c r="AY35" s="103"/>
      <c r="AZ35" s="21"/>
    </row>
    <row r="36" spans="1:52">
      <c r="A36" s="56" t="str">
        <f>$D$1&amp;26</f>
        <v>SD26</v>
      </c>
      <c r="B36" s="57" t="str">
        <f>IF(ISERROR(VLOOKUP(A36,classifications!A:C,3,FALSE)),0,VLOOKUP(A36,classifications!A:C,3,FALSE))</f>
        <v>Huntingdonshire</v>
      </c>
      <c r="C36" s="8" t="s">
        <v>262</v>
      </c>
      <c r="D36" s="26" t="str">
        <f>VLOOKUP($C36,classifications!$C:$J,4,FALSE)</f>
        <v>UA</v>
      </c>
      <c r="E36" s="26">
        <f>VLOOKUP(C36,classifications!C:K,9,FALSE)</f>
        <v>0</v>
      </c>
      <c r="F36" s="36" t="str">
        <f t="shared" si="0"/>
        <v>-</v>
      </c>
      <c r="G36" s="71"/>
      <c r="H36" s="37" t="str">
        <f t="shared" si="1"/>
        <v/>
      </c>
      <c r="I36" s="77" t="str">
        <f>IF(H36="","",IF($I$8="A",(RANK(H36,H$11:H$368,1)+COUNTIF(H$11:H36,H36)-1),(RANK(H36,H$11:H$368)+COUNTIF(H$11:H36,H36)-1)))</f>
        <v/>
      </c>
      <c r="J36" s="35"/>
      <c r="K36" s="28">
        <f t="shared" si="7"/>
        <v>26</v>
      </c>
      <c r="L36" s="36" t="str">
        <f t="shared" si="2"/>
        <v>South Oxfordshire</v>
      </c>
      <c r="M36" s="102">
        <f t="shared" si="22"/>
        <v>86.607379837809205</v>
      </c>
      <c r="N36" s="101">
        <f t="shared" si="23"/>
        <v>86.607379837809205</v>
      </c>
      <c r="O36" s="94">
        <f t="shared" si="8"/>
        <v>86.607379837809205</v>
      </c>
      <c r="P36" s="94" t="str">
        <f t="shared" si="18"/>
        <v/>
      </c>
      <c r="Q36" s="94" t="str">
        <f t="shared" si="19"/>
        <v/>
      </c>
      <c r="R36" s="90" t="str">
        <f t="shared" si="20"/>
        <v/>
      </c>
      <c r="S36" s="37" t="str">
        <f t="shared" si="9"/>
        <v/>
      </c>
      <c r="T36" s="176" t="str">
        <f>IF(L36="","",VLOOKUP(L36,classifications!C:K,9,FALSE))</f>
        <v>Sparse</v>
      </c>
      <c r="U36" s="183">
        <f t="shared" si="10"/>
        <v>86.607379837809205</v>
      </c>
      <c r="V36" s="184">
        <f>IF(U36="","",IF($I$8="A",(RANK(U36,U$11:U$368)+COUNTIF(U$11:U36,U36)-1),(RANK(U36,U$11:U$368,1)+COUNTIF(U$11:U36,U36)-1)))</f>
        <v>67</v>
      </c>
      <c r="W36" s="185"/>
      <c r="X36" s="38" t="str">
        <f>IF(L36="","",VLOOKUP($L36,classifications!$C:$J,6,FALSE))</f>
        <v xml:space="preserve">Mainly Rural (rural including hub towns &gt;=80%) </v>
      </c>
      <c r="Y36" s="26">
        <f t="shared" si="3"/>
        <v>86.607379837809205</v>
      </c>
      <c r="Z36" s="34">
        <f>IF(Y36="","",IF(I$8="A",(RANK(Y36,Y$11:Y$368,1)+COUNTIF(Y$11:Y36,Y36)-1),(RANK(Y36,Y$11:Y$368)+COUNTIF(Y$11:Y36,Y36)-1)))</f>
        <v>5</v>
      </c>
      <c r="AA36" s="188" t="str">
        <f>IF(L36="","",VLOOKUP($L36,classifications!C:I,7,FALSE))</f>
        <v>Predominantly Rural</v>
      </c>
      <c r="AB36" s="184">
        <f t="shared" si="11"/>
        <v>86.607379837809205</v>
      </c>
      <c r="AC36" s="184">
        <f>IF(AB36="","",IF($I$8="A",(RANK(AB36,AB$11:AB$368)+COUNTIF(AB$11:AB36,AB36)-1),(RANK(AB36,AB$11:AB$368,1)+COUNTIF(AB$11:AB36,AB36)-1)))</f>
        <v>66</v>
      </c>
      <c r="AD36" s="184"/>
      <c r="AE36" s="28" t="str">
        <f t="shared" si="24"/>
        <v/>
      </c>
      <c r="AG36" s="96"/>
      <c r="AH36" s="29"/>
      <c r="AI36" s="38" t="str">
        <f>IF(L36="","",VLOOKUP($L36,classifications!$C:$J,8,FALSE))</f>
        <v>Oxfordshire</v>
      </c>
      <c r="AJ36" s="39" t="str">
        <f t="shared" si="4"/>
        <v/>
      </c>
      <c r="AK36" s="34" t="str">
        <f>IF(AJ36="","",IF(I$8="A",(RANK(AJ36,AJ$11:AJ$368,1)+COUNTIF(AJ$11:AJ36,AJ36)-1),(RANK(AJ36,AJ$11:AJ$368)+COUNTIF(AJ$11:AJ36,AJ36)-1)))</f>
        <v/>
      </c>
      <c r="AL36" s="29" t="str">
        <f t="shared" si="13"/>
        <v/>
      </c>
      <c r="AM36" s="8" t="str">
        <f t="shared" si="5"/>
        <v/>
      </c>
      <c r="AN36" s="8" t="str">
        <f t="shared" si="14"/>
        <v/>
      </c>
      <c r="AP36" s="38" t="str">
        <f>IF(L36="","",VLOOKUP($L36,classifications!$C:$E,3,FALSE))</f>
        <v>South East</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SD27</v>
      </c>
      <c r="B37" s="57" t="str">
        <f>IF(ISERROR(VLOOKUP(A37,classifications!A:C,3,FALSE)),0,VLOOKUP(A37,classifications!A:C,3,FALSE))</f>
        <v>King's Lynn &amp; West Norfolk</v>
      </c>
      <c r="C37" s="8" t="s">
        <v>903</v>
      </c>
      <c r="D37" s="26" t="str">
        <f>VLOOKUP($C37,classifications!$C:$J,4,FALSE)</f>
        <v>UA</v>
      </c>
      <c r="E37" s="26">
        <f>VLOOKUP(C37,classifications!C:K,9,FALSE)</f>
        <v>0</v>
      </c>
      <c r="F37" s="36">
        <f t="shared" si="0"/>
        <v>83.969102855006</v>
      </c>
      <c r="G37" s="71"/>
      <c r="H37" s="37" t="str">
        <f t="shared" si="1"/>
        <v/>
      </c>
      <c r="I37" s="77" t="str">
        <f>IF(H37="","",IF($I$8="A",(RANK(H37,H$11:H$368,1)+COUNTIF(H$11:H37,H37)-1),(RANK(H37,H$11:H$368)+COUNTIF(H$11:H37,H37)-1)))</f>
        <v/>
      </c>
      <c r="J37" s="35"/>
      <c r="K37" s="28">
        <f t="shared" si="7"/>
        <v>27</v>
      </c>
      <c r="L37" s="36" t="str">
        <f t="shared" si="2"/>
        <v>Stroud</v>
      </c>
      <c r="M37" s="102">
        <f t="shared" si="22"/>
        <v>86.591064229964161</v>
      </c>
      <c r="N37" s="101">
        <f t="shared" si="23"/>
        <v>86.591064229964161</v>
      </c>
      <c r="O37" s="94">
        <f t="shared" si="8"/>
        <v>86.591064229964161</v>
      </c>
      <c r="P37" s="94" t="str">
        <f t="shared" si="18"/>
        <v/>
      </c>
      <c r="Q37" s="94" t="str">
        <f t="shared" si="19"/>
        <v/>
      </c>
      <c r="R37" s="90" t="str">
        <f t="shared" si="20"/>
        <v/>
      </c>
      <c r="S37" s="37" t="str">
        <f t="shared" si="9"/>
        <v/>
      </c>
      <c r="T37" s="176" t="str">
        <f>IF(L37="","",VLOOKUP(L37,classifications!C:K,9,FALSE))</f>
        <v>Sparse</v>
      </c>
      <c r="U37" s="183">
        <f t="shared" si="10"/>
        <v>86.591064229964161</v>
      </c>
      <c r="V37" s="184">
        <f>IF(U37="","",IF($I$8="A",(RANK(U37,U$11:U$368)+COUNTIF(U$11:U37,U37)-1),(RANK(U37,U$11:U$368,1)+COUNTIF(U$11:U37,U37)-1)))</f>
        <v>66</v>
      </c>
      <c r="W37" s="185"/>
      <c r="X37" s="38" t="str">
        <f>IF(L37="","",VLOOKUP($L37,classifications!$C:$J,6,FALSE))</f>
        <v>Urban with Significant Rural (rural including hub towns 26-49%)</v>
      </c>
      <c r="Y37" s="26" t="str">
        <f t="shared" si="3"/>
        <v/>
      </c>
      <c r="Z37" s="34" t="str">
        <f>IF(Y37="","",IF(I$8="A",(RANK(Y37,Y$11:Y$368,1)+COUNTIF(Y$11:Y37,Y37)-1),(RANK(Y37,Y$11:Y$368)+COUNTIF(Y$11:Y37,Y37)-1)))</f>
        <v/>
      </c>
      <c r="AA37" s="188" t="str">
        <f>IF(L37="","",VLOOKUP($L37,classifications!C:I,7,FALSE))</f>
        <v>Significant Rural</v>
      </c>
      <c r="AB37" s="184" t="str">
        <f t="shared" si="11"/>
        <v/>
      </c>
      <c r="AC37" s="184" t="str">
        <f>IF(AB37="","",IF($I$8="A",(RANK(AB37,AB$11:AB$368)+COUNTIF(AB$11:AB37,AB37)-1),(RANK(AB37,AB$11:AB$368,1)+COUNTIF(AB$11:AB37,AB37)-1)))</f>
        <v/>
      </c>
      <c r="AD37" s="184"/>
      <c r="AE37" s="28" t="str">
        <f t="shared" si="24"/>
        <v/>
      </c>
      <c r="AG37" s="96"/>
      <c r="AH37" s="29"/>
      <c r="AI37" s="38" t="str">
        <f>IF(L37="","",VLOOKUP($L37,classifications!$C:$J,8,FALSE))</f>
        <v>Gloucestershire</v>
      </c>
      <c r="AJ37" s="39" t="str">
        <f t="shared" si="4"/>
        <v/>
      </c>
      <c r="AK37" s="34" t="str">
        <f>IF(AJ37="","",IF(I$8="A",(RANK(AJ37,AJ$11:AJ$368,1)+COUNTIF(AJ$11:AJ37,AJ37)-1),(RANK(AJ37,AJ$11:AJ$368)+COUNTIF(AJ$11:AJ37,AJ37)-1)))</f>
        <v/>
      </c>
      <c r="AL37" s="29" t="str">
        <f t="shared" si="13"/>
        <v/>
      </c>
      <c r="AM37" s="8" t="str">
        <f t="shared" si="5"/>
        <v/>
      </c>
      <c r="AN37" s="8" t="str">
        <f t="shared" si="14"/>
        <v/>
      </c>
      <c r="AP37" s="38" t="str">
        <f>IF(L37="","",VLOOKUP($L37,classifications!$C:$E,3,FALSE))</f>
        <v>South West</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83.969102855006</v>
      </c>
      <c r="AY37" s="103"/>
      <c r="AZ37" s="21"/>
    </row>
    <row r="38" spans="1:52">
      <c r="A38" s="56" t="str">
        <f>$D$1&amp;28</f>
        <v>SD28</v>
      </c>
      <c r="B38" s="57" t="str">
        <f>IF(ISERROR(VLOOKUP(A38,classifications!A:C,3,FALSE)),0,VLOOKUP(A38,classifications!A:C,3,FALSE))</f>
        <v>Lewes</v>
      </c>
      <c r="C38" s="8" t="s">
        <v>263</v>
      </c>
      <c r="D38" s="26" t="str">
        <f>VLOOKUP($C38,classifications!$C:$J,4,FALSE)</f>
        <v>UA</v>
      </c>
      <c r="E38" s="26">
        <f>VLOOKUP(C38,classifications!C:K,9,FALSE)</f>
        <v>0</v>
      </c>
      <c r="F38" s="36">
        <f t="shared" si="0"/>
        <v>83.5646772483192</v>
      </c>
      <c r="G38" s="71"/>
      <c r="H38" s="37" t="str">
        <f t="shared" si="1"/>
        <v/>
      </c>
      <c r="I38" s="77" t="str">
        <f>IF(H38="","",IF($I$8="A",(RANK(H38,H$11:H$368,1)+COUNTIF(H$11:H38,H38)-1),(RANK(H38,H$11:H$368)+COUNTIF(H$11:H38,H38)-1)))</f>
        <v/>
      </c>
      <c r="J38" s="35"/>
      <c r="K38" s="28">
        <f t="shared" si="7"/>
        <v>28</v>
      </c>
      <c r="L38" s="36" t="str">
        <f t="shared" si="2"/>
        <v>Ribble Valley</v>
      </c>
      <c r="M38" s="102">
        <f t="shared" si="22"/>
        <v>86.534664357842871</v>
      </c>
      <c r="N38" s="101">
        <f t="shared" si="23"/>
        <v>86.534664357842871</v>
      </c>
      <c r="O38" s="94">
        <f t="shared" si="8"/>
        <v>86.534664357842871</v>
      </c>
      <c r="P38" s="94" t="str">
        <f t="shared" si="18"/>
        <v/>
      </c>
      <c r="Q38" s="94" t="str">
        <f t="shared" si="19"/>
        <v/>
      </c>
      <c r="R38" s="90" t="str">
        <f t="shared" si="20"/>
        <v/>
      </c>
      <c r="S38" s="37" t="str">
        <f t="shared" si="9"/>
        <v/>
      </c>
      <c r="T38" s="176" t="str">
        <f>IF(L38="","",VLOOKUP(L38,classifications!C:K,9,FALSE))</f>
        <v>Sparse</v>
      </c>
      <c r="U38" s="183">
        <f t="shared" si="10"/>
        <v>86.534664357842871</v>
      </c>
      <c r="V38" s="184">
        <f>IF(U38="","",IF($I$8="A",(RANK(U38,U$11:U$368)+COUNTIF(U$11:U38,U38)-1),(RANK(U38,U$11:U$368,1)+COUNTIF(U$11:U38,U38)-1)))</f>
        <v>65</v>
      </c>
      <c r="W38" s="185"/>
      <c r="X38" s="38" t="str">
        <f>IF(L38="","",VLOOKUP($L38,classifications!$C:$J,6,FALSE))</f>
        <v xml:space="preserve">Mainly Rural (rural including hub towns &gt;=80%) </v>
      </c>
      <c r="Y38" s="26">
        <f t="shared" si="3"/>
        <v>86.534664357842871</v>
      </c>
      <c r="Z38" s="34">
        <f>IF(Y38="","",IF(I$8="A",(RANK(Y38,Y$11:Y$368,1)+COUNTIF(Y$11:Y38,Y38)-1),(RANK(Y38,Y$11:Y$368)+COUNTIF(Y$11:Y38,Y38)-1)))</f>
        <v>6</v>
      </c>
      <c r="AA38" s="188" t="str">
        <f>IF(L38="","",VLOOKUP($L38,classifications!C:I,7,FALSE))</f>
        <v>Predominantly Rural</v>
      </c>
      <c r="AB38" s="184">
        <f t="shared" si="11"/>
        <v>86.534664357842871</v>
      </c>
      <c r="AC38" s="184">
        <f>IF(AB38="","",IF($I$8="A",(RANK(AB38,AB$11:AB$368)+COUNTIF(AB$11:AB38,AB38)-1),(RANK(AB38,AB$11:AB$368,1)+COUNTIF(AB$11:AB38,AB38)-1)))</f>
        <v>65</v>
      </c>
      <c r="AD38" s="184"/>
      <c r="AE38" s="28" t="str">
        <f t="shared" si="24"/>
        <v/>
      </c>
      <c r="AG38" s="96"/>
      <c r="AH38" s="29"/>
      <c r="AI38" s="38" t="str">
        <f>IF(L38="","",VLOOKUP($L38,classifications!$C:$J,8,FALSE))</f>
        <v>Lancashire</v>
      </c>
      <c r="AJ38" s="39" t="str">
        <f t="shared" si="4"/>
        <v/>
      </c>
      <c r="AK38" s="34" t="str">
        <f>IF(AJ38="","",IF(I$8="A",(RANK(AJ38,AJ$11:AJ$368,1)+COUNTIF(AJ$11:AJ38,AJ38)-1),(RANK(AJ38,AJ$11:AJ$368)+COUNTIF(AJ$11:AJ38,AJ38)-1)))</f>
        <v/>
      </c>
      <c r="AL38" s="29" t="str">
        <f t="shared" si="13"/>
        <v/>
      </c>
      <c r="AM38" s="8" t="str">
        <f t="shared" si="5"/>
        <v/>
      </c>
      <c r="AN38" s="8" t="str">
        <f t="shared" si="14"/>
        <v/>
      </c>
      <c r="AP38" s="38" t="str">
        <f>IF(L38="","",VLOOKUP($L38,classifications!$C:$E,3,FALSE))</f>
        <v>North West</v>
      </c>
      <c r="AQ38" s="39">
        <f t="shared" si="15"/>
        <v>86.534664357842871</v>
      </c>
      <c r="AR38" s="34">
        <f>IF(AQ38="","",IF(I$8="A",(RANK(AQ38,AQ$11:AQ$368,1)+COUNTIF(AQ$11:AQ38,AQ38)-1),(RANK(AQ38,AQ$11:AQ$368)+COUNTIF(AQ$11:AQ38,AQ38)-1)))</f>
        <v>1</v>
      </c>
      <c r="AS38" s="29" t="str">
        <f t="shared" si="16"/>
        <v/>
      </c>
      <c r="AT38" s="34" t="str">
        <f t="shared" si="6"/>
        <v/>
      </c>
      <c r="AU38" s="39" t="str">
        <f t="shared" si="17"/>
        <v/>
      </c>
      <c r="AX38" s="21">
        <f>HLOOKUP($AX$9&amp;$AX$10,Data!$A$1:$ZZ$2000,(MATCH($C38,Data!$A$1:$A$2000,0)),FALSE)</f>
        <v>83.5646772483192</v>
      </c>
      <c r="AY38" s="103"/>
      <c r="AZ38" s="21"/>
    </row>
    <row r="39" spans="1:52">
      <c r="A39" s="56" t="str">
        <f>$D$1&amp;29</f>
        <v>SD29</v>
      </c>
      <c r="B39" s="57" t="str">
        <f>IF(ISERROR(VLOOKUP(A39,classifications!A:C,3,FALSE)),0,VLOOKUP(A39,classifications!A:C,3,FALSE))</f>
        <v>Lichfield</v>
      </c>
      <c r="C39" s="8" t="s">
        <v>225</v>
      </c>
      <c r="D39" s="26" t="str">
        <f>VLOOKUP($C39,classifications!$C:$J,4,FALSE)</f>
        <v>MD</v>
      </c>
      <c r="E39" s="26">
        <f>VLOOKUP(C39,classifications!C:K,9,FALSE)</f>
        <v>0</v>
      </c>
      <c r="F39" s="36">
        <f t="shared" si="0"/>
        <v>76.875370276582558</v>
      </c>
      <c r="G39" s="71"/>
      <c r="H39" s="37" t="str">
        <f t="shared" si="1"/>
        <v/>
      </c>
      <c r="I39" s="77" t="str">
        <f>IF(H39="","",IF($I$8="A",(RANK(H39,H$11:H$368,1)+COUNTIF(H$11:H39,H39)-1),(RANK(H39,H$11:H$368)+COUNTIF(H$11:H39,H39)-1)))</f>
        <v/>
      </c>
      <c r="J39" s="35"/>
      <c r="K39" s="28">
        <f t="shared" si="7"/>
        <v>29</v>
      </c>
      <c r="L39" s="36" t="str">
        <f t="shared" si="2"/>
        <v>Harrogate</v>
      </c>
      <c r="M39" s="102">
        <f t="shared" si="22"/>
        <v>86.368889654737089</v>
      </c>
      <c r="N39" s="101">
        <f t="shared" si="23"/>
        <v>86.368889654737089</v>
      </c>
      <c r="O39" s="94">
        <f t="shared" si="8"/>
        <v>86.368889654737089</v>
      </c>
      <c r="P39" s="94" t="str">
        <f t="shared" si="18"/>
        <v/>
      </c>
      <c r="Q39" s="94" t="str">
        <f t="shared" si="19"/>
        <v/>
      </c>
      <c r="R39" s="90" t="str">
        <f t="shared" si="20"/>
        <v/>
      </c>
      <c r="S39" s="37" t="str">
        <f t="shared" si="9"/>
        <v/>
      </c>
      <c r="T39" s="176" t="str">
        <f>IF(L39="","",VLOOKUP(L39,classifications!C:K,9,FALSE))</f>
        <v>Sparse</v>
      </c>
      <c r="U39" s="183">
        <f t="shared" si="10"/>
        <v>86.368889654737089</v>
      </c>
      <c r="V39" s="184">
        <f>IF(U39="","",IF($I$8="A",(RANK(U39,U$11:U$368)+COUNTIF(U$11:U39,U39)-1),(RANK(U39,U$11:U$368,1)+COUNTIF(U$11:U39,U39)-1)))</f>
        <v>64</v>
      </c>
      <c r="W39" s="185"/>
      <c r="X39" s="38" t="str">
        <f>IF(L39="","",VLOOKUP($L39,classifications!$C:$J,6,FALSE))</f>
        <v>Urban with Significant Rural (rural including hub towns 26-49%)</v>
      </c>
      <c r="Y39" s="26" t="str">
        <f t="shared" si="3"/>
        <v/>
      </c>
      <c r="Z39" s="34" t="str">
        <f>IF(Y39="","",IF(I$8="A",(RANK(Y39,Y$11:Y$368,1)+COUNTIF(Y$11:Y39,Y39)-1),(RANK(Y39,Y$11:Y$368)+COUNTIF(Y$11:Y39,Y39)-1)))</f>
        <v/>
      </c>
      <c r="AA39" s="188" t="str">
        <f>IF(L39="","",VLOOKUP($L39,classifications!C:I,7,FALSE))</f>
        <v>Significant Rural</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North Yorkshire</v>
      </c>
      <c r="AJ39" s="39" t="str">
        <f t="shared" si="4"/>
        <v/>
      </c>
      <c r="AK39" s="34" t="str">
        <f>IF(AJ39="","",IF(I$8="A",(RANK(AJ39,AJ$11:AJ$368,1)+COUNTIF(AJ$11:AJ39,AJ39)-1),(RANK(AJ39,AJ$11:AJ$368)+COUNTIF(AJ$11:AJ39,AJ39)-1)))</f>
        <v/>
      </c>
      <c r="AL39" s="29" t="str">
        <f t="shared" si="13"/>
        <v/>
      </c>
      <c r="AM39" s="8" t="str">
        <f t="shared" si="5"/>
        <v/>
      </c>
      <c r="AN39" s="8" t="str">
        <f t="shared" si="14"/>
        <v/>
      </c>
      <c r="AP39" s="38" t="str">
        <f>IF(L39="","",VLOOKUP($L39,classifications!$C:$E,3,FALSE))</f>
        <v>Yorkshire &amp; Humberside</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76.875370276582558</v>
      </c>
      <c r="AY39" s="103"/>
      <c r="AZ39" s="21"/>
    </row>
    <row r="40" spans="1:52">
      <c r="A40" s="56" t="str">
        <f>$D$1&amp;30</f>
        <v>SD30</v>
      </c>
      <c r="B40" s="57" t="str">
        <f>IF(ISERROR(VLOOKUP(A40,classifications!A:C,3,FALSE)),0,VLOOKUP(A40,classifications!A:C,3,FALSE))</f>
        <v>Malvern Hills</v>
      </c>
      <c r="C40" s="8" t="s">
        <v>19</v>
      </c>
      <c r="D40" s="26" t="str">
        <f>VLOOKUP($C40,classifications!$C:$J,4,FALSE)</f>
        <v>SD</v>
      </c>
      <c r="E40" s="26" t="str">
        <f>VLOOKUP(C40,classifications!C:K,9,FALSE)</f>
        <v>Sparse</v>
      </c>
      <c r="F40" s="36">
        <f t="shared" si="0"/>
        <v>83.504014848256801</v>
      </c>
      <c r="G40" s="71"/>
      <c r="H40" s="37">
        <f t="shared" si="1"/>
        <v>83.504014848256801</v>
      </c>
      <c r="I40" s="77">
        <f>IF(H40="","",IF($I$8="A",(RANK(H40,H$11:H$368,1)+COUNTIF(H$11:H40,H40)-1),(RANK(H40,H$11:H$368)+COUNTIF(H$11:H40,H40)-1)))</f>
        <v>84</v>
      </c>
      <c r="J40" s="35"/>
      <c r="K40" s="28">
        <f t="shared" si="7"/>
        <v>30</v>
      </c>
      <c r="L40" s="36" t="str">
        <f t="shared" si="2"/>
        <v>Malvern Hills</v>
      </c>
      <c r="M40" s="102">
        <f t="shared" si="22"/>
        <v>86.323077218978213</v>
      </c>
      <c r="N40" s="101">
        <f t="shared" si="23"/>
        <v>86.323077218978213</v>
      </c>
      <c r="O40" s="94">
        <f t="shared" si="8"/>
        <v>86.323077218978213</v>
      </c>
      <c r="P40" s="94" t="str">
        <f t="shared" si="18"/>
        <v/>
      </c>
      <c r="Q40" s="94" t="str">
        <f t="shared" si="19"/>
        <v/>
      </c>
      <c r="R40" s="90" t="str">
        <f t="shared" si="20"/>
        <v/>
      </c>
      <c r="S40" s="37" t="str">
        <f t="shared" si="9"/>
        <v/>
      </c>
      <c r="T40" s="176" t="str">
        <f>IF(L40="","",VLOOKUP(L40,classifications!C:K,9,FALSE))</f>
        <v>Sparse</v>
      </c>
      <c r="U40" s="183">
        <f t="shared" si="10"/>
        <v>86.323077218978213</v>
      </c>
      <c r="V40" s="184">
        <f>IF(U40="","",IF($I$8="A",(RANK(U40,U$11:U$368)+COUNTIF(U$11:U40,U40)-1),(RANK(U40,U$11:U$368,1)+COUNTIF(U$11:U40,U40)-1)))</f>
        <v>63</v>
      </c>
      <c r="W40" s="185"/>
      <c r="X40" s="38" t="str">
        <f>IF(L40="","",VLOOKUP($L40,classifications!$C:$J,6,FALSE))</f>
        <v xml:space="preserve">Largely Rural (rural including hub towns 50-79%) </v>
      </c>
      <c r="Y40" s="26" t="str">
        <f t="shared" si="3"/>
        <v/>
      </c>
      <c r="Z40" s="34" t="str">
        <f>IF(Y40="","",IF(I$8="A",(RANK(Y40,Y$11:Y$368,1)+COUNTIF(Y$11:Y40,Y40)-1),(RANK(Y40,Y$11:Y$368)+COUNTIF(Y$11:Y40,Y40)-1)))</f>
        <v/>
      </c>
      <c r="AA40" s="188" t="str">
        <f>IF(L40="","",VLOOKUP($L40,classifications!C:I,7,FALSE))</f>
        <v>Predominantly Rural</v>
      </c>
      <c r="AB40" s="184">
        <f t="shared" si="11"/>
        <v>86.323077218978213</v>
      </c>
      <c r="AC40" s="184">
        <f>IF(AB40="","",IF($I$8="A",(RANK(AB40,AB$11:AB$368)+COUNTIF(AB$11:AB40,AB40)-1),(RANK(AB40,AB$11:AB$368,1)+COUNTIF(AB$11:AB40,AB40)-1)))</f>
        <v>64</v>
      </c>
      <c r="AD40" s="184"/>
      <c r="AE40" s="28" t="str">
        <f t="shared" si="24"/>
        <v/>
      </c>
      <c r="AG40" s="96"/>
      <c r="AH40" s="29"/>
      <c r="AI40" s="38" t="str">
        <f>IF(L40="","",VLOOKUP($L40,classifications!$C:$J,8,FALSE))</f>
        <v>Worcestershire</v>
      </c>
      <c r="AJ40" s="39" t="str">
        <f t="shared" si="4"/>
        <v/>
      </c>
      <c r="AK40" s="34" t="str">
        <f>IF(AJ40="","",IF(I$8="A",(RANK(AJ40,AJ$11:AJ$368,1)+COUNTIF(AJ$11:AJ40,AJ40)-1),(RANK(AJ40,AJ$11:AJ$368)+COUNTIF(AJ$11:AJ40,AJ40)-1)))</f>
        <v/>
      </c>
      <c r="AL40" s="29" t="str">
        <f t="shared" si="13"/>
        <v/>
      </c>
      <c r="AM40" s="8" t="str">
        <f t="shared" si="5"/>
        <v/>
      </c>
      <c r="AN40" s="8" t="str">
        <f t="shared" si="14"/>
        <v/>
      </c>
      <c r="AP40" s="38" t="str">
        <f>IF(L40="","",VLOOKUP($L40,classifications!$C:$E,3,FALSE))</f>
        <v>West Midlands</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83.504014848256801</v>
      </c>
      <c r="AY40" s="103"/>
      <c r="AZ40" s="21"/>
    </row>
    <row r="41" spans="1:52">
      <c r="A41" s="56" t="str">
        <f>$D$1&amp;31</f>
        <v>SD31</v>
      </c>
      <c r="B41" s="57" t="str">
        <f>IF(ISERROR(VLOOKUP(A41,classifications!A:C,3,FALSE)),0,VLOOKUP(A41,classifications!A:C,3,FALSE))</f>
        <v>Melton</v>
      </c>
      <c r="C41" s="8" t="s">
        <v>20</v>
      </c>
      <c r="D41" s="26" t="str">
        <f>VLOOKUP($C41,classifications!$C:$J,4,FALSE)</f>
        <v>SD</v>
      </c>
      <c r="E41" s="26" t="str">
        <f>VLOOKUP(C41,classifications!C:K,9,FALSE)</f>
        <v>Sparse</v>
      </c>
      <c r="F41" s="36">
        <f t="shared" si="0"/>
        <v>78.495439019773201</v>
      </c>
      <c r="G41" s="71"/>
      <c r="H41" s="37">
        <f t="shared" si="1"/>
        <v>78.495439019773201</v>
      </c>
      <c r="I41" s="77">
        <f>IF(H41="","",IF($I$8="A",(RANK(H41,H$11:H$368,1)+COUNTIF(H$11:H41,H41)-1),(RANK(H41,H$11:H$368)+COUNTIF(H$11:H41,H41)-1)))</f>
        <v>159</v>
      </c>
      <c r="J41" s="35"/>
      <c r="K41" s="28">
        <f t="shared" si="7"/>
        <v>31</v>
      </c>
      <c r="L41" s="36" t="str">
        <f t="shared" si="2"/>
        <v>Arun</v>
      </c>
      <c r="M41" s="102">
        <f t="shared" si="22"/>
        <v>86.183848082296933</v>
      </c>
      <c r="N41" s="101">
        <f t="shared" si="23"/>
        <v>86.183848082296933</v>
      </c>
      <c r="O41" s="94">
        <f t="shared" si="8"/>
        <v>86.183848082296933</v>
      </c>
      <c r="P41" s="94" t="str">
        <f t="shared" si="18"/>
        <v/>
      </c>
      <c r="Q41" s="94" t="str">
        <f t="shared" si="19"/>
        <v/>
      </c>
      <c r="R41" s="90" t="str">
        <f t="shared" si="20"/>
        <v/>
      </c>
      <c r="S41" s="37" t="str">
        <f t="shared" si="9"/>
        <v/>
      </c>
      <c r="T41" s="176">
        <f>IF(L41="","",VLOOKUP(L41,classifications!C:K,9,FALSE))</f>
        <v>0</v>
      </c>
      <c r="U41" s="183" t="str">
        <f t="shared" si="10"/>
        <v/>
      </c>
      <c r="V41" s="184" t="str">
        <f>IF(U41="","",IF($I$8="A",(RANK(U41,U$11:U$368)+COUNTIF(U$11:U41,U41)-1),(RANK(U41,U$11:U$368,1)+COUNTIF(U$11:U41,U41)-1)))</f>
        <v/>
      </c>
      <c r="W41" s="185"/>
      <c r="X41" s="38" t="str">
        <f>IF(L41="","",VLOOKUP($L41,classifications!$C:$J,6,FALSE))</f>
        <v>Urban with City and Town</v>
      </c>
      <c r="Y41" s="26" t="str">
        <f t="shared" si="3"/>
        <v/>
      </c>
      <c r="Z41" s="34" t="str">
        <f>IF(Y41="","",IF(I$8="A",(RANK(Y41,Y$11:Y$368,1)+COUNTIF(Y$11:Y41,Y41)-1),(RANK(Y41,Y$11:Y$368)+COUNTIF(Y$11:Y41,Y41)-1)))</f>
        <v/>
      </c>
      <c r="AA41" s="188" t="str">
        <f>IF(L41="","",VLOOKUP($L41,classifications!C:I,7,FALSE))</f>
        <v>Predominantly Urban</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West Sussex</v>
      </c>
      <c r="AJ41" s="39" t="str">
        <f t="shared" si="4"/>
        <v/>
      </c>
      <c r="AK41" s="34" t="str">
        <f>IF(AJ41="","",IF(I$8="A",(RANK(AJ41,AJ$11:AJ$368,1)+COUNTIF(AJ$11:AJ41,AJ41)-1),(RANK(AJ41,AJ$11:AJ$368)+COUNTIF(AJ$11:AJ41,AJ41)-1)))</f>
        <v/>
      </c>
      <c r="AL41" s="29" t="str">
        <f t="shared" si="13"/>
        <v/>
      </c>
      <c r="AM41" s="8" t="str">
        <f t="shared" si="5"/>
        <v/>
      </c>
      <c r="AN41" s="8" t="str">
        <f t="shared" si="14"/>
        <v/>
      </c>
      <c r="AP41" s="38" t="str">
        <f>IF(L41="","",VLOOKUP($L41,classifications!$C:$E,3,FALSE))</f>
        <v>South East</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78.495439019773201</v>
      </c>
      <c r="AY41" s="103"/>
      <c r="AZ41" s="21"/>
    </row>
    <row r="42" spans="1:52">
      <c r="A42" s="56" t="str">
        <f>$D$1&amp;32</f>
        <v>SD32</v>
      </c>
      <c r="B42" s="57" t="str">
        <f>IF(ISERROR(VLOOKUP(A42,classifications!A:C,3,FALSE)),0,VLOOKUP(A42,classifications!A:C,3,FALSE))</f>
        <v>Mendip</v>
      </c>
      <c r="C42" s="8" t="s">
        <v>198</v>
      </c>
      <c r="D42" s="26" t="str">
        <f>VLOOKUP($C42,classifications!$C:$J,4,FALSE)</f>
        <v>L</v>
      </c>
      <c r="E42" s="26">
        <f>VLOOKUP(C42,classifications!C:K,9,FALSE)</f>
        <v>0</v>
      </c>
      <c r="F42" s="36">
        <f t="shared" si="0"/>
        <v>75.401504393934218</v>
      </c>
      <c r="G42" s="71"/>
      <c r="H42" s="37" t="str">
        <f t="shared" si="1"/>
        <v/>
      </c>
      <c r="I42" s="77" t="str">
        <f>IF(H42="","",IF($I$8="A",(RANK(H42,H$11:H$368,1)+COUNTIF(H$11:H42,H42)-1),(RANK(H42,H$11:H$368)+COUNTIF(H$11:H42,H42)-1)))</f>
        <v/>
      </c>
      <c r="J42" s="35"/>
      <c r="K42" s="28">
        <f t="shared" si="7"/>
        <v>32</v>
      </c>
      <c r="L42" s="36" t="str">
        <f t="shared" si="2"/>
        <v>St Albans</v>
      </c>
      <c r="M42" s="102">
        <f t="shared" si="22"/>
        <v>86.168577447552352</v>
      </c>
      <c r="N42" s="101">
        <f t="shared" si="23"/>
        <v>86.168577447552352</v>
      </c>
      <c r="O42" s="94">
        <f t="shared" si="8"/>
        <v>86.168577447552352</v>
      </c>
      <c r="P42" s="94" t="str">
        <f t="shared" si="18"/>
        <v/>
      </c>
      <c r="Q42" s="94" t="str">
        <f t="shared" si="19"/>
        <v/>
      </c>
      <c r="R42" s="90" t="str">
        <f t="shared" si="20"/>
        <v/>
      </c>
      <c r="S42" s="37" t="str">
        <f t="shared" si="9"/>
        <v/>
      </c>
      <c r="T42" s="176">
        <f>IF(L42="","",VLOOKUP(L42,classifications!C:K,9,FALSE))</f>
        <v>0</v>
      </c>
      <c r="U42" s="183" t="str">
        <f t="shared" si="10"/>
        <v/>
      </c>
      <c r="V42" s="184" t="str">
        <f>IF(U42="","",IF($I$8="A",(RANK(U42,U$11:U$368)+COUNTIF(U$11:U42,U42)-1),(RANK(U42,U$11:U$368,1)+COUNTIF(U$11:U42,U42)-1)))</f>
        <v/>
      </c>
      <c r="W42" s="185"/>
      <c r="X42" s="38" t="str">
        <f>IF(L42="","",VLOOKUP($L42,classifications!$C:$J,6,FALSE))</f>
        <v>Urban with City and Town</v>
      </c>
      <c r="Y42" s="26" t="str">
        <f t="shared" si="3"/>
        <v/>
      </c>
      <c r="Z42" s="34" t="str">
        <f>IF(Y42="","",IF(I$8="A",(RANK(Y42,Y$11:Y$368,1)+COUNTIF(Y$11:Y42,Y42)-1),(RANK(Y42,Y$11:Y$368)+COUNTIF(Y$11:Y42,Y42)-1)))</f>
        <v/>
      </c>
      <c r="AA42" s="188" t="str">
        <f>IF(L42="","",VLOOKUP($L42,classifications!C:I,7,FALSE))</f>
        <v>Predominantly Urban</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Hertfordshire</v>
      </c>
      <c r="AJ42" s="39" t="str">
        <f t="shared" si="4"/>
        <v/>
      </c>
      <c r="AK42" s="34" t="str">
        <f>IF(AJ42="","",IF(I$8="A",(RANK(AJ42,AJ$11:AJ$368,1)+COUNTIF(AJ$11:AJ42,AJ42)-1),(RANK(AJ42,AJ$11:AJ$368)+COUNTIF(AJ$11:AJ42,AJ42)-1)))</f>
        <v/>
      </c>
      <c r="AL42" s="29" t="str">
        <f t="shared" si="13"/>
        <v/>
      </c>
      <c r="AM42" s="8" t="str">
        <f t="shared" si="5"/>
        <v/>
      </c>
      <c r="AN42" s="8" t="str">
        <f t="shared" si="14"/>
        <v/>
      </c>
      <c r="AP42" s="38" t="str">
        <f>IF(L42="","",VLOOKUP($L42,classifications!$C:$E,3,FALSE))</f>
        <v>East of England</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75.401504393934218</v>
      </c>
      <c r="AY42" s="103"/>
      <c r="AZ42" s="21"/>
    </row>
    <row r="43" spans="1:52">
      <c r="A43" s="56" t="str">
        <f>$D$1&amp;33</f>
        <v>SD33</v>
      </c>
      <c r="B43" s="57" t="str">
        <f>IF(ISERROR(VLOOKUP(A43,classifications!A:C,3,FALSE)),0,VLOOKUP(A43,classifications!A:C,3,FALSE))</f>
        <v>Mid Devon</v>
      </c>
      <c r="C43" s="8" t="s">
        <v>21</v>
      </c>
      <c r="D43" s="26" t="str">
        <f>VLOOKUP($C43,classifications!$C:$J,4,FALSE)</f>
        <v>SD</v>
      </c>
      <c r="E43" s="26">
        <f>VLOOKUP(C43,classifications!C:K,9,FALSE)</f>
        <v>0</v>
      </c>
      <c r="F43" s="36">
        <f t="shared" si="0"/>
        <v>82.399382815606671</v>
      </c>
      <c r="G43" s="71"/>
      <c r="H43" s="37">
        <f t="shared" si="1"/>
        <v>82.399382815606671</v>
      </c>
      <c r="I43" s="77">
        <f>IF(H43="","",IF($I$8="A",(RANK(H43,H$11:H$368,1)+COUNTIF(H$11:H43,H43)-1),(RANK(H43,H$11:H$368)+COUNTIF(H$11:H43,H43)-1)))</f>
        <v>96</v>
      </c>
      <c r="J43" s="35"/>
      <c r="K43" s="28">
        <f t="shared" si="7"/>
        <v>33</v>
      </c>
      <c r="L43" s="36" t="str">
        <f t="shared" si="2"/>
        <v>Teignbridge</v>
      </c>
      <c r="M43" s="102">
        <f t="shared" si="22"/>
        <v>86.165762834249961</v>
      </c>
      <c r="N43" s="101">
        <f t="shared" si="23"/>
        <v>86.165762834249961</v>
      </c>
      <c r="O43" s="94">
        <f t="shared" si="8"/>
        <v>86.165762834249961</v>
      </c>
      <c r="P43" s="94" t="str">
        <f t="shared" si="18"/>
        <v/>
      </c>
      <c r="Q43" s="94" t="str">
        <f t="shared" si="19"/>
        <v/>
      </c>
      <c r="R43" s="90" t="str">
        <f t="shared" si="20"/>
        <v/>
      </c>
      <c r="S43" s="37" t="str">
        <f t="shared" si="9"/>
        <v/>
      </c>
      <c r="T43" s="176" t="str">
        <f>IF(L43="","",VLOOKUP(L43,classifications!C:K,9,FALSE))</f>
        <v>Sparse</v>
      </c>
      <c r="U43" s="183">
        <f t="shared" ref="U43:U74" si="25">IF(T43="Sparse",M43,"")</f>
        <v>86.165762834249961</v>
      </c>
      <c r="V43" s="184">
        <f>IF(U43="","",IF($I$8="A",(RANK(U43,U$11:U$368)+COUNTIF(U$11:U43,U43)-1),(RANK(U43,U$11:U$368,1)+COUNTIF(U$11:U43,U43)-1)))</f>
        <v>62</v>
      </c>
      <c r="W43" s="185"/>
      <c r="X43" s="38" t="str">
        <f>IF(L43="","",VLOOKUP($L43,classifications!$C:$J,6,FALSE))</f>
        <v xml:space="preserve">Largely Rural (rural including hub towns 50-79%) </v>
      </c>
      <c r="Y43" s="26" t="str">
        <f t="shared" si="3"/>
        <v/>
      </c>
      <c r="Z43" s="34" t="str">
        <f>IF(Y43="","",IF(I$8="A",(RANK(Y43,Y$11:Y$368,1)+COUNTIF(Y$11:Y43,Y43)-1),(RANK(Y43,Y$11:Y$368)+COUNTIF(Y$11:Y43,Y43)-1)))</f>
        <v/>
      </c>
      <c r="AA43" s="188" t="str">
        <f>IF(L43="","",VLOOKUP($L43,classifications!C:I,7,FALSE))</f>
        <v>Predominantly Rural</v>
      </c>
      <c r="AB43" s="184">
        <f t="shared" si="11"/>
        <v>86.165762834249961</v>
      </c>
      <c r="AC43" s="184">
        <f>IF(AB43="","",IF($I$8="A",(RANK(AB43,AB$11:AB$368)+COUNTIF(AB$11:AB43,AB43)-1),(RANK(AB43,AB$11:AB$368,1)+COUNTIF(AB$11:AB43,AB43)-1)))</f>
        <v>63</v>
      </c>
      <c r="AD43" s="184"/>
      <c r="AE43" s="28" t="str">
        <f t="shared" si="24"/>
        <v/>
      </c>
      <c r="AG43" s="96"/>
      <c r="AH43" s="29"/>
      <c r="AI43" s="38" t="str">
        <f>IF(L43="","",VLOOKUP($L43,classifications!$C:$J,8,FALSE))</f>
        <v>Devon</v>
      </c>
      <c r="AJ43" s="39" t="str">
        <f t="shared" si="4"/>
        <v/>
      </c>
      <c r="AK43" s="34" t="str">
        <f>IF(AJ43="","",IF(I$8="A",(RANK(AJ43,AJ$11:AJ$368,1)+COUNTIF(AJ$11:AJ43,AJ43)-1),(RANK(AJ43,AJ$11:AJ$368)+COUNTIF(AJ$11:AJ43,AJ43)-1)))</f>
        <v/>
      </c>
      <c r="AL43" s="29" t="str">
        <f t="shared" si="13"/>
        <v/>
      </c>
      <c r="AM43" s="8" t="str">
        <f t="shared" si="5"/>
        <v/>
      </c>
      <c r="AN43" s="8" t="str">
        <f t="shared" si="14"/>
        <v/>
      </c>
      <c r="AP43" s="38" t="str">
        <f>IF(L43="","",VLOOKUP($L43,classifications!$C:$E,3,FALSE))</f>
        <v>South West</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82.399382815606671</v>
      </c>
      <c r="AY43" s="103"/>
      <c r="AZ43" s="21"/>
    </row>
    <row r="44" spans="1:52">
      <c r="A44" s="56" t="str">
        <f>$D$1&amp;34</f>
        <v>SD34</v>
      </c>
      <c r="B44" s="57" t="str">
        <f>IF(ISERROR(VLOOKUP(A44,classifications!A:C,3,FALSE)),0,VLOOKUP(A44,classifications!A:C,3,FALSE))</f>
        <v>Mid Suffolk</v>
      </c>
      <c r="C44" s="8" t="s">
        <v>811</v>
      </c>
      <c r="D44" s="26" t="str">
        <f>VLOOKUP($C44,classifications!$C:$J,4,FALSE)</f>
        <v>UA</v>
      </c>
      <c r="E44" s="26">
        <f>VLOOKUP(C44,classifications!C:K,9,FALSE)</f>
        <v>0</v>
      </c>
      <c r="F44" s="36">
        <f t="shared" si="0"/>
        <v>89.284444791016085</v>
      </c>
      <c r="G44" s="71"/>
      <c r="H44" s="37" t="str">
        <f t="shared" si="1"/>
        <v/>
      </c>
      <c r="I44" s="77" t="str">
        <f>IF(H44="","",IF($I$8="A",(RANK(H44,H$11:H$368,1)+COUNTIF(H$11:H44,H44)-1),(RANK(H44,H$11:H$368)+COUNTIF(H$11:H44,H44)-1)))</f>
        <v/>
      </c>
      <c r="J44" s="35"/>
      <c r="K44" s="28">
        <f t="shared" si="7"/>
        <v>34</v>
      </c>
      <c r="L44" s="36" t="str">
        <f t="shared" si="2"/>
        <v>Mendip</v>
      </c>
      <c r="M44" s="102">
        <f t="shared" si="22"/>
        <v>86.158562537308995</v>
      </c>
      <c r="N44" s="101">
        <f t="shared" si="23"/>
        <v>86.158562537308995</v>
      </c>
      <c r="O44" s="94">
        <f t="shared" si="8"/>
        <v>86.158562537308995</v>
      </c>
      <c r="P44" s="94" t="str">
        <f t="shared" si="18"/>
        <v/>
      </c>
      <c r="Q44" s="94" t="str">
        <f t="shared" si="19"/>
        <v/>
      </c>
      <c r="R44" s="90" t="str">
        <f t="shared" si="20"/>
        <v/>
      </c>
      <c r="S44" s="37" t="str">
        <f t="shared" si="9"/>
        <v/>
      </c>
      <c r="T44" s="176" t="str">
        <f>IF(L44="","",VLOOKUP(L44,classifications!C:K,9,FALSE))</f>
        <v>Sparse</v>
      </c>
      <c r="U44" s="183">
        <f t="shared" si="25"/>
        <v>86.158562537308995</v>
      </c>
      <c r="V44" s="184">
        <f>IF(U44="","",IF($I$8="A",(RANK(U44,U$11:U$368)+COUNTIF(U$11:U44,U44)-1),(RANK(U44,U$11:U$368,1)+COUNTIF(U$11:U44,U44)-1)))</f>
        <v>61</v>
      </c>
      <c r="W44" s="185"/>
      <c r="X44" s="38" t="str">
        <f>IF(L44="","",VLOOKUP($L44,classifications!$C:$J,6,FALSE))</f>
        <v xml:space="preserve">Mainly Rural (rural including hub towns &gt;=80%) </v>
      </c>
      <c r="Y44" s="26">
        <f t="shared" si="3"/>
        <v>86.158562537308995</v>
      </c>
      <c r="Z44" s="34">
        <f>IF(Y44="","",IF(I$8="A",(RANK(Y44,Y$11:Y$368,1)+COUNTIF(Y$11:Y44,Y44)-1),(RANK(Y44,Y$11:Y$368)+COUNTIF(Y$11:Y44,Y44)-1)))</f>
        <v>7</v>
      </c>
      <c r="AA44" s="188" t="str">
        <f>IF(L44="","",VLOOKUP($L44,classifications!C:I,7,FALSE))</f>
        <v>Predominantly Rural</v>
      </c>
      <c r="AB44" s="184">
        <f t="shared" si="11"/>
        <v>86.158562537308995</v>
      </c>
      <c r="AC44" s="184">
        <f>IF(AB44="","",IF($I$8="A",(RANK(AB44,AB$11:AB$368)+COUNTIF(AB$11:AB44,AB44)-1),(RANK(AB44,AB$11:AB$368,1)+COUNTIF(AB$11:AB44,AB44)-1)))</f>
        <v>62</v>
      </c>
      <c r="AD44" s="184"/>
      <c r="AE44" s="28" t="str">
        <f t="shared" si="24"/>
        <v/>
      </c>
      <c r="AG44" s="96"/>
      <c r="AH44" s="29"/>
      <c r="AI44" s="38" t="str">
        <f>IF(L44="","",VLOOKUP($L44,classifications!$C:$J,8,FALSE))</f>
        <v>Somerset</v>
      </c>
      <c r="AJ44" s="39" t="str">
        <f t="shared" si="4"/>
        <v/>
      </c>
      <c r="AK44" s="34" t="str">
        <f>IF(AJ44="","",IF(I$8="A",(RANK(AJ44,AJ$11:AJ$368,1)+COUNTIF(AJ$11:AJ44,AJ44)-1),(RANK(AJ44,AJ$11:AJ$368)+COUNTIF(AJ$11:AJ44,AJ44)-1)))</f>
        <v/>
      </c>
      <c r="AL44" s="29" t="str">
        <f t="shared" si="13"/>
        <v/>
      </c>
      <c r="AM44" s="8" t="str">
        <f t="shared" si="5"/>
        <v/>
      </c>
      <c r="AN44" s="8" t="str">
        <f t="shared" si="14"/>
        <v/>
      </c>
      <c r="AP44" s="38" t="str">
        <f>IF(L44="","",VLOOKUP($L44,classifications!$C:$E,3,FALSE))</f>
        <v>South West</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89.284444791016085</v>
      </c>
      <c r="AY44" s="103"/>
      <c r="AZ44" s="21"/>
    </row>
    <row r="45" spans="1:52">
      <c r="A45" s="56" t="str">
        <f>$D$1&amp;35</f>
        <v>SD35</v>
      </c>
      <c r="B45" s="57" t="str">
        <f>IF(ISERROR(VLOOKUP(A45,classifications!A:C,3,FALSE)),0,VLOOKUP(A45,classifications!A:C,3,FALSE))</f>
        <v>Mid Sussex</v>
      </c>
      <c r="C45" s="8" t="s">
        <v>815</v>
      </c>
      <c r="D45" s="26" t="str">
        <f>VLOOKUP($C45,classifications!$C:$J,4,FALSE)</f>
        <v>UA</v>
      </c>
      <c r="E45" s="26">
        <f>VLOOKUP(C45,classifications!C:K,9,FALSE)</f>
        <v>0</v>
      </c>
      <c r="F45" s="36">
        <f t="shared" si="0"/>
        <v>85.827032869119492</v>
      </c>
      <c r="G45" s="71"/>
      <c r="H45" s="37" t="str">
        <f t="shared" si="1"/>
        <v/>
      </c>
      <c r="I45" s="77" t="str">
        <f>IF(H45="","",IF($I$8="A",(RANK(H45,H$11:H$368,1)+COUNTIF(H$11:H45,H45)-1),(RANK(H45,H$11:H$368)+COUNTIF(H$11:H45,H45)-1)))</f>
        <v/>
      </c>
      <c r="J45" s="35"/>
      <c r="K45" s="28">
        <f t="shared" si="7"/>
        <v>35</v>
      </c>
      <c r="L45" s="36" t="str">
        <f t="shared" si="2"/>
        <v>South Lakeland</v>
      </c>
      <c r="M45" s="102">
        <f t="shared" si="22"/>
        <v>86.127920184335537</v>
      </c>
      <c r="N45" s="101">
        <f t="shared" si="23"/>
        <v>86.127920184335537</v>
      </c>
      <c r="O45" s="94">
        <f t="shared" si="8"/>
        <v>86.127920184335537</v>
      </c>
      <c r="P45" s="94" t="str">
        <f t="shared" si="18"/>
        <v/>
      </c>
      <c r="Q45" s="94" t="str">
        <f t="shared" si="19"/>
        <v/>
      </c>
      <c r="R45" s="90" t="str">
        <f t="shared" si="20"/>
        <v/>
      </c>
      <c r="S45" s="37" t="str">
        <f t="shared" si="9"/>
        <v/>
      </c>
      <c r="T45" s="176" t="str">
        <f>IF(L45="","",VLOOKUP(L45,classifications!C:K,9,FALSE))</f>
        <v>Sparse</v>
      </c>
      <c r="U45" s="183">
        <f t="shared" si="25"/>
        <v>86.127920184335537</v>
      </c>
      <c r="V45" s="184">
        <f>IF(U45="","",IF($I$8="A",(RANK(U45,U$11:U$368)+COUNTIF(U$11:U45,U45)-1),(RANK(U45,U$11:U$368,1)+COUNTIF(U$11:U45,U45)-1)))</f>
        <v>60</v>
      </c>
      <c r="W45" s="185"/>
      <c r="X45" s="38" t="str">
        <f>IF(L45="","",VLOOKUP($L45,classifications!$C:$J,6,FALSE))</f>
        <v xml:space="preserve">Mainly Rural (rural including hub towns &gt;=80%) </v>
      </c>
      <c r="Y45" s="26">
        <f t="shared" si="3"/>
        <v>86.127920184335537</v>
      </c>
      <c r="Z45" s="34">
        <f>IF(Y45="","",IF(I$8="A",(RANK(Y45,Y$11:Y$368,1)+COUNTIF(Y$11:Y45,Y45)-1),(RANK(Y45,Y$11:Y$368)+COUNTIF(Y$11:Y45,Y45)-1)))</f>
        <v>8</v>
      </c>
      <c r="AA45" s="188" t="str">
        <f>IF(L45="","",VLOOKUP($L45,classifications!C:I,7,FALSE))</f>
        <v>Predominantly Rural</v>
      </c>
      <c r="AB45" s="184">
        <f t="shared" si="11"/>
        <v>86.127920184335537</v>
      </c>
      <c r="AC45" s="184">
        <f>IF(AB45="","",IF($I$8="A",(RANK(AB45,AB$11:AB$368)+COUNTIF(AB$11:AB45,AB45)-1),(RANK(AB45,AB$11:AB$368,1)+COUNTIF(AB$11:AB45,AB45)-1)))</f>
        <v>61</v>
      </c>
      <c r="AD45" s="184"/>
      <c r="AE45" s="28" t="str">
        <f t="shared" si="24"/>
        <v/>
      </c>
      <c r="AG45" s="96"/>
      <c r="AH45" s="29"/>
      <c r="AI45" s="38" t="str">
        <f>IF(L45="","",VLOOKUP($L45,classifications!$C:$J,8,FALSE))</f>
        <v>Cumbria</v>
      </c>
      <c r="AJ45" s="39">
        <f t="shared" si="4"/>
        <v>86.127920184335537</v>
      </c>
      <c r="AK45" s="34">
        <f>IF(AJ45="","",IF(I$8="A",(RANK(AJ45,AJ$11:AJ$368,1)+COUNTIF(AJ$11:AJ45,AJ45)-1),(RANK(AJ45,AJ$11:AJ$368)+COUNTIF(AJ$11:AJ45,AJ45)-1)))</f>
        <v>1</v>
      </c>
      <c r="AL45" s="29" t="str">
        <f t="shared" si="13"/>
        <v/>
      </c>
      <c r="AM45" s="8" t="str">
        <f t="shared" si="5"/>
        <v/>
      </c>
      <c r="AN45" s="8" t="str">
        <f t="shared" si="14"/>
        <v/>
      </c>
      <c r="AP45" s="38" t="str">
        <f>IF(L45="","",VLOOKUP($L45,classifications!$C:$E,3,FALSE))</f>
        <v>North West</v>
      </c>
      <c r="AQ45" s="39">
        <f t="shared" si="15"/>
        <v>86.127920184335537</v>
      </c>
      <c r="AR45" s="34">
        <f>IF(AQ45="","",IF(I$8="A",(RANK(AQ45,AQ$11:AQ$368,1)+COUNTIF(AQ$11:AQ45,AQ45)-1),(RANK(AQ45,AQ$11:AQ$368)+COUNTIF(AQ$11:AQ45,AQ45)-1)))</f>
        <v>2</v>
      </c>
      <c r="AS45" s="29" t="str">
        <f t="shared" si="16"/>
        <v/>
      </c>
      <c r="AT45" s="34" t="str">
        <f t="shared" si="6"/>
        <v/>
      </c>
      <c r="AU45" s="39" t="str">
        <f t="shared" si="17"/>
        <v/>
      </c>
      <c r="AX45" s="21">
        <f>HLOOKUP($AX$9&amp;$AX$10,Data!$A$1:$ZZ$2000,(MATCH($C45,Data!$A$1:$A$2000,0)),FALSE)</f>
        <v>85.827032869119492</v>
      </c>
      <c r="AY45" s="103"/>
      <c r="AZ45" s="21"/>
    </row>
    <row r="46" spans="1:52">
      <c r="A46" s="56" t="str">
        <f>$D$1&amp;36</f>
        <v>SD36</v>
      </c>
      <c r="B46" s="57" t="str">
        <f>IF(ISERROR(VLOOKUP(A46,classifications!A:C,3,FALSE)),0,VLOOKUP(A46,classifications!A:C,3,FALSE))</f>
        <v>New Forest</v>
      </c>
      <c r="C46" s="8" t="s">
        <v>22</v>
      </c>
      <c r="D46" s="26" t="str">
        <f>VLOOKUP($C46,classifications!$C:$J,4,FALSE)</f>
        <v>SD</v>
      </c>
      <c r="E46" s="26">
        <f>VLOOKUP(C46,classifications!C:K,9,FALSE)</f>
        <v>0</v>
      </c>
      <c r="F46" s="36">
        <f t="shared" si="0"/>
        <v>79.033513267818861</v>
      </c>
      <c r="G46" s="71"/>
      <c r="H46" s="37">
        <f t="shared" si="1"/>
        <v>79.033513267818861</v>
      </c>
      <c r="I46" s="77">
        <f>IF(H46="","",IF($I$8="A",(RANK(H46,H$11:H$368,1)+COUNTIF(H$11:H46,H46)-1),(RANK(H46,H$11:H$368)+COUNTIF(H$11:H46,H46)-1)))</f>
        <v>153</v>
      </c>
      <c r="J46" s="35"/>
      <c r="K46" s="28">
        <f t="shared" si="7"/>
        <v>36</v>
      </c>
      <c r="L46" s="36" t="str">
        <f t="shared" si="2"/>
        <v>Lancaster</v>
      </c>
      <c r="M46" s="102">
        <f t="shared" si="22"/>
        <v>86.124289461765642</v>
      </c>
      <c r="N46" s="101">
        <f t="shared" si="23"/>
        <v>86.124289461765642</v>
      </c>
      <c r="O46" s="94">
        <f t="shared" si="8"/>
        <v>86.124289461765642</v>
      </c>
      <c r="P46" s="94" t="str">
        <f t="shared" si="18"/>
        <v/>
      </c>
      <c r="Q46" s="94" t="str">
        <f t="shared" si="19"/>
        <v/>
      </c>
      <c r="R46" s="90" t="str">
        <f t="shared" si="20"/>
        <v/>
      </c>
      <c r="S46" s="37" t="str">
        <f t="shared" si="9"/>
        <v/>
      </c>
      <c r="T46" s="176">
        <f>IF(L46="","",VLOOKUP(L46,classifications!C:K,9,FALSE))</f>
        <v>0</v>
      </c>
      <c r="U46" s="183" t="str">
        <f t="shared" si="25"/>
        <v/>
      </c>
      <c r="V46" s="184" t="str">
        <f>IF(U46="","",IF($I$8="A",(RANK(U46,U$11:U$368)+COUNTIF(U$11:U46,U46)-1),(RANK(U46,U$11:U$368,1)+COUNTIF(U$11:U46,U46)-1)))</f>
        <v/>
      </c>
      <c r="W46" s="185"/>
      <c r="X46" s="38" t="str">
        <f>IF(L46="","",VLOOKUP($L46,classifications!$C:$J,6,FALSE))</f>
        <v>Urban with Significant Rural (rural including hub towns 26-49%)</v>
      </c>
      <c r="Y46" s="26" t="str">
        <f t="shared" si="3"/>
        <v/>
      </c>
      <c r="Z46" s="34" t="str">
        <f>IF(Y46="","",IF(I$8="A",(RANK(Y46,Y$11:Y$368,1)+COUNTIF(Y$11:Y46,Y46)-1),(RANK(Y46,Y$11:Y$368)+COUNTIF(Y$11:Y46,Y46)-1)))</f>
        <v/>
      </c>
      <c r="AA46" s="188" t="str">
        <f>IF(L46="","",VLOOKUP($L46,classifications!C:I,7,FALSE))</f>
        <v>Significant Rural</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Lancashire</v>
      </c>
      <c r="AJ46" s="39" t="str">
        <f t="shared" si="4"/>
        <v/>
      </c>
      <c r="AK46" s="34" t="str">
        <f>IF(AJ46="","",IF(I$8="A",(RANK(AJ46,AJ$11:AJ$368,1)+COUNTIF(AJ$11:AJ46,AJ46)-1),(RANK(AJ46,AJ$11:AJ$368)+COUNTIF(AJ$11:AJ46,AJ46)-1)))</f>
        <v/>
      </c>
      <c r="AL46" s="29" t="str">
        <f t="shared" si="13"/>
        <v/>
      </c>
      <c r="AM46" s="8" t="str">
        <f t="shared" si="5"/>
        <v/>
      </c>
      <c r="AN46" s="8" t="str">
        <f t="shared" si="14"/>
        <v/>
      </c>
      <c r="AP46" s="38" t="str">
        <f>IF(L46="","",VLOOKUP($L46,classifications!$C:$E,3,FALSE))</f>
        <v>North West</v>
      </c>
      <c r="AQ46" s="39">
        <f t="shared" si="15"/>
        <v>86.124289461765642</v>
      </c>
      <c r="AR46" s="34">
        <f>IF(AQ46="","",IF(I$8="A",(RANK(AQ46,AQ$11:AQ$368,1)+COUNTIF(AQ$11:AQ46,AQ46)-1),(RANK(AQ46,AQ$11:AQ$368)+COUNTIF(AQ$11:AQ46,AQ46)-1)))</f>
        <v>3</v>
      </c>
      <c r="AS46" s="29" t="str">
        <f t="shared" si="16"/>
        <v/>
      </c>
      <c r="AT46" s="34" t="str">
        <f t="shared" si="6"/>
        <v/>
      </c>
      <c r="AU46" s="39" t="str">
        <f t="shared" si="17"/>
        <v/>
      </c>
      <c r="AX46" s="21">
        <f>HLOOKUP($AX$9&amp;$AX$10,Data!$A$1:$ZZ$2000,(MATCH($C46,Data!$A$1:$A$2000,0)),FALSE)</f>
        <v>79.033513267818861</v>
      </c>
      <c r="AY46" s="103"/>
      <c r="AZ46" s="21"/>
    </row>
    <row r="47" spans="1:52">
      <c r="A47" s="56" t="str">
        <f>$D$1&amp;37</f>
        <v>SD37</v>
      </c>
      <c r="B47" s="57" t="str">
        <f>IF(ISERROR(VLOOKUP(A47,classifications!A:C,3,FALSE)),0,VLOOKUP(A47,classifications!A:C,3,FALSE))</f>
        <v>Newark &amp; Sherwood</v>
      </c>
      <c r="C47" s="8" t="s">
        <v>199</v>
      </c>
      <c r="D47" s="26" t="str">
        <f>VLOOKUP($C47,classifications!$C:$J,4,FALSE)</f>
        <v>L</v>
      </c>
      <c r="E47" s="26">
        <f>VLOOKUP(C47,classifications!C:K,9,FALSE)</f>
        <v>0</v>
      </c>
      <c r="F47" s="36">
        <f t="shared" si="0"/>
        <v>85.563844367493658</v>
      </c>
      <c r="G47" s="71"/>
      <c r="H47" s="37" t="str">
        <f t="shared" si="1"/>
        <v/>
      </c>
      <c r="I47" s="77" t="str">
        <f>IF(H47="","",IF($I$8="A",(RANK(H47,H$11:H$368,1)+COUNTIF(H$11:H47,H47)-1),(RANK(H47,H$11:H$368)+COUNTIF(H$11:H47,H47)-1)))</f>
        <v/>
      </c>
      <c r="J47" s="35"/>
      <c r="K47" s="28">
        <f t="shared" si="7"/>
        <v>37</v>
      </c>
      <c r="L47" s="36" t="str">
        <f t="shared" si="2"/>
        <v>East Devon</v>
      </c>
      <c r="M47" s="102">
        <f t="shared" si="22"/>
        <v>86.084775203522014</v>
      </c>
      <c r="N47" s="101">
        <f t="shared" si="23"/>
        <v>86.084775203522014</v>
      </c>
      <c r="O47" s="94">
        <f t="shared" si="8"/>
        <v>86.084775203522014</v>
      </c>
      <c r="P47" s="94" t="str">
        <f t="shared" si="18"/>
        <v/>
      </c>
      <c r="Q47" s="94" t="str">
        <f t="shared" si="19"/>
        <v/>
      </c>
      <c r="R47" s="90" t="str">
        <f t="shared" si="20"/>
        <v/>
      </c>
      <c r="S47" s="37" t="str">
        <f t="shared" si="9"/>
        <v/>
      </c>
      <c r="T47" s="176" t="str">
        <f>IF(L47="","",VLOOKUP(L47,classifications!C:K,9,FALSE))</f>
        <v>Sparse</v>
      </c>
      <c r="U47" s="183">
        <f t="shared" si="25"/>
        <v>86.084775203522014</v>
      </c>
      <c r="V47" s="184">
        <f>IF(U47="","",IF($I$8="A",(RANK(U47,U$11:U$368)+COUNTIF(U$11:U47,U47)-1),(RANK(U47,U$11:U$368,1)+COUNTIF(U$11:U47,U47)-1)))</f>
        <v>59</v>
      </c>
      <c r="W47" s="185"/>
      <c r="X47" s="38" t="str">
        <f>IF(L47="","",VLOOKUP($L47,classifications!$C:$J,6,FALSE))</f>
        <v xml:space="preserve">Largely Rural (rural including hub towns 50-79%) </v>
      </c>
      <c r="Y47" s="26" t="str">
        <f t="shared" si="3"/>
        <v/>
      </c>
      <c r="Z47" s="34" t="str">
        <f>IF(Y47="","",IF(I$8="A",(RANK(Y47,Y$11:Y$368,1)+COUNTIF(Y$11:Y47,Y47)-1),(RANK(Y47,Y$11:Y$368)+COUNTIF(Y$11:Y47,Y47)-1)))</f>
        <v/>
      </c>
      <c r="AA47" s="188" t="str">
        <f>IF(L47="","",VLOOKUP($L47,classifications!C:I,7,FALSE))</f>
        <v>Predominantly Rural</v>
      </c>
      <c r="AB47" s="184">
        <f t="shared" si="11"/>
        <v>86.084775203522014</v>
      </c>
      <c r="AC47" s="184">
        <f>IF(AB47="","",IF($I$8="A",(RANK(AB47,AB$11:AB$368)+COUNTIF(AB$11:AB47,AB47)-1),(RANK(AB47,AB$11:AB$368,1)+COUNTIF(AB$11:AB47,AB47)-1)))</f>
        <v>60</v>
      </c>
      <c r="AD47" s="184"/>
      <c r="AE47" s="28" t="str">
        <f t="shared" si="24"/>
        <v/>
      </c>
      <c r="AG47" s="96"/>
      <c r="AH47" s="29"/>
      <c r="AI47" s="38" t="str">
        <f>IF(L47="","",VLOOKUP($L47,classifications!$C:$J,8,FALSE))</f>
        <v>Devon</v>
      </c>
      <c r="AJ47" s="39" t="str">
        <f t="shared" si="4"/>
        <v/>
      </c>
      <c r="AK47" s="34" t="str">
        <f>IF(AJ47="","",IF(I$8="A",(RANK(AJ47,AJ$11:AJ$368,1)+COUNTIF(AJ$11:AJ47,AJ47)-1),(RANK(AJ47,AJ$11:AJ$368)+COUNTIF(AJ$11:AJ47,AJ47)-1)))</f>
        <v/>
      </c>
      <c r="AL47" s="29" t="str">
        <f t="shared" si="13"/>
        <v/>
      </c>
      <c r="AM47" s="8" t="str">
        <f t="shared" si="5"/>
        <v/>
      </c>
      <c r="AN47" s="8" t="str">
        <f t="shared" si="14"/>
        <v/>
      </c>
      <c r="AP47" s="38" t="str">
        <f>IF(L47="","",VLOOKUP($L47,classifications!$C:$E,3,FALSE))</f>
        <v>South West</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85.563844367493658</v>
      </c>
      <c r="AY47" s="103"/>
      <c r="AZ47" s="21"/>
    </row>
    <row r="48" spans="1:52">
      <c r="A48" s="56" t="str">
        <f>$D$1&amp;38</f>
        <v>SD38</v>
      </c>
      <c r="B48" s="57" t="str">
        <f>IF(ISERROR(VLOOKUP(A48,classifications!A:C,3,FALSE)),0,VLOOKUP(A48,classifications!A:C,3,FALSE))</f>
        <v>North Devon</v>
      </c>
      <c r="C48" s="8" t="s">
        <v>23</v>
      </c>
      <c r="D48" s="26" t="str">
        <f>VLOOKUP($C48,classifications!$C:$J,4,FALSE)</f>
        <v>SD</v>
      </c>
      <c r="E48" s="26">
        <f>VLOOKUP(C48,classifications!C:K,9,FALSE)</f>
        <v>0</v>
      </c>
      <c r="F48" s="36">
        <f t="shared" si="0"/>
        <v>84.809410038344751</v>
      </c>
      <c r="G48" s="71"/>
      <c r="H48" s="37">
        <f t="shared" si="1"/>
        <v>84.809410038344751</v>
      </c>
      <c r="I48" s="77">
        <f>IF(H48="","",IF($I$8="A",(RANK(H48,H$11:H$368,1)+COUNTIF(H$11:H48,H48)-1),(RANK(H48,H$11:H$368)+COUNTIF(H$11:H48,H48)-1)))</f>
        <v>52</v>
      </c>
      <c r="J48" s="35"/>
      <c r="K48" s="28">
        <f t="shared" si="7"/>
        <v>38</v>
      </c>
      <c r="L48" s="36" t="str">
        <f t="shared" si="2"/>
        <v>Mid Suffolk</v>
      </c>
      <c r="M48" s="102">
        <f t="shared" si="22"/>
        <v>86.064138133544859</v>
      </c>
      <c r="N48" s="101">
        <f t="shared" si="23"/>
        <v>86.064138133544859</v>
      </c>
      <c r="O48" s="94">
        <f t="shared" si="8"/>
        <v>86.064138133544859</v>
      </c>
      <c r="P48" s="94" t="str">
        <f t="shared" si="18"/>
        <v/>
      </c>
      <c r="Q48" s="94" t="str">
        <f t="shared" si="19"/>
        <v/>
      </c>
      <c r="R48" s="90" t="str">
        <f t="shared" si="20"/>
        <v/>
      </c>
      <c r="S48" s="37" t="str">
        <f t="shared" si="9"/>
        <v/>
      </c>
      <c r="T48" s="176" t="str">
        <f>IF(L48="","",VLOOKUP(L48,classifications!C:K,9,FALSE))</f>
        <v>Sparse</v>
      </c>
      <c r="U48" s="183">
        <f t="shared" si="25"/>
        <v>86.064138133544859</v>
      </c>
      <c r="V48" s="184">
        <f>IF(U48="","",IF($I$8="A",(RANK(U48,U$11:U$368)+COUNTIF(U$11:U48,U48)-1),(RANK(U48,U$11:U$368,1)+COUNTIF(U$11:U48,U48)-1)))</f>
        <v>58</v>
      </c>
      <c r="W48" s="185"/>
      <c r="X48" s="38" t="str">
        <f>IF(L48="","",VLOOKUP($L48,classifications!$C:$J,6,FALSE))</f>
        <v xml:space="preserve">Mainly Rural (rural including hub towns &gt;=80%) </v>
      </c>
      <c r="Y48" s="26">
        <f t="shared" si="3"/>
        <v>86.064138133544859</v>
      </c>
      <c r="Z48" s="34">
        <f>IF(Y48="","",IF(I$8="A",(RANK(Y48,Y$11:Y$368,1)+COUNTIF(Y$11:Y48,Y48)-1),(RANK(Y48,Y$11:Y$368)+COUNTIF(Y$11:Y48,Y48)-1)))</f>
        <v>9</v>
      </c>
      <c r="AA48" s="188" t="str">
        <f>IF(L48="","",VLOOKUP($L48,classifications!C:I,7,FALSE))</f>
        <v>Predominantly Rural</v>
      </c>
      <c r="AB48" s="184">
        <f t="shared" si="11"/>
        <v>86.064138133544859</v>
      </c>
      <c r="AC48" s="184">
        <f>IF(AB48="","",IF($I$8="A",(RANK(AB48,AB$11:AB$368)+COUNTIF(AB$11:AB48,AB48)-1),(RANK(AB48,AB$11:AB$368,1)+COUNTIF(AB$11:AB48,AB48)-1)))</f>
        <v>59</v>
      </c>
      <c r="AD48" s="184"/>
      <c r="AE48" s="28" t="str">
        <f t="shared" si="24"/>
        <v/>
      </c>
      <c r="AG48" s="96"/>
      <c r="AH48" s="29"/>
      <c r="AI48" s="38" t="str">
        <f>IF(L48="","",VLOOKUP($L48,classifications!$C:$J,8,FALSE))</f>
        <v>Suffolk</v>
      </c>
      <c r="AJ48" s="39" t="str">
        <f t="shared" si="4"/>
        <v/>
      </c>
      <c r="AK48" s="34" t="str">
        <f>IF(AJ48="","",IF(I$8="A",(RANK(AJ48,AJ$11:AJ$368,1)+COUNTIF(AJ$11:AJ48,AJ48)-1),(RANK(AJ48,AJ$11:AJ$368)+COUNTIF(AJ$11:AJ48,AJ48)-1)))</f>
        <v/>
      </c>
      <c r="AL48" s="29" t="str">
        <f t="shared" si="13"/>
        <v/>
      </c>
      <c r="AM48" s="8" t="str">
        <f t="shared" si="5"/>
        <v/>
      </c>
      <c r="AN48" s="8" t="str">
        <f t="shared" si="14"/>
        <v/>
      </c>
      <c r="AP48" s="38" t="str">
        <f>IF(L48="","",VLOOKUP($L48,classifications!$C:$E,3,FALSE))</f>
        <v>East of England</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84.809410038344751</v>
      </c>
      <c r="AY48" s="103"/>
      <c r="AZ48" s="21"/>
    </row>
    <row r="49" spans="1:52">
      <c r="A49" s="56" t="str">
        <f>$D$1&amp;39</f>
        <v>SD39</v>
      </c>
      <c r="B49" s="57" t="str">
        <f>IF(ISERROR(VLOOKUP(A49,classifications!A:C,3,FALSE)),0,VLOOKUP(A49,classifications!A:C,3,FALSE))</f>
        <v>North Kesteven</v>
      </c>
      <c r="C49" s="8" t="s">
        <v>24</v>
      </c>
      <c r="D49" s="26" t="str">
        <f>VLOOKUP($C49,classifications!$C:$J,4,FALSE)</f>
        <v>SD</v>
      </c>
      <c r="E49" s="26">
        <f>VLOOKUP(C49,classifications!C:K,9,FALSE)</f>
        <v>0</v>
      </c>
      <c r="F49" s="36">
        <f t="shared" si="0"/>
        <v>81.262824445002224</v>
      </c>
      <c r="G49" s="71"/>
      <c r="H49" s="37">
        <f t="shared" si="1"/>
        <v>81.262824445002224</v>
      </c>
      <c r="I49" s="77">
        <f>IF(H49="","",IF($I$8="A",(RANK(H49,H$11:H$368,1)+COUNTIF(H$11:H49,H49)-1),(RANK(H49,H$11:H$368)+COUNTIF(H$11:H49,H49)-1)))</f>
        <v>123</v>
      </c>
      <c r="J49" s="35"/>
      <c r="K49" s="28">
        <f t="shared" si="7"/>
        <v>39</v>
      </c>
      <c r="L49" s="36" t="str">
        <f t="shared" si="2"/>
        <v>Wycombe</v>
      </c>
      <c r="M49" s="102">
        <f t="shared" si="22"/>
        <v>85.906816780393342</v>
      </c>
      <c r="N49" s="101">
        <f t="shared" si="23"/>
        <v>85.906816780393342</v>
      </c>
      <c r="O49" s="94">
        <f t="shared" si="8"/>
        <v>85.906816780393342</v>
      </c>
      <c r="P49" s="94" t="str">
        <f t="shared" si="18"/>
        <v/>
      </c>
      <c r="Q49" s="94" t="str">
        <f t="shared" si="19"/>
        <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Urban with Significant Rural (rural including hub towns 26-49%)</v>
      </c>
      <c r="Y49" s="26" t="str">
        <f t="shared" si="3"/>
        <v/>
      </c>
      <c r="Z49" s="34" t="str">
        <f>IF(Y49="","",IF(I$8="A",(RANK(Y49,Y$11:Y$368,1)+COUNTIF(Y$11:Y49,Y49)-1),(RANK(Y49,Y$11:Y$368)+COUNTIF(Y$11:Y49,Y49)-1)))</f>
        <v/>
      </c>
      <c r="AA49" s="188" t="str">
        <f>IF(L49="","",VLOOKUP($L49,classifications!C:I,7,FALSE))</f>
        <v>Significant Rural</v>
      </c>
      <c r="AB49" s="184" t="str">
        <f t="shared" si="11"/>
        <v/>
      </c>
      <c r="AC49" s="184" t="str">
        <f>IF(AB49="","",IF($I$8="A",(RANK(AB49,AB$11:AB$368)+COUNTIF(AB$11:AB49,AB49)-1),(RANK(AB49,AB$11:AB$368,1)+COUNTIF(AB$11:AB49,AB49)-1)))</f>
        <v/>
      </c>
      <c r="AD49" s="184"/>
      <c r="AE49" s="28" t="str">
        <f t="shared" si="24"/>
        <v/>
      </c>
      <c r="AG49" s="96"/>
      <c r="AH49" s="29"/>
      <c r="AI49" s="38" t="str">
        <f>IF(L49="","",VLOOKUP($L49,classifications!$C:$J,8,FALSE))</f>
        <v>Buckinghamshire</v>
      </c>
      <c r="AJ49" s="39" t="str">
        <f t="shared" si="4"/>
        <v/>
      </c>
      <c r="AK49" s="34" t="str">
        <f>IF(AJ49="","",IF(I$8="A",(RANK(AJ49,AJ$11:AJ$368,1)+COUNTIF(AJ$11:AJ49,AJ49)-1),(RANK(AJ49,AJ$11:AJ$368)+COUNTIF(AJ$11:AJ49,AJ49)-1)))</f>
        <v/>
      </c>
      <c r="AL49" s="29" t="str">
        <f t="shared" si="13"/>
        <v/>
      </c>
      <c r="AM49" s="8" t="str">
        <f t="shared" si="5"/>
        <v/>
      </c>
      <c r="AN49" s="8" t="str">
        <f t="shared" si="14"/>
        <v/>
      </c>
      <c r="AP49" s="38" t="str">
        <f>IF(L49="","",VLOOKUP($L49,classifications!$C:$E,3,FALSE))</f>
        <v>South East</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81.262824445002224</v>
      </c>
      <c r="AY49" s="103"/>
      <c r="AZ49" s="21"/>
    </row>
    <row r="50" spans="1:52">
      <c r="A50" s="56" t="str">
        <f>$D$1&amp;40</f>
        <v>SD40</v>
      </c>
      <c r="B50" s="57" t="str">
        <f>IF(ISERROR(VLOOKUP(A50,classifications!A:C,3,FALSE)),0,VLOOKUP(A50,classifications!A:C,3,FALSE))</f>
        <v>North Norfolk</v>
      </c>
      <c r="C50" s="8" t="s">
        <v>25</v>
      </c>
      <c r="D50" s="26" t="str">
        <f>VLOOKUP($C50,classifications!$C:$J,4,FALSE)</f>
        <v>SD</v>
      </c>
      <c r="E50" s="26">
        <f>VLOOKUP(C50,classifications!C:K,9,FALSE)</f>
        <v>0</v>
      </c>
      <c r="F50" s="36">
        <f t="shared" si="0"/>
        <v>83.63407904013485</v>
      </c>
      <c r="G50" s="71"/>
      <c r="H50" s="37">
        <f t="shared" si="1"/>
        <v>83.63407904013485</v>
      </c>
      <c r="I50" s="77">
        <f>IF(H50="","",IF($I$8="A",(RANK(H50,H$11:H$368,1)+COUNTIF(H$11:H50,H50)-1),(RANK(H50,H$11:H$368)+COUNTIF(H$11:H50,H50)-1)))</f>
        <v>79</v>
      </c>
      <c r="J50" s="35"/>
      <c r="K50" s="28">
        <f t="shared" si="7"/>
        <v>40</v>
      </c>
      <c r="L50" s="36" t="str">
        <f t="shared" si="2"/>
        <v>South Cambridgeshire</v>
      </c>
      <c r="M50" s="102">
        <f t="shared" si="22"/>
        <v>85.854298338940708</v>
      </c>
      <c r="N50" s="101">
        <f t="shared" si="23"/>
        <v>85.854298338940708</v>
      </c>
      <c r="O50" s="94">
        <f t="shared" si="8"/>
        <v>85.854298338940708</v>
      </c>
      <c r="P50" s="94" t="str">
        <f t="shared" si="18"/>
        <v/>
      </c>
      <c r="Q50" s="94" t="str">
        <f t="shared" si="19"/>
        <v/>
      </c>
      <c r="R50" s="90" t="str">
        <f t="shared" si="20"/>
        <v/>
      </c>
      <c r="S50" s="37" t="str">
        <f t="shared" si="9"/>
        <v/>
      </c>
      <c r="T50" s="176" t="str">
        <f>IF(L50="","",VLOOKUP(L50,classifications!C:K,9,FALSE))</f>
        <v>Sparse</v>
      </c>
      <c r="U50" s="183">
        <f t="shared" si="25"/>
        <v>85.854298338940708</v>
      </c>
      <c r="V50" s="184">
        <f>IF(U50="","",IF($I$8="A",(RANK(U50,U$11:U$368)+COUNTIF(U$11:U50,U50)-1),(RANK(U50,U$11:U$368,1)+COUNTIF(U$11:U50,U50)-1)))</f>
        <v>57</v>
      </c>
      <c r="W50" s="185"/>
      <c r="X50" s="38" t="str">
        <f>IF(L50="","",VLOOKUP($L50,classifications!$C:$J,6,FALSE))</f>
        <v xml:space="preserve">Largely Rural (rural including hub towns 50-79%) </v>
      </c>
      <c r="Y50" s="26" t="str">
        <f t="shared" si="3"/>
        <v/>
      </c>
      <c r="Z50" s="34" t="str">
        <f>IF(Y50="","",IF(I$8="A",(RANK(Y50,Y$11:Y$368,1)+COUNTIF(Y$11:Y50,Y50)-1),(RANK(Y50,Y$11:Y$368)+COUNTIF(Y$11:Y50,Y50)-1)))</f>
        <v/>
      </c>
      <c r="AA50" s="188" t="str">
        <f>IF(L50="","",VLOOKUP($L50,classifications!C:I,7,FALSE))</f>
        <v>Predominantly Rural</v>
      </c>
      <c r="AB50" s="184">
        <f t="shared" si="11"/>
        <v>85.854298338940708</v>
      </c>
      <c r="AC50" s="184">
        <f>IF(AB50="","",IF($I$8="A",(RANK(AB50,AB$11:AB$368)+COUNTIF(AB$11:AB50,AB50)-1),(RANK(AB50,AB$11:AB$368,1)+COUNTIF(AB$11:AB50,AB50)-1)))</f>
        <v>58</v>
      </c>
      <c r="AD50" s="184"/>
      <c r="AE50" s="28" t="str">
        <f t="shared" si="24"/>
        <v/>
      </c>
      <c r="AG50" s="96"/>
      <c r="AH50" s="29"/>
      <c r="AI50" s="38" t="str">
        <f>IF(L50="","",VLOOKUP($L50,classifications!$C:$J,8,FALSE))</f>
        <v>Cambridgeshire</v>
      </c>
      <c r="AJ50" s="39" t="str">
        <f t="shared" si="4"/>
        <v/>
      </c>
      <c r="AK50" s="34" t="str">
        <f>IF(AJ50="","",IF(I$8="A",(RANK(AJ50,AJ$11:AJ$368,1)+COUNTIF(AJ$11:AJ50,AJ50)-1),(RANK(AJ50,AJ$11:AJ$368)+COUNTIF(AJ$11:AJ50,AJ50)-1)))</f>
        <v/>
      </c>
      <c r="AL50" s="29" t="str">
        <f t="shared" si="13"/>
        <v/>
      </c>
      <c r="AM50" s="8" t="str">
        <f t="shared" si="5"/>
        <v/>
      </c>
      <c r="AN50" s="8" t="str">
        <f t="shared" si="14"/>
        <v/>
      </c>
      <c r="AP50" s="38" t="str">
        <f>IF(L50="","",VLOOKUP($L50,classifications!$C:$E,3,FALSE))</f>
        <v>East of England</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83.63407904013485</v>
      </c>
      <c r="AY50" s="103"/>
      <c r="AZ50" s="21"/>
    </row>
    <row r="51" spans="1:52">
      <c r="A51" s="56" t="str">
        <f>$D$1&amp;41</f>
        <v>SD41</v>
      </c>
      <c r="B51" s="57" t="str">
        <f>IF(ISERROR(VLOOKUP(A51,classifications!A:C,3,FALSE)),0,VLOOKUP(A51,classifications!A:C,3,FALSE))</f>
        <v>North West Leicestershire</v>
      </c>
      <c r="C51" s="8" t="s">
        <v>300</v>
      </c>
      <c r="D51" s="26" t="str">
        <f>VLOOKUP($C51,classifications!$C:$J,4,FALSE)</f>
        <v>SC</v>
      </c>
      <c r="E51" s="26">
        <f>VLOOKUP(C51,classifications!C:K,9,FALSE)</f>
        <v>0</v>
      </c>
      <c r="F51" s="36">
        <f t="shared" si="0"/>
        <v>84.320660879168372</v>
      </c>
      <c r="G51" s="71"/>
      <c r="H51" s="37" t="str">
        <f t="shared" si="1"/>
        <v/>
      </c>
      <c r="I51" s="77" t="str">
        <f>IF(H51="","",IF($I$8="A",(RANK(H51,H$11:H$368,1)+COUNTIF(H$11:H51,H51)-1),(RANK(H51,H$11:H$368)+COUNTIF(H$11:H51,H51)-1)))</f>
        <v/>
      </c>
      <c r="J51" s="35"/>
      <c r="K51" s="28">
        <f t="shared" si="7"/>
        <v>41</v>
      </c>
      <c r="L51" s="36" t="str">
        <f t="shared" si="2"/>
        <v>Chelmsford</v>
      </c>
      <c r="M51" s="102">
        <f t="shared" si="22"/>
        <v>85.676013232494512</v>
      </c>
      <c r="N51" s="101">
        <f t="shared" si="23"/>
        <v>85.676013232494512</v>
      </c>
      <c r="O51" s="94">
        <f t="shared" si="8"/>
        <v>85.676013232494512</v>
      </c>
      <c r="P51" s="94" t="str">
        <f t="shared" si="18"/>
        <v/>
      </c>
      <c r="Q51" s="94" t="str">
        <f t="shared" si="19"/>
        <v/>
      </c>
      <c r="R51" s="90" t="str">
        <f t="shared" si="20"/>
        <v/>
      </c>
      <c r="S51" s="37" t="str">
        <f t="shared" si="9"/>
        <v/>
      </c>
      <c r="T51" s="176">
        <f>IF(L51="","",VLOOKUP(L51,classifications!C:K,9,FALSE))</f>
        <v>0</v>
      </c>
      <c r="U51" s="183" t="str">
        <f t="shared" si="25"/>
        <v/>
      </c>
      <c r="V51" s="184" t="str">
        <f>IF(U51="","",IF($I$8="A",(RANK(U51,U$11:U$368)+COUNTIF(U$11:U51,U51)-1),(RANK(U51,U$11:U$368,1)+COUNTIF(U$11:U51,U51)-1)))</f>
        <v/>
      </c>
      <c r="W51" s="185"/>
      <c r="X51" s="38" t="str">
        <f>IF(L51="","",VLOOKUP($L51,classifications!$C:$J,6,FALSE))</f>
        <v>Urban with City and Town</v>
      </c>
      <c r="Y51" s="26" t="str">
        <f t="shared" si="3"/>
        <v/>
      </c>
      <c r="Z51" s="34" t="str">
        <f>IF(Y51="","",IF(I$8="A",(RANK(Y51,Y$11:Y$368,1)+COUNTIF(Y$11:Y51,Y51)-1),(RANK(Y51,Y$11:Y$368)+COUNTIF(Y$11:Y51,Y51)-1)))</f>
        <v/>
      </c>
      <c r="AA51" s="188" t="str">
        <f>IF(L51="","",VLOOKUP($L51,classifications!C:I,7,FALSE))</f>
        <v>Predominantly Urban</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Essex</v>
      </c>
      <c r="AJ51" s="39" t="str">
        <f t="shared" si="4"/>
        <v/>
      </c>
      <c r="AK51" s="34" t="str">
        <f>IF(AJ51="","",IF(I$8="A",(RANK(AJ51,AJ$11:AJ$368,1)+COUNTIF(AJ$11:AJ51,AJ51)-1),(RANK(AJ51,AJ$11:AJ$368)+COUNTIF(AJ$11:AJ51,AJ51)-1)))</f>
        <v/>
      </c>
      <c r="AL51" s="29" t="str">
        <f t="shared" si="13"/>
        <v/>
      </c>
      <c r="AM51" s="8" t="str">
        <f t="shared" si="5"/>
        <v/>
      </c>
      <c r="AN51" s="8" t="str">
        <f t="shared" si="14"/>
        <v/>
      </c>
      <c r="AP51" s="38" t="str">
        <f>IF(L51="","",VLOOKUP($L51,classifications!$C:$E,3,FALSE))</f>
        <v>East of England</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84.320660879168372</v>
      </c>
      <c r="AY51" s="103"/>
      <c r="AZ51" s="21"/>
    </row>
    <row r="52" spans="1:52">
      <c r="A52" s="56" t="str">
        <f>$D$1&amp;42</f>
        <v>SD42</v>
      </c>
      <c r="B52" s="57" t="str">
        <f>IF(ISERROR(VLOOKUP(A52,classifications!A:C,3,FALSE)),0,VLOOKUP(A52,classifications!A:C,3,FALSE))</f>
        <v>Ribble Valley</v>
      </c>
      <c r="C52" s="8" t="s">
        <v>26</v>
      </c>
      <c r="D52" s="26" t="str">
        <f>VLOOKUP($C52,classifications!$C:$J,4,FALSE)</f>
        <v>SD</v>
      </c>
      <c r="E52" s="26">
        <f>VLOOKUP(C52,classifications!C:K,9,FALSE)</f>
        <v>0</v>
      </c>
      <c r="F52" s="36">
        <f t="shared" si="0"/>
        <v>75.166170890927546</v>
      </c>
      <c r="G52" s="71"/>
      <c r="H52" s="37">
        <f t="shared" si="1"/>
        <v>75.166170890927546</v>
      </c>
      <c r="I52" s="77">
        <f>IF(H52="","",IF($I$8="A",(RANK(H52,H$11:H$368,1)+COUNTIF(H$11:H52,H52)-1),(RANK(H52,H$11:H$368)+COUNTIF(H$11:H52,H52)-1)))</f>
        <v>185</v>
      </c>
      <c r="J52" s="35"/>
      <c r="K52" s="28">
        <f t="shared" si="7"/>
        <v>42</v>
      </c>
      <c r="L52" s="36" t="str">
        <f t="shared" si="2"/>
        <v>New Forest</v>
      </c>
      <c r="M52" s="102">
        <f t="shared" si="22"/>
        <v>85.574582674005825</v>
      </c>
      <c r="N52" s="101">
        <f t="shared" si="23"/>
        <v>85.574582674005825</v>
      </c>
      <c r="O52" s="94">
        <f t="shared" si="8"/>
        <v>85.574582674005825</v>
      </c>
      <c r="P52" s="94" t="str">
        <f t="shared" si="18"/>
        <v/>
      </c>
      <c r="Q52" s="94" t="str">
        <f t="shared" si="19"/>
        <v/>
      </c>
      <c r="R52" s="90" t="str">
        <f t="shared" si="20"/>
        <v/>
      </c>
      <c r="S52" s="37" t="str">
        <f t="shared" si="9"/>
        <v/>
      </c>
      <c r="T52" s="176" t="str">
        <f>IF(L52="","",VLOOKUP(L52,classifications!C:K,9,FALSE))</f>
        <v>Sparse</v>
      </c>
      <c r="U52" s="183">
        <f t="shared" si="25"/>
        <v>85.574582674005825</v>
      </c>
      <c r="V52" s="184">
        <f>IF(U52="","",IF($I$8="A",(RANK(U52,U$11:U$368)+COUNTIF(U$11:U52,U52)-1),(RANK(U52,U$11:U$368,1)+COUNTIF(U$11:U52,U52)-1)))</f>
        <v>56</v>
      </c>
      <c r="W52" s="185"/>
      <c r="X52" s="38" t="str">
        <f>IF(L52="","",VLOOKUP($L52,classifications!$C:$J,6,FALSE))</f>
        <v>Urban with Significant Rural (rural including hub towns 26-49%)</v>
      </c>
      <c r="Y52" s="26" t="str">
        <f t="shared" si="3"/>
        <v/>
      </c>
      <c r="Z52" s="34" t="str">
        <f>IF(Y52="","",IF(I$8="A",(RANK(Y52,Y$11:Y$368,1)+COUNTIF(Y$11:Y52,Y52)-1),(RANK(Y52,Y$11:Y$368)+COUNTIF(Y$11:Y52,Y52)-1)))</f>
        <v/>
      </c>
      <c r="AA52" s="188" t="str">
        <f>IF(L52="","",VLOOKUP($L52,classifications!C:I,7,FALSE))</f>
        <v>Significant Rural</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Hampshire</v>
      </c>
      <c r="AJ52" s="39" t="str">
        <f t="shared" si="4"/>
        <v/>
      </c>
      <c r="AK52" s="34" t="str">
        <f>IF(AJ52="","",IF(I$8="A",(RANK(AJ52,AJ$11:AJ$368,1)+COUNTIF(AJ$11:AJ52,AJ52)-1),(RANK(AJ52,AJ$11:AJ$368)+COUNTIF(AJ$11:AJ52,AJ52)-1)))</f>
        <v/>
      </c>
      <c r="AL52" s="29" t="str">
        <f t="shared" si="13"/>
        <v/>
      </c>
      <c r="AM52" s="8" t="str">
        <f t="shared" si="5"/>
        <v/>
      </c>
      <c r="AN52" s="8" t="str">
        <f t="shared" si="14"/>
        <v/>
      </c>
      <c r="AP52" s="38" t="str">
        <f>IF(L52="","",VLOOKUP($L52,classifications!$C:$E,3,FALSE))</f>
        <v>South East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75.166170890927546</v>
      </c>
      <c r="AY52" s="103"/>
      <c r="AZ52" s="21"/>
    </row>
    <row r="53" spans="1:52">
      <c r="A53" s="56" t="str">
        <f>$D$1&amp;43</f>
        <v>SD43</v>
      </c>
      <c r="B53" s="57" t="str">
        <f>IF(ISERROR(VLOOKUP(A53,classifications!A:C,3,FALSE)),0,VLOOKUP(A53,classifications!A:C,3,FALSE))</f>
        <v>Richmondshire</v>
      </c>
      <c r="C53" s="8" t="s">
        <v>226</v>
      </c>
      <c r="D53" s="26" t="str">
        <f>VLOOKUP($C53,classifications!$C:$J,4,FALSE)</f>
        <v>MD</v>
      </c>
      <c r="E53" s="26">
        <f>VLOOKUP(C53,classifications!C:K,9,FALSE)</f>
        <v>0</v>
      </c>
      <c r="F53" s="36">
        <f t="shared" si="0"/>
        <v>80.212657598660925</v>
      </c>
      <c r="G53" s="71"/>
      <c r="H53" s="37" t="str">
        <f t="shared" si="1"/>
        <v/>
      </c>
      <c r="I53" s="77" t="str">
        <f>IF(H53="","",IF($I$8="A",(RANK(H53,H$11:H$368,1)+COUNTIF(H$11:H53,H53)-1),(RANK(H53,H$11:H$368)+COUNTIF(H$11:H53,H53)-1)))</f>
        <v/>
      </c>
      <c r="J53" s="35"/>
      <c r="K53" s="28">
        <f t="shared" si="7"/>
        <v>43</v>
      </c>
      <c r="L53" s="36" t="str">
        <f t="shared" si="2"/>
        <v>West Oxfordshire</v>
      </c>
      <c r="M53" s="102">
        <f t="shared" si="22"/>
        <v>85.541862026731749</v>
      </c>
      <c r="N53" s="101">
        <f t="shared" si="23"/>
        <v>85.541862026731749</v>
      </c>
      <c r="O53" s="94">
        <f t="shared" si="8"/>
        <v>85.541862026731749</v>
      </c>
      <c r="P53" s="94" t="str">
        <f t="shared" si="18"/>
        <v/>
      </c>
      <c r="Q53" s="94" t="str">
        <f t="shared" si="19"/>
        <v/>
      </c>
      <c r="R53" s="90" t="str">
        <f t="shared" si="20"/>
        <v/>
      </c>
      <c r="S53" s="37" t="str">
        <f t="shared" si="9"/>
        <v/>
      </c>
      <c r="T53" s="176" t="str">
        <f>IF(L53="","",VLOOKUP(L53,classifications!C:K,9,FALSE))</f>
        <v>Sparse</v>
      </c>
      <c r="U53" s="183">
        <f t="shared" si="25"/>
        <v>85.541862026731749</v>
      </c>
      <c r="V53" s="184">
        <f>IF(U53="","",IF($I$8="A",(RANK(U53,U$11:U$368)+COUNTIF(U$11:U53,U53)-1),(RANK(U53,U$11:U$368,1)+COUNTIF(U$11:U53,U53)-1)))</f>
        <v>55</v>
      </c>
      <c r="W53" s="185"/>
      <c r="X53" s="38" t="str">
        <f>IF(L53="","",VLOOKUP($L53,classifications!$C:$J,6,FALSE))</f>
        <v xml:space="preserve">Mainly Rural (rural including hub towns &gt;=80%) </v>
      </c>
      <c r="Y53" s="26">
        <f t="shared" si="3"/>
        <v>85.541862026731749</v>
      </c>
      <c r="Z53" s="34">
        <f>IF(Y53="","",IF(I$8="A",(RANK(Y53,Y$11:Y$368,1)+COUNTIF(Y$11:Y53,Y53)-1),(RANK(Y53,Y$11:Y$368)+COUNTIF(Y$11:Y53,Y53)-1)))</f>
        <v>10</v>
      </c>
      <c r="AA53" s="188" t="str">
        <f>IF(L53="","",VLOOKUP($L53,classifications!C:I,7,FALSE))</f>
        <v>Predominantly Rural</v>
      </c>
      <c r="AB53" s="184">
        <f t="shared" si="11"/>
        <v>85.541862026731749</v>
      </c>
      <c r="AC53" s="184">
        <f>IF(AB53="","",IF($I$8="A",(RANK(AB53,AB$11:AB$368)+COUNTIF(AB$11:AB53,AB53)-1),(RANK(AB53,AB$11:AB$368,1)+COUNTIF(AB$11:AB53,AB53)-1)))</f>
        <v>57</v>
      </c>
      <c r="AD53" s="184"/>
      <c r="AE53" s="28" t="str">
        <f t="shared" si="24"/>
        <v/>
      </c>
      <c r="AG53" s="96"/>
      <c r="AH53" s="29"/>
      <c r="AI53" s="38" t="str">
        <f>IF(L53="","",VLOOKUP($L53,classifications!$C:$J,8,FALSE))</f>
        <v>Oxfordshire</v>
      </c>
      <c r="AJ53" s="39" t="str">
        <f t="shared" si="4"/>
        <v/>
      </c>
      <c r="AK53" s="34" t="str">
        <f>IF(AJ53="","",IF(I$8="A",(RANK(AJ53,AJ$11:AJ$368,1)+COUNTIF(AJ$11:AJ53,AJ53)-1),(RANK(AJ53,AJ$11:AJ$368)+COUNTIF(AJ$11:AJ53,AJ53)-1)))</f>
        <v/>
      </c>
      <c r="AL53" s="29" t="str">
        <f t="shared" si="13"/>
        <v/>
      </c>
      <c r="AM53" s="8" t="str">
        <f t="shared" si="5"/>
        <v/>
      </c>
      <c r="AN53" s="8" t="str">
        <f t="shared" si="14"/>
        <v/>
      </c>
      <c r="AP53" s="38" t="str">
        <f>IF(L53="","",VLOOKUP($L53,classifications!$C:$E,3,FALSE))</f>
        <v>South East</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80.212657598660925</v>
      </c>
      <c r="AY53" s="103"/>
      <c r="AZ53" s="21"/>
    </row>
    <row r="54" spans="1:52">
      <c r="A54" s="56" t="str">
        <f>$D$1&amp;44</f>
        <v>SD44</v>
      </c>
      <c r="B54" s="57" t="str">
        <f>IF(ISERROR(VLOOKUP(A54,classifications!A:C,3,FALSE)),0,VLOOKUP(A54,classifications!A:C,3,FALSE))</f>
        <v>Rother</v>
      </c>
      <c r="C54" s="8" t="s">
        <v>227</v>
      </c>
      <c r="D54" s="26" t="str">
        <f>VLOOKUP($C54,classifications!$C:$J,4,FALSE)</f>
        <v>MD</v>
      </c>
      <c r="E54" s="26">
        <f>VLOOKUP(C54,classifications!C:K,9,FALSE)</f>
        <v>0</v>
      </c>
      <c r="F54" s="36">
        <f t="shared" si="0"/>
        <v>81.515399100401225</v>
      </c>
      <c r="G54" s="71"/>
      <c r="H54" s="37" t="str">
        <f t="shared" si="1"/>
        <v/>
      </c>
      <c r="I54" s="77" t="str">
        <f>IF(H54="","",IF($I$8="A",(RANK(H54,H$11:H$368,1)+COUNTIF(H$11:H54,H54)-1),(RANK(H54,H$11:H$368)+COUNTIF(H$11:H54,H54)-1)))</f>
        <v/>
      </c>
      <c r="J54" s="35"/>
      <c r="K54" s="28">
        <f t="shared" si="7"/>
        <v>44</v>
      </c>
      <c r="L54" s="36" t="str">
        <f t="shared" si="2"/>
        <v>Eden</v>
      </c>
      <c r="M54" s="102">
        <f t="shared" si="22"/>
        <v>85.470285287194898</v>
      </c>
      <c r="N54" s="101">
        <f t="shared" si="23"/>
        <v>85.470285287194898</v>
      </c>
      <c r="O54" s="94">
        <f t="shared" si="8"/>
        <v>85.470285287194898</v>
      </c>
      <c r="P54" s="94" t="str">
        <f t="shared" si="18"/>
        <v/>
      </c>
      <c r="Q54" s="94" t="str">
        <f t="shared" si="19"/>
        <v/>
      </c>
      <c r="R54" s="90" t="str">
        <f t="shared" si="20"/>
        <v/>
      </c>
      <c r="S54" s="37" t="str">
        <f t="shared" si="9"/>
        <v/>
      </c>
      <c r="T54" s="176" t="str">
        <f>IF(L54="","",VLOOKUP(L54,classifications!C:K,9,FALSE))</f>
        <v>Sparse</v>
      </c>
      <c r="U54" s="183">
        <f t="shared" si="25"/>
        <v>85.470285287194898</v>
      </c>
      <c r="V54" s="184">
        <f>IF(U54="","",IF($I$8="A",(RANK(U54,U$11:U$368)+COUNTIF(U$11:U54,U54)-1),(RANK(U54,U$11:U$368,1)+COUNTIF(U$11:U54,U54)-1)))</f>
        <v>54</v>
      </c>
      <c r="W54" s="185"/>
      <c r="X54" s="38" t="str">
        <f>IF(L54="","",VLOOKUP($L54,classifications!$C:$J,6,FALSE))</f>
        <v xml:space="preserve">Mainly Rural (rural including hub towns &gt;=80%) </v>
      </c>
      <c r="Y54" s="26">
        <f t="shared" si="3"/>
        <v>85.470285287194898</v>
      </c>
      <c r="Z54" s="34">
        <f>IF(Y54="","",IF(I$8="A",(RANK(Y54,Y$11:Y$368,1)+COUNTIF(Y$11:Y54,Y54)-1),(RANK(Y54,Y$11:Y$368)+COUNTIF(Y$11:Y54,Y54)-1)))</f>
        <v>11</v>
      </c>
      <c r="AA54" s="188" t="str">
        <f>IF(L54="","",VLOOKUP($L54,classifications!C:I,7,FALSE))</f>
        <v>Predominantly Rural</v>
      </c>
      <c r="AB54" s="184">
        <f t="shared" si="11"/>
        <v>85.470285287194898</v>
      </c>
      <c r="AC54" s="184">
        <f>IF(AB54="","",IF($I$8="A",(RANK(AB54,AB$11:AB$368)+COUNTIF(AB$11:AB54,AB54)-1),(RANK(AB54,AB$11:AB$368,1)+COUNTIF(AB$11:AB54,AB54)-1)))</f>
        <v>56</v>
      </c>
      <c r="AD54" s="184"/>
      <c r="AE54" s="28" t="str">
        <f t="shared" si="24"/>
        <v/>
      </c>
      <c r="AG54" s="96"/>
      <c r="AH54" s="29"/>
      <c r="AI54" s="38" t="str">
        <f>IF(L54="","",VLOOKUP($L54,classifications!$C:$J,8,FALSE))</f>
        <v>Cumbria</v>
      </c>
      <c r="AJ54" s="39">
        <f t="shared" si="4"/>
        <v>85.470285287194898</v>
      </c>
      <c r="AK54" s="34">
        <f>IF(AJ54="","",IF(I$8="A",(RANK(AJ54,AJ$11:AJ$368,1)+COUNTIF(AJ$11:AJ54,AJ54)-1),(RANK(AJ54,AJ$11:AJ$368)+COUNTIF(AJ$11:AJ54,AJ54)-1)))</f>
        <v>2</v>
      </c>
      <c r="AL54" s="29" t="str">
        <f t="shared" si="13"/>
        <v/>
      </c>
      <c r="AM54" s="8" t="str">
        <f t="shared" si="5"/>
        <v/>
      </c>
      <c r="AN54" s="8" t="str">
        <f t="shared" si="14"/>
        <v/>
      </c>
      <c r="AP54" s="38" t="str">
        <f>IF(L54="","",VLOOKUP($L54,classifications!$C:$E,3,FALSE))</f>
        <v>North West</v>
      </c>
      <c r="AQ54" s="39">
        <f t="shared" si="15"/>
        <v>85.470285287194898</v>
      </c>
      <c r="AR54" s="34">
        <f>IF(AQ54="","",IF(I$8="A",(RANK(AQ54,AQ$11:AQ$368,1)+COUNTIF(AQ$11:AQ54,AQ54)-1),(RANK(AQ54,AQ$11:AQ$368)+COUNTIF(AQ$11:AQ54,AQ54)-1)))</f>
        <v>4</v>
      </c>
      <c r="AS54" s="29" t="str">
        <f t="shared" si="16"/>
        <v/>
      </c>
      <c r="AT54" s="34" t="str">
        <f t="shared" si="6"/>
        <v/>
      </c>
      <c r="AU54" s="39" t="str">
        <f t="shared" si="17"/>
        <v/>
      </c>
      <c r="AX54" s="21">
        <f>HLOOKUP($AX$9&amp;$AX$10,Data!$A$1:$ZZ$2000,(MATCH($C54,Data!$A$1:$A$2000,0)),FALSE)</f>
        <v>81.515399100401225</v>
      </c>
      <c r="AY54" s="103"/>
      <c r="AZ54" s="21"/>
    </row>
    <row r="55" spans="1:52">
      <c r="A55" s="56" t="str">
        <f>$D$1&amp;45</f>
        <v>SD45</v>
      </c>
      <c r="B55" s="57" t="str">
        <f>IF(ISERROR(VLOOKUP(A55,classifications!A:C,3,FALSE)),0,VLOOKUP(A55,classifications!A:C,3,FALSE))</f>
        <v>Rugby</v>
      </c>
      <c r="C55" s="8" t="s">
        <v>27</v>
      </c>
      <c r="D55" s="26" t="str">
        <f>VLOOKUP($C55,classifications!$C:$J,4,FALSE)</f>
        <v>SD</v>
      </c>
      <c r="E55" s="26">
        <f>VLOOKUP(C55,classifications!C:K,9,FALSE)</f>
        <v>0</v>
      </c>
      <c r="F55" s="36">
        <f t="shared" si="0"/>
        <v>89.877725719925976</v>
      </c>
      <c r="G55" s="71"/>
      <c r="H55" s="37">
        <f t="shared" si="1"/>
        <v>89.877725719925976</v>
      </c>
      <c r="I55" s="77">
        <f>IF(H55="","",IF($I$8="A",(RANK(H55,H$11:H$368,1)+COUNTIF(H$11:H55,H55)-1),(RANK(H55,H$11:H$368)+COUNTIF(H$11:H55,H55)-1)))</f>
        <v>2</v>
      </c>
      <c r="J55" s="35"/>
      <c r="K55" s="28">
        <f t="shared" si="7"/>
        <v>45</v>
      </c>
      <c r="L55" s="36" t="str">
        <f t="shared" si="2"/>
        <v>Cheltenham</v>
      </c>
      <c r="M55" s="102">
        <f t="shared" si="22"/>
        <v>85.247999326678922</v>
      </c>
      <c r="N55" s="101">
        <f t="shared" si="23"/>
        <v>85.247999326678922</v>
      </c>
      <c r="O55" s="94">
        <f t="shared" si="8"/>
        <v>85.247999326678922</v>
      </c>
      <c r="P55" s="94" t="str">
        <f t="shared" si="18"/>
        <v/>
      </c>
      <c r="Q55" s="94" t="str">
        <f t="shared" si="19"/>
        <v/>
      </c>
      <c r="R55" s="90" t="str">
        <f t="shared" si="20"/>
        <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Gloucestershire</v>
      </c>
      <c r="AJ55" s="39" t="str">
        <f t="shared" si="4"/>
        <v/>
      </c>
      <c r="AK55" s="34" t="str">
        <f>IF(AJ55="","",IF(I$8="A",(RANK(AJ55,AJ$11:AJ$368,1)+COUNTIF(AJ$11:AJ55,AJ55)-1),(RANK(AJ55,AJ$11:AJ$368)+COUNTIF(AJ$11:AJ55,AJ55)-1)))</f>
        <v/>
      </c>
      <c r="AL55" s="29" t="str">
        <f t="shared" si="13"/>
        <v/>
      </c>
      <c r="AM55" s="8" t="str">
        <f t="shared" si="5"/>
        <v/>
      </c>
      <c r="AN55" s="8" t="str">
        <f t="shared" si="14"/>
        <v/>
      </c>
      <c r="AP55" s="38" t="str">
        <f>IF(L55="","",VLOOKUP($L55,classifications!$C:$E,3,FALSE))</f>
        <v>South West</v>
      </c>
      <c r="AQ55" s="39" t="str">
        <f t="shared" si="15"/>
        <v/>
      </c>
      <c r="AR55" s="34" t="str">
        <f>IF(AQ55="","",IF(I$8="A",(RANK(AQ55,AQ$11:AQ$368,1)+COUNTIF(AQ$11:AQ55,AQ55)-1),(RANK(AQ55,AQ$11:AQ$368)+COUNTIF(AQ$11:AQ55,AQ55)-1)))</f>
        <v/>
      </c>
      <c r="AS55" s="29" t="str">
        <f t="shared" si="16"/>
        <v/>
      </c>
      <c r="AT55" s="34" t="str">
        <f t="shared" si="6"/>
        <v/>
      </c>
      <c r="AU55" s="39" t="str">
        <f t="shared" si="17"/>
        <v/>
      </c>
      <c r="AX55" s="21">
        <f>HLOOKUP($AX$9&amp;$AX$10,Data!$A$1:$ZZ$2000,(MATCH($C55,Data!$A$1:$A$2000,0)),FALSE)</f>
        <v>89.877725719925976</v>
      </c>
      <c r="AY55" s="103"/>
      <c r="AZ55" s="21"/>
    </row>
    <row r="56" spans="1:52">
      <c r="A56" s="56" t="str">
        <f>$D$1&amp;46</f>
        <v>SD46</v>
      </c>
      <c r="B56" s="57" t="str">
        <f>IF(ISERROR(VLOOKUP(A56,classifications!A:C,3,FALSE)),0,VLOOKUP(A56,classifications!A:C,3,FALSE))</f>
        <v>Ryedale</v>
      </c>
      <c r="C56" s="8" t="s">
        <v>302</v>
      </c>
      <c r="D56" s="26" t="str">
        <f>VLOOKUP($C56,classifications!$C:$J,4,FALSE)</f>
        <v>SC</v>
      </c>
      <c r="E56" s="26">
        <f>VLOOKUP(C56,classifications!C:K,9,FALSE)</f>
        <v>0</v>
      </c>
      <c r="F56" s="36">
        <f t="shared" si="0"/>
        <v>83.358927119604033</v>
      </c>
      <c r="G56" s="71"/>
      <c r="H56" s="37" t="str">
        <f t="shared" si="1"/>
        <v/>
      </c>
      <c r="I56" s="77" t="str">
        <f>IF(H56="","",IF($I$8="A",(RANK(H56,H$11:H$368,1)+COUNTIF(H$11:H56,H56)-1),(RANK(H56,H$11:H$368)+COUNTIF(H$11:H56,H56)-1)))</f>
        <v/>
      </c>
      <c r="J56" s="35"/>
      <c r="K56" s="28">
        <f t="shared" si="7"/>
        <v>46</v>
      </c>
      <c r="L56" s="36" t="str">
        <f t="shared" si="2"/>
        <v>Horsham</v>
      </c>
      <c r="M56" s="102">
        <f t="shared" si="22"/>
        <v>85.215066128773415</v>
      </c>
      <c r="N56" s="101">
        <f t="shared" si="23"/>
        <v>85.215066128773415</v>
      </c>
      <c r="O56" s="94">
        <f t="shared" si="8"/>
        <v>85.215066128773415</v>
      </c>
      <c r="P56" s="94" t="str">
        <f t="shared" si="18"/>
        <v/>
      </c>
      <c r="Q56" s="94" t="str">
        <f t="shared" si="19"/>
        <v/>
      </c>
      <c r="R56" s="90" t="str">
        <f t="shared" si="20"/>
        <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 xml:space="preserve">Largely Rural (rural including hub towns 50-79%) </v>
      </c>
      <c r="Y56" s="26" t="str">
        <f t="shared" si="3"/>
        <v/>
      </c>
      <c r="Z56" s="34" t="str">
        <f>IF(Y56="","",IF(I$8="A",(RANK(Y56,Y$11:Y$368,1)+COUNTIF(Y$11:Y56,Y56)-1),(RANK(Y56,Y$11:Y$368)+COUNTIF(Y$11:Y56,Y56)-1)))</f>
        <v/>
      </c>
      <c r="AA56" s="188" t="str">
        <f>IF(L56="","",VLOOKUP($L56,classifications!C:I,7,FALSE))</f>
        <v>Predominantly Rural</v>
      </c>
      <c r="AB56" s="184">
        <f t="shared" si="11"/>
        <v>85.215066128773415</v>
      </c>
      <c r="AC56" s="184">
        <f>IF(AB56="","",IF($I$8="A",(RANK(AB56,AB$11:AB$368)+COUNTIF(AB$11:AB56,AB56)-1),(RANK(AB56,AB$11:AB$368,1)+COUNTIF(AB$11:AB56,AB56)-1)))</f>
        <v>55</v>
      </c>
      <c r="AD56" s="184"/>
      <c r="AE56" s="28" t="str">
        <f t="shared" si="24"/>
        <v/>
      </c>
      <c r="AG56" s="96"/>
      <c r="AH56" s="29"/>
      <c r="AI56" s="38" t="str">
        <f>IF(L56="","",VLOOKUP($L56,classifications!$C:$J,8,FALSE))</f>
        <v>West Sussex</v>
      </c>
      <c r="AJ56" s="39" t="str">
        <f t="shared" si="4"/>
        <v/>
      </c>
      <c r="AK56" s="34" t="str">
        <f>IF(AJ56="","",IF(I$8="A",(RANK(AJ56,AJ$11:AJ$368,1)+COUNTIF(AJ$11:AJ56,AJ56)-1),(RANK(AJ56,AJ$11:AJ$368)+COUNTIF(AJ$11:AJ56,AJ56)-1)))</f>
        <v/>
      </c>
      <c r="AL56" s="29" t="str">
        <f t="shared" si="13"/>
        <v/>
      </c>
      <c r="AM56" s="8" t="str">
        <f t="shared" si="5"/>
        <v/>
      </c>
      <c r="AN56" s="8" t="str">
        <f t="shared" si="14"/>
        <v/>
      </c>
      <c r="AP56" s="38" t="str">
        <f>IF(L56="","",VLOOKUP($L56,classifications!$C:$E,3,FALSE))</f>
        <v>South East</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83.358927119604033</v>
      </c>
      <c r="AY56" s="103"/>
      <c r="AZ56" s="21"/>
    </row>
    <row r="57" spans="1:52">
      <c r="A57" s="56" t="str">
        <f>$D$1&amp;47</f>
        <v>SD47</v>
      </c>
      <c r="B57" s="57" t="str">
        <f>IF(ISERROR(VLOOKUP(A57,classifications!A:C,3,FALSE)),0,VLOOKUP(A57,classifications!A:C,3,FALSE))</f>
        <v>Scarborough</v>
      </c>
      <c r="C57" s="8" t="s">
        <v>200</v>
      </c>
      <c r="D57" s="26" t="str">
        <f>VLOOKUP($C57,classifications!$C:$J,4,FALSE)</f>
        <v>L</v>
      </c>
      <c r="E57" s="26">
        <f>VLOOKUP(C57,classifications!C:K,9,FALSE)</f>
        <v>0</v>
      </c>
      <c r="F57" s="36">
        <f t="shared" si="0"/>
        <v>86.759166813977501</v>
      </c>
      <c r="G57" s="71"/>
      <c r="H57" s="37" t="str">
        <f t="shared" si="1"/>
        <v/>
      </c>
      <c r="I57" s="77" t="str">
        <f>IF(H57="","",IF($I$8="A",(RANK(H57,H$11:H$368,1)+COUNTIF(H$11:H57,H57)-1),(RANK(H57,H$11:H$368)+COUNTIF(H$11:H57,H57)-1)))</f>
        <v/>
      </c>
      <c r="J57" s="35"/>
      <c r="K57" s="28">
        <f t="shared" si="7"/>
        <v>47</v>
      </c>
      <c r="L57" s="36" t="str">
        <f t="shared" si="2"/>
        <v>East Northamptonshire</v>
      </c>
      <c r="M57" s="102">
        <f t="shared" si="22"/>
        <v>85.076646291930146</v>
      </c>
      <c r="N57" s="101">
        <f t="shared" si="23"/>
        <v>85.076646291930146</v>
      </c>
      <c r="O57" s="94">
        <f t="shared" si="8"/>
        <v>85.076646291930146</v>
      </c>
      <c r="P57" s="94" t="str">
        <f t="shared" si="18"/>
        <v/>
      </c>
      <c r="Q57" s="94" t="str">
        <f t="shared" si="19"/>
        <v/>
      </c>
      <c r="R57" s="90" t="str">
        <f t="shared" si="20"/>
        <v/>
      </c>
      <c r="S57" s="37" t="str">
        <f t="shared" si="9"/>
        <v/>
      </c>
      <c r="T57" s="176" t="str">
        <f>IF(L57="","",VLOOKUP(L57,classifications!C:K,9,FALSE))</f>
        <v>Sparse</v>
      </c>
      <c r="U57" s="183">
        <f t="shared" si="25"/>
        <v>85.076646291930146</v>
      </c>
      <c r="V57" s="184">
        <f>IF(U57="","",IF($I$8="A",(RANK(U57,U$11:U$368)+COUNTIF(U$11:U57,U57)-1),(RANK(U57,U$11:U$368,1)+COUNTIF(U$11:U57,U57)-1)))</f>
        <v>53</v>
      </c>
      <c r="W57" s="185"/>
      <c r="X57" s="38" t="str">
        <f>IF(L57="","",VLOOKUP($L57,classifications!$C:$J,6,FALSE))</f>
        <v xml:space="preserve">Largely Rural (rural including hub towns 50-79%) </v>
      </c>
      <c r="Y57" s="26" t="str">
        <f t="shared" si="3"/>
        <v/>
      </c>
      <c r="Z57" s="34" t="str">
        <f>IF(Y57="","",IF(I$8="A",(RANK(Y57,Y$11:Y$368,1)+COUNTIF(Y$11:Y57,Y57)-1),(RANK(Y57,Y$11:Y$368)+COUNTIF(Y$11:Y57,Y57)-1)))</f>
        <v/>
      </c>
      <c r="AA57" s="188" t="str">
        <f>IF(L57="","",VLOOKUP($L57,classifications!C:I,7,FALSE))</f>
        <v>Predominantly Rural</v>
      </c>
      <c r="AB57" s="184">
        <f t="shared" si="11"/>
        <v>85.076646291930146</v>
      </c>
      <c r="AC57" s="184">
        <f>IF(AB57="","",IF($I$8="A",(RANK(AB57,AB$11:AB$368)+COUNTIF(AB$11:AB57,AB57)-1),(RANK(AB57,AB$11:AB$368,1)+COUNTIF(AB$11:AB57,AB57)-1)))</f>
        <v>54</v>
      </c>
      <c r="AD57" s="184"/>
      <c r="AE57" s="28" t="str">
        <f t="shared" si="24"/>
        <v/>
      </c>
      <c r="AG57" s="96"/>
      <c r="AH57" s="29"/>
      <c r="AI57" s="38" t="str">
        <f>IF(L57="","",VLOOKUP($L57,classifications!$C:$J,8,FALSE))</f>
        <v>Northamptonshire</v>
      </c>
      <c r="AJ57" s="39" t="str">
        <f t="shared" si="4"/>
        <v/>
      </c>
      <c r="AK57" s="34" t="str">
        <f>IF(AJ57="","",IF(I$8="A",(RANK(AJ57,AJ$11:AJ$368,1)+COUNTIF(AJ$11:AJ57,AJ57)-1),(RANK(AJ57,AJ$11:AJ$368)+COUNTIF(AJ$11:AJ57,AJ57)-1)))</f>
        <v/>
      </c>
      <c r="AL57" s="29" t="str">
        <f t="shared" si="13"/>
        <v/>
      </c>
      <c r="AM57" s="8" t="str">
        <f t="shared" si="5"/>
        <v/>
      </c>
      <c r="AN57" s="8" t="str">
        <f t="shared" si="14"/>
        <v/>
      </c>
      <c r="AP57" s="38" t="str">
        <f>IF(L57="","",VLOOKUP($L57,classifications!$C:$E,3,FALSE))</f>
        <v>East Midlands</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86.759166813977501</v>
      </c>
      <c r="AY57" s="103"/>
      <c r="AZ57" s="21"/>
    </row>
    <row r="58" spans="1:52">
      <c r="A58" s="56" t="str">
        <f>$D$1&amp;48</f>
        <v>SD48</v>
      </c>
      <c r="B58" s="57" t="str">
        <f>IF(ISERROR(VLOOKUP(A58,classifications!A:C,3,FALSE)),0,VLOOKUP(A58,classifications!A:C,3,FALSE))</f>
        <v>Sedgemoor</v>
      </c>
      <c r="C58" s="8" t="s">
        <v>28</v>
      </c>
      <c r="D58" s="26" t="str">
        <f>VLOOKUP($C58,classifications!$C:$J,4,FALSE)</f>
        <v>SD</v>
      </c>
      <c r="E58" s="26">
        <f>VLOOKUP(C58,classifications!C:K,9,FALSE)</f>
        <v>0</v>
      </c>
      <c r="F58" s="36">
        <f t="shared" si="0"/>
        <v>76.033457429563455</v>
      </c>
      <c r="G58" s="71"/>
      <c r="H58" s="37">
        <f t="shared" si="1"/>
        <v>76.033457429563455</v>
      </c>
      <c r="I58" s="77">
        <f>IF(H58="","",IF($I$8="A",(RANK(H58,H$11:H$368,1)+COUNTIF(H$11:H58,H58)-1),(RANK(H58,H$11:H$368)+COUNTIF(H$11:H58,H58)-1)))</f>
        <v>181</v>
      </c>
      <c r="J58" s="35"/>
      <c r="K58" s="28">
        <f t="shared" si="7"/>
        <v>48</v>
      </c>
      <c r="L58" s="36" t="str">
        <f t="shared" si="2"/>
        <v>Lewes</v>
      </c>
      <c r="M58" s="102">
        <f t="shared" si="22"/>
        <v>85.054382684796764</v>
      </c>
      <c r="N58" s="101">
        <f t="shared" si="23"/>
        <v>85.054382684796764</v>
      </c>
      <c r="O58" s="94">
        <f t="shared" si="8"/>
        <v>85.054382684796764</v>
      </c>
      <c r="P58" s="94" t="str">
        <f t="shared" si="18"/>
        <v/>
      </c>
      <c r="Q58" s="94" t="str">
        <f t="shared" si="19"/>
        <v/>
      </c>
      <c r="R58" s="90" t="str">
        <f t="shared" si="20"/>
        <v/>
      </c>
      <c r="S58" s="37" t="str">
        <f t="shared" si="9"/>
        <v/>
      </c>
      <c r="T58" s="176" t="str">
        <f>IF(L58="","",VLOOKUP(L58,classifications!C:K,9,FALSE))</f>
        <v>Sparse</v>
      </c>
      <c r="U58" s="183">
        <f t="shared" si="25"/>
        <v>85.054382684796764</v>
      </c>
      <c r="V58" s="184">
        <f>IF(U58="","",IF($I$8="A",(RANK(U58,U$11:U$368)+COUNTIF(U$11:U58,U58)-1),(RANK(U58,U$11:U$368,1)+COUNTIF(U$11:U58,U58)-1)))</f>
        <v>52</v>
      </c>
      <c r="W58" s="185"/>
      <c r="X58" s="38" t="str">
        <f>IF(L58="","",VLOOKUP($L58,classifications!$C:$J,6,FALSE))</f>
        <v>Urban with Significant Rural (rural including hub towns 26-49%)</v>
      </c>
      <c r="Y58" s="26" t="str">
        <f t="shared" si="3"/>
        <v/>
      </c>
      <c r="Z58" s="34" t="str">
        <f>IF(Y58="","",IF(I$8="A",(RANK(Y58,Y$11:Y$368,1)+COUNTIF(Y$11:Y58,Y58)-1),(RANK(Y58,Y$11:Y$368)+COUNTIF(Y$11:Y58,Y58)-1)))</f>
        <v/>
      </c>
      <c r="AA58" s="188" t="str">
        <f>IF(L58="","",VLOOKUP($L58,classifications!C:I,7,FALSE))</f>
        <v>Significant Rural</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East Sussex</v>
      </c>
      <c r="AJ58" s="39" t="str">
        <f t="shared" si="4"/>
        <v/>
      </c>
      <c r="AK58" s="34" t="str">
        <f>IF(AJ58="","",IF(I$8="A",(RANK(AJ58,AJ$11:AJ$368,1)+COUNTIF(AJ$11:AJ58,AJ58)-1),(RANK(AJ58,AJ$11:AJ$368)+COUNTIF(AJ$11:AJ58,AJ58)-1)))</f>
        <v/>
      </c>
      <c r="AL58" s="29" t="str">
        <f t="shared" si="13"/>
        <v/>
      </c>
      <c r="AM58" s="8" t="str">
        <f t="shared" si="5"/>
        <v/>
      </c>
      <c r="AN58" s="8" t="str">
        <f t="shared" si="14"/>
        <v/>
      </c>
      <c r="AP58" s="38" t="str">
        <f>IF(L58="","",VLOOKUP($L58,classifications!$C:$E,3,FALSE))</f>
        <v>South East</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76.033457429563455</v>
      </c>
      <c r="AY58" s="103"/>
      <c r="AZ58" s="21"/>
    </row>
    <row r="59" spans="1:52">
      <c r="A59" s="56" t="str">
        <f>$D$1&amp;49</f>
        <v>SD49</v>
      </c>
      <c r="B59" s="57" t="str">
        <f>IF(ISERROR(VLOOKUP(A59,classifications!A:C,3,FALSE)),0,VLOOKUP(A59,classifications!A:C,3,FALSE))</f>
        <v>Selby</v>
      </c>
      <c r="C59" s="8" t="s">
        <v>29</v>
      </c>
      <c r="D59" s="26" t="str">
        <f>VLOOKUP($C59,classifications!$C:$J,4,FALSE)</f>
        <v>SD</v>
      </c>
      <c r="E59" s="26">
        <f>VLOOKUP(C59,classifications!C:K,9,FALSE)</f>
        <v>0</v>
      </c>
      <c r="F59" s="36">
        <f t="shared" si="0"/>
        <v>84.721098664588297</v>
      </c>
      <c r="G59" s="71"/>
      <c r="H59" s="37">
        <f t="shared" si="1"/>
        <v>84.721098664588297</v>
      </c>
      <c r="I59" s="77">
        <f>IF(H59="","",IF($I$8="A",(RANK(H59,H$11:H$368,1)+COUNTIF(H$11:H59,H59)-1),(RANK(H59,H$11:H$368)+COUNTIF(H$11:H59,H59)-1)))</f>
        <v>54</v>
      </c>
      <c r="J59" s="35"/>
      <c r="K59" s="28">
        <f t="shared" si="7"/>
        <v>49</v>
      </c>
      <c r="L59" s="36" t="str">
        <f t="shared" si="2"/>
        <v>Richmondshire</v>
      </c>
      <c r="M59" s="102">
        <f t="shared" si="22"/>
        <v>85.027168137497483</v>
      </c>
      <c r="N59" s="101">
        <f t="shared" si="23"/>
        <v>85.027168137497483</v>
      </c>
      <c r="O59" s="94" t="str">
        <f t="shared" si="8"/>
        <v/>
      </c>
      <c r="P59" s="94">
        <f t="shared" si="18"/>
        <v>85.027168137497483</v>
      </c>
      <c r="Q59" s="94" t="str">
        <f t="shared" si="19"/>
        <v/>
      </c>
      <c r="R59" s="90" t="str">
        <f t="shared" si="20"/>
        <v/>
      </c>
      <c r="S59" s="37" t="str">
        <f t="shared" si="9"/>
        <v/>
      </c>
      <c r="T59" s="176" t="str">
        <f>IF(L59="","",VLOOKUP(L59,classifications!C:K,9,FALSE))</f>
        <v>Sparse</v>
      </c>
      <c r="U59" s="183">
        <f t="shared" si="25"/>
        <v>85.027168137497483</v>
      </c>
      <c r="V59" s="184">
        <f>IF(U59="","",IF($I$8="A",(RANK(U59,U$11:U$368)+COUNTIF(U$11:U59,U59)-1),(RANK(U59,U$11:U$368,1)+COUNTIF(U$11:U59,U59)-1)))</f>
        <v>51</v>
      </c>
      <c r="W59" s="185"/>
      <c r="X59" s="38" t="str">
        <f>IF(L59="","",VLOOKUP($L59,classifications!$C:$J,6,FALSE))</f>
        <v xml:space="preserve">Mainly Rural (rural including hub towns &gt;=80%) </v>
      </c>
      <c r="Y59" s="26">
        <f t="shared" si="3"/>
        <v>85.027168137497483</v>
      </c>
      <c r="Z59" s="34">
        <f>IF(Y59="","",IF(I$8="A",(RANK(Y59,Y$11:Y$368,1)+COUNTIF(Y$11:Y59,Y59)-1),(RANK(Y59,Y$11:Y$368)+COUNTIF(Y$11:Y59,Y59)-1)))</f>
        <v>12</v>
      </c>
      <c r="AA59" s="188" t="str">
        <f>IF(L59="","",VLOOKUP($L59,classifications!C:I,7,FALSE))</f>
        <v>Predominantly Rural</v>
      </c>
      <c r="AB59" s="184">
        <f t="shared" si="11"/>
        <v>85.027168137497483</v>
      </c>
      <c r="AC59" s="184">
        <f>IF(AB59="","",IF($I$8="A",(RANK(AB59,AB$11:AB$368)+COUNTIF(AB$11:AB59,AB59)-1),(RANK(AB59,AB$11:AB$368,1)+COUNTIF(AB$11:AB59,AB59)-1)))</f>
        <v>53</v>
      </c>
      <c r="AD59" s="184"/>
      <c r="AE59" s="28" t="str">
        <f t="shared" si="24"/>
        <v/>
      </c>
      <c r="AG59" s="96"/>
      <c r="AH59" s="29"/>
      <c r="AI59" s="38" t="str">
        <f>IF(L59="","",VLOOKUP($L59,classifications!$C:$J,8,FALSE))</f>
        <v>North Yorkshire</v>
      </c>
      <c r="AJ59" s="39" t="str">
        <f t="shared" si="4"/>
        <v/>
      </c>
      <c r="AK59" s="34" t="str">
        <f>IF(AJ59="","",IF(I$8="A",(RANK(AJ59,AJ$11:AJ$368,1)+COUNTIF(AJ$11:AJ59,AJ59)-1),(RANK(AJ59,AJ$11:AJ$368)+COUNTIF(AJ$11:AJ59,AJ59)-1)))</f>
        <v/>
      </c>
      <c r="AL59" s="29" t="str">
        <f t="shared" si="13"/>
        <v/>
      </c>
      <c r="AM59" s="8" t="str">
        <f t="shared" si="5"/>
        <v/>
      </c>
      <c r="AN59" s="8" t="str">
        <f t="shared" si="14"/>
        <v/>
      </c>
      <c r="AP59" s="38" t="str">
        <f>IF(L59="","",VLOOKUP($L59,classifications!$C:$E,3,FALSE))</f>
        <v>Yorkshire &amp; Humberside</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84.721098664588297</v>
      </c>
      <c r="AY59" s="103"/>
      <c r="AZ59" s="21"/>
    </row>
    <row r="60" spans="1:52">
      <c r="A60" s="56" t="str">
        <f>$D$1&amp;50</f>
        <v>SD50</v>
      </c>
      <c r="B60" s="57" t="str">
        <f>IF(ISERROR(VLOOKUP(A60,classifications!A:C,3,FALSE)),0,VLOOKUP(A60,classifications!A:C,3,FALSE))</f>
        <v>Sevenoaks</v>
      </c>
      <c r="C60" s="8" t="s">
        <v>30</v>
      </c>
      <c r="D60" s="26" t="str">
        <f>VLOOKUP($C60,classifications!$C:$J,4,FALSE)</f>
        <v>SD</v>
      </c>
      <c r="E60" s="26">
        <f>VLOOKUP(C60,classifications!C:K,9,FALSE)</f>
        <v>0</v>
      </c>
      <c r="F60" s="36">
        <f t="shared" si="0"/>
        <v>81.09538839596307</v>
      </c>
      <c r="G60" s="71"/>
      <c r="H60" s="37">
        <f t="shared" si="1"/>
        <v>81.09538839596307</v>
      </c>
      <c r="I60" s="77">
        <f>IF(H60="","",IF($I$8="A",(RANK(H60,H$11:H$368,1)+COUNTIF(H$11:H60,H60)-1),(RANK(H60,H$11:H$368)+COUNTIF(H$11:H60,H60)-1)))</f>
        <v>126</v>
      </c>
      <c r="J60" s="35"/>
      <c r="K60" s="28">
        <f t="shared" si="7"/>
        <v>50</v>
      </c>
      <c r="L60" s="36" t="str">
        <f t="shared" si="2"/>
        <v>Wychavon</v>
      </c>
      <c r="M60" s="102">
        <f t="shared" si="22"/>
        <v>84.856066522804923</v>
      </c>
      <c r="N60" s="101">
        <f t="shared" si="23"/>
        <v>84.856066522804923</v>
      </c>
      <c r="O60" s="94" t="str">
        <f t="shared" si="8"/>
        <v/>
      </c>
      <c r="P60" s="94">
        <f t="shared" si="18"/>
        <v>84.856066522804923</v>
      </c>
      <c r="Q60" s="94" t="str">
        <f t="shared" si="19"/>
        <v/>
      </c>
      <c r="R60" s="90" t="str">
        <f t="shared" si="20"/>
        <v/>
      </c>
      <c r="S60" s="37" t="str">
        <f t="shared" si="9"/>
        <v/>
      </c>
      <c r="T60" s="176" t="str">
        <f>IF(L60="","",VLOOKUP(L60,classifications!C:K,9,FALSE))</f>
        <v>Sparse</v>
      </c>
      <c r="U60" s="183">
        <f t="shared" si="25"/>
        <v>84.856066522804923</v>
      </c>
      <c r="V60" s="184">
        <f>IF(U60="","",IF($I$8="A",(RANK(U60,U$11:U$368)+COUNTIF(U$11:U60,U60)-1),(RANK(U60,U$11:U$368,1)+COUNTIF(U$11:U60,U60)-1)))</f>
        <v>50</v>
      </c>
      <c r="W60" s="185"/>
      <c r="X60" s="38" t="str">
        <f>IF(L60="","",VLOOKUP($L60,classifications!$C:$J,6,FALSE))</f>
        <v xml:space="preserve">Mainly Rural (rural including hub towns &gt;=80%) </v>
      </c>
      <c r="Y60" s="26">
        <f t="shared" si="3"/>
        <v>84.856066522804923</v>
      </c>
      <c r="Z60" s="34">
        <f>IF(Y60="","",IF(I$8="A",(RANK(Y60,Y$11:Y$368,1)+COUNTIF(Y$11:Y60,Y60)-1),(RANK(Y60,Y$11:Y$368)+COUNTIF(Y$11:Y60,Y60)-1)))</f>
        <v>13</v>
      </c>
      <c r="AA60" s="188" t="str">
        <f>IF(L60="","",VLOOKUP($L60,classifications!C:I,7,FALSE))</f>
        <v>Predominantly Rural</v>
      </c>
      <c r="AB60" s="184">
        <f t="shared" si="11"/>
        <v>84.856066522804923</v>
      </c>
      <c r="AC60" s="184">
        <f>IF(AB60="","",IF($I$8="A",(RANK(AB60,AB$11:AB$368)+COUNTIF(AB$11:AB60,AB60)-1),(RANK(AB60,AB$11:AB$368,1)+COUNTIF(AB$11:AB60,AB60)-1)))</f>
        <v>52</v>
      </c>
      <c r="AD60" s="184"/>
      <c r="AE60" s="28" t="str">
        <f t="shared" si="24"/>
        <v/>
      </c>
      <c r="AG60" s="96"/>
      <c r="AH60" s="29"/>
      <c r="AI60" s="38" t="str">
        <f>IF(L60="","",VLOOKUP($L60,classifications!$C:$J,8,FALSE))</f>
        <v>Worcestershire</v>
      </c>
      <c r="AJ60" s="39" t="str">
        <f t="shared" si="4"/>
        <v/>
      </c>
      <c r="AK60" s="34" t="str">
        <f>IF(AJ60="","",IF(I$8="A",(RANK(AJ60,AJ$11:AJ$368,1)+COUNTIF(AJ$11:AJ60,AJ60)-1),(RANK(AJ60,AJ$11:AJ$368)+COUNTIF(AJ$11:AJ60,AJ60)-1)))</f>
        <v/>
      </c>
      <c r="AL60" s="29" t="str">
        <f t="shared" si="13"/>
        <v/>
      </c>
      <c r="AM60" s="8" t="str">
        <f t="shared" si="5"/>
        <v/>
      </c>
      <c r="AN60" s="8" t="str">
        <f t="shared" si="14"/>
        <v/>
      </c>
      <c r="AP60" s="38" t="str">
        <f>IF(L60="","",VLOOKUP($L60,classifications!$C:$E,3,FALSE))</f>
        <v>West Midlands</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81.09538839596307</v>
      </c>
      <c r="AY60" s="103"/>
      <c r="AZ60" s="21"/>
    </row>
    <row r="61" spans="1:52">
      <c r="A61" s="56" t="str">
        <f>$D$1&amp;51</f>
        <v>SD51</v>
      </c>
      <c r="B61" s="57" t="str">
        <f>IF(ISERROR(VLOOKUP(A61,classifications!A:C,3,FALSE)),0,VLOOKUP(A61,classifications!A:C,3,FALSE))</f>
        <v>Somerset West &amp; Taunton</v>
      </c>
      <c r="C61" s="8" t="s">
        <v>31</v>
      </c>
      <c r="D61" s="26" t="str">
        <f>VLOOKUP($C61,classifications!$C:$J,4,FALSE)</f>
        <v>SD</v>
      </c>
      <c r="E61" s="26">
        <f>VLOOKUP(C61,classifications!C:K,9,FALSE)</f>
        <v>0</v>
      </c>
      <c r="F61" s="36">
        <f t="shared" si="0"/>
        <v>82.144881546139516</v>
      </c>
      <c r="G61" s="71"/>
      <c r="H61" s="37">
        <f t="shared" si="1"/>
        <v>82.144881546139516</v>
      </c>
      <c r="I61" s="77">
        <f>IF(H61="","",IF($I$8="A",(RANK(H61,H$11:H$368,1)+COUNTIF(H$11:H61,H61)-1),(RANK(H61,H$11:H$368)+COUNTIF(H$11:H61,H61)-1)))</f>
        <v>107</v>
      </c>
      <c r="J61" s="35"/>
      <c r="K61" s="28">
        <f t="shared" si="7"/>
        <v>51</v>
      </c>
      <c r="L61" s="36" t="str">
        <f t="shared" si="2"/>
        <v>Tonbridge &amp; Malling</v>
      </c>
      <c r="M61" s="102">
        <f t="shared" si="22"/>
        <v>84.822746132255403</v>
      </c>
      <c r="N61" s="101">
        <f t="shared" si="23"/>
        <v>84.822746132255403</v>
      </c>
      <c r="O61" s="94" t="str">
        <f t="shared" si="8"/>
        <v/>
      </c>
      <c r="P61" s="94">
        <f t="shared" si="18"/>
        <v>84.822746132255403</v>
      </c>
      <c r="Q61" s="94" t="str">
        <f t="shared" si="19"/>
        <v/>
      </c>
      <c r="R61" s="90" t="str">
        <f t="shared" si="20"/>
        <v/>
      </c>
      <c r="S61" s="37" t="str">
        <f t="shared" si="9"/>
        <v/>
      </c>
      <c r="T61" s="176">
        <f>IF(L61="","",VLOOKUP(L61,classifications!C:K,9,FALSE))</f>
        <v>0</v>
      </c>
      <c r="U61" s="183" t="str">
        <f t="shared" si="25"/>
        <v/>
      </c>
      <c r="V61" s="184" t="str">
        <f>IF(U61="","",IF($I$8="A",(RANK(U61,U$11:U$368)+COUNTIF(U$11:U61,U61)-1),(RANK(U61,U$11:U$368,1)+COUNTIF(U$11:U61,U61)-1)))</f>
        <v/>
      </c>
      <c r="W61" s="185"/>
      <c r="X61" s="38" t="str">
        <f>IF(L61="","",VLOOKUP($L61,classifications!$C:$J,6,FALSE))</f>
        <v>Urban with Significant Rural (rural including hub towns 26-49%)</v>
      </c>
      <c r="Y61" s="26" t="str">
        <f t="shared" si="3"/>
        <v/>
      </c>
      <c r="Z61" s="34" t="str">
        <f>IF(Y61="","",IF(I$8="A",(RANK(Y61,Y$11:Y$368,1)+COUNTIF(Y$11:Y61,Y61)-1),(RANK(Y61,Y$11:Y$368)+COUNTIF(Y$11:Y61,Y61)-1)))</f>
        <v/>
      </c>
      <c r="AA61" s="188" t="str">
        <f>IF(L61="","",VLOOKUP($L61,classifications!C:I,7,FALSE))</f>
        <v>Significant Rural</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Kent</v>
      </c>
      <c r="AJ61" s="39" t="str">
        <f t="shared" si="4"/>
        <v/>
      </c>
      <c r="AK61" s="34" t="str">
        <f>IF(AJ61="","",IF(I$8="A",(RANK(AJ61,AJ$11:AJ$368,1)+COUNTIF(AJ$11:AJ61,AJ61)-1),(RANK(AJ61,AJ$11:AJ$368)+COUNTIF(AJ$11:AJ61,AJ61)-1)))</f>
        <v/>
      </c>
      <c r="AL61" s="29" t="str">
        <f t="shared" si="13"/>
        <v/>
      </c>
      <c r="AM61" s="8" t="str">
        <f t="shared" si="5"/>
        <v/>
      </c>
      <c r="AN61" s="8" t="str">
        <f t="shared" si="14"/>
        <v/>
      </c>
      <c r="AP61" s="38" t="str">
        <f>IF(L61="","",VLOOKUP($L61,classifications!$C:$E,3,FALSE))</f>
        <v>South East</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82.144881546139516</v>
      </c>
      <c r="AY61" s="103"/>
      <c r="AZ61" s="21"/>
    </row>
    <row r="62" spans="1:52">
      <c r="A62" s="56" t="str">
        <f>$D$1&amp;52</f>
        <v>SD52</v>
      </c>
      <c r="B62" s="57" t="str">
        <f>IF(ISERROR(VLOOKUP(A62,classifications!A:C,3,FALSE)),0,VLOOKUP(A62,classifications!A:C,3,FALSE))</f>
        <v>South Cambridgeshire</v>
      </c>
      <c r="C62" s="8" t="s">
        <v>303</v>
      </c>
      <c r="D62" s="26" t="str">
        <f>VLOOKUP($C62,classifications!$C:$J,4,FALSE)</f>
        <v>UA</v>
      </c>
      <c r="E62" s="26">
        <f>VLOOKUP(C62,classifications!C:K,9,FALSE)</f>
        <v>0</v>
      </c>
      <c r="F62" s="36">
        <f t="shared" si="0"/>
        <v>81.745966822663377</v>
      </c>
      <c r="G62" s="71"/>
      <c r="H62" s="37" t="str">
        <f t="shared" si="1"/>
        <v/>
      </c>
      <c r="I62" s="77" t="str">
        <f>IF(H62="","",IF($I$8="A",(RANK(H62,H$11:H$368,1)+COUNTIF(H$11:H62,H62)-1),(RANK(H62,H$11:H$368)+COUNTIF(H$11:H62,H62)-1)))</f>
        <v/>
      </c>
      <c r="J62" s="35"/>
      <c r="K62" s="28">
        <f t="shared" si="7"/>
        <v>52</v>
      </c>
      <c r="L62" s="36" t="str">
        <f t="shared" si="2"/>
        <v>Bromsgrove</v>
      </c>
      <c r="M62" s="102">
        <f t="shared" si="22"/>
        <v>84.809410038344751</v>
      </c>
      <c r="N62" s="101">
        <f t="shared" si="23"/>
        <v>84.809410038344751</v>
      </c>
      <c r="O62" s="94" t="str">
        <f t="shared" si="8"/>
        <v/>
      </c>
      <c r="P62" s="94">
        <f t="shared" si="18"/>
        <v>84.809410038344751</v>
      </c>
      <c r="Q62" s="94" t="str">
        <f t="shared" si="19"/>
        <v/>
      </c>
      <c r="R62" s="90" t="str">
        <f t="shared" si="20"/>
        <v/>
      </c>
      <c r="S62" s="37" t="str">
        <f t="shared" si="9"/>
        <v/>
      </c>
      <c r="T62" s="176">
        <f>IF(L62="","",VLOOKUP(L62,classifications!C:K,9,FALSE))</f>
        <v>0</v>
      </c>
      <c r="U62" s="183" t="str">
        <f t="shared" si="25"/>
        <v/>
      </c>
      <c r="V62" s="184" t="str">
        <f>IF(U62="","",IF($I$8="A",(RANK(U62,U$11:U$368)+COUNTIF(U$11:U62,U62)-1),(RANK(U62,U$11:U$368,1)+COUNTIF(U$11:U62,U62)-1)))</f>
        <v/>
      </c>
      <c r="W62" s="185"/>
      <c r="X62" s="38" t="str">
        <f>IF(L62="","",VLOOKUP($L62,classifications!$C:$J,6,FALSE))</f>
        <v>Urban with City and Town</v>
      </c>
      <c r="Y62" s="26" t="str">
        <f t="shared" si="3"/>
        <v/>
      </c>
      <c r="Z62" s="34" t="str">
        <f>IF(Y62="","",IF(I$8="A",(RANK(Y62,Y$11:Y$368,1)+COUNTIF(Y$11:Y62,Y62)-1),(RANK(Y62,Y$11:Y$368)+COUNTIF(Y$11:Y62,Y62)-1)))</f>
        <v/>
      </c>
      <c r="AA62" s="188" t="str">
        <f>IF(L62="","",VLOOKUP($L62,classifications!C:I,7,FALSE))</f>
        <v>Predominantly Urban</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Worcestershire</v>
      </c>
      <c r="AJ62" s="39" t="str">
        <f t="shared" si="4"/>
        <v/>
      </c>
      <c r="AK62" s="34" t="str">
        <f>IF(AJ62="","",IF(I$8="A",(RANK(AJ62,AJ$11:AJ$368,1)+COUNTIF(AJ$11:AJ62,AJ62)-1),(RANK(AJ62,AJ$11:AJ$368)+COUNTIF(AJ$11:AJ62,AJ62)-1)))</f>
        <v/>
      </c>
      <c r="AL62" s="29" t="str">
        <f t="shared" si="13"/>
        <v/>
      </c>
      <c r="AM62" s="8" t="str">
        <f t="shared" si="5"/>
        <v/>
      </c>
      <c r="AN62" s="8" t="str">
        <f t="shared" si="14"/>
        <v/>
      </c>
      <c r="AP62" s="38" t="str">
        <f>IF(L62="","",VLOOKUP($L62,classifications!$C:$E,3,FALSE))</f>
        <v>West Midlands</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81.745966822663377</v>
      </c>
      <c r="AY62" s="103"/>
      <c r="AZ62" s="21"/>
    </row>
    <row r="63" spans="1:52">
      <c r="A63" s="56" t="str">
        <f>$D$1&amp;53</f>
        <v>SD53</v>
      </c>
      <c r="B63" s="57" t="str">
        <f>IF(ISERROR(VLOOKUP(A63,classifications!A:C,3,FALSE)),0,VLOOKUP(A63,classifications!A:C,3,FALSE))</f>
        <v>South Derbyshire</v>
      </c>
      <c r="C63" s="8" t="s">
        <v>32</v>
      </c>
      <c r="D63" s="26" t="str">
        <f>VLOOKUP($C63,classifications!$C:$J,4,FALSE)</f>
        <v>SD</v>
      </c>
      <c r="E63" s="26">
        <f>VLOOKUP(C63,classifications!C:K,9,FALSE)</f>
        <v>0</v>
      </c>
      <c r="F63" s="36">
        <f t="shared" si="0"/>
        <v>84.648901808129352</v>
      </c>
      <c r="G63" s="71"/>
      <c r="H63" s="37">
        <f t="shared" si="1"/>
        <v>84.648901808129352</v>
      </c>
      <c r="I63" s="77">
        <f>IF(H63="","",IF($I$8="A",(RANK(H63,H$11:H$368,1)+COUNTIF(H$11:H63,H63)-1),(RANK(H63,H$11:H$368)+COUNTIF(H$11:H63,H63)-1)))</f>
        <v>55</v>
      </c>
      <c r="J63" s="35"/>
      <c r="K63" s="28">
        <f t="shared" si="7"/>
        <v>53</v>
      </c>
      <c r="L63" s="36" t="str">
        <f t="shared" si="2"/>
        <v>Hambleton</v>
      </c>
      <c r="M63" s="102">
        <f t="shared" si="22"/>
        <v>84.789792468125</v>
      </c>
      <c r="N63" s="101">
        <f t="shared" si="23"/>
        <v>84.789792468125</v>
      </c>
      <c r="O63" s="94" t="str">
        <f t="shared" si="8"/>
        <v/>
      </c>
      <c r="P63" s="94">
        <f t="shared" si="18"/>
        <v>84.789792468125</v>
      </c>
      <c r="Q63" s="94" t="str">
        <f t="shared" si="19"/>
        <v/>
      </c>
      <c r="R63" s="90" t="str">
        <f t="shared" si="20"/>
        <v/>
      </c>
      <c r="S63" s="37" t="str">
        <f t="shared" si="9"/>
        <v/>
      </c>
      <c r="T63" s="176" t="str">
        <f>IF(L63="","",VLOOKUP(L63,classifications!C:K,9,FALSE))</f>
        <v>Sparse</v>
      </c>
      <c r="U63" s="183">
        <f t="shared" si="25"/>
        <v>84.789792468125</v>
      </c>
      <c r="V63" s="184">
        <f>IF(U63="","",IF($I$8="A",(RANK(U63,U$11:U$368)+COUNTIF(U$11:U63,U63)-1),(RANK(U63,U$11:U$368,1)+COUNTIF(U$11:U63,U63)-1)))</f>
        <v>49</v>
      </c>
      <c r="W63" s="185"/>
      <c r="X63" s="38" t="str">
        <f>IF(L63="","",VLOOKUP($L63,classifications!$C:$J,6,FALSE))</f>
        <v xml:space="preserve">Mainly Rural (rural including hub towns &gt;=80%) </v>
      </c>
      <c r="Y63" s="26">
        <f t="shared" si="3"/>
        <v>84.789792468125</v>
      </c>
      <c r="Z63" s="34">
        <f>IF(Y63="","",IF(I$8="A",(RANK(Y63,Y$11:Y$368,1)+COUNTIF(Y$11:Y63,Y63)-1),(RANK(Y63,Y$11:Y$368)+COUNTIF(Y$11:Y63,Y63)-1)))</f>
        <v>14</v>
      </c>
      <c r="AA63" s="188" t="str">
        <f>IF(L63="","",VLOOKUP($L63,classifications!C:I,7,FALSE))</f>
        <v>Predominantly Rural</v>
      </c>
      <c r="AB63" s="184">
        <f t="shared" si="11"/>
        <v>84.789792468125</v>
      </c>
      <c r="AC63" s="184">
        <f>IF(AB63="","",IF($I$8="A",(RANK(AB63,AB$11:AB$368)+COUNTIF(AB$11:AB63,AB63)-1),(RANK(AB63,AB$11:AB$368,1)+COUNTIF(AB$11:AB63,AB63)-1)))</f>
        <v>51</v>
      </c>
      <c r="AD63" s="184"/>
      <c r="AE63" s="28" t="str">
        <f t="shared" si="24"/>
        <v/>
      </c>
      <c r="AG63" s="96"/>
      <c r="AH63" s="29"/>
      <c r="AI63" s="38" t="str">
        <f>IF(L63="","",VLOOKUP($L63,classifications!$C:$J,8,FALSE))</f>
        <v>North Yorkshire</v>
      </c>
      <c r="AJ63" s="39" t="str">
        <f t="shared" si="4"/>
        <v/>
      </c>
      <c r="AK63" s="34" t="str">
        <f>IF(AJ63="","",IF(I$8="A",(RANK(AJ63,AJ$11:AJ$368,1)+COUNTIF(AJ$11:AJ63,AJ63)-1),(RANK(AJ63,AJ$11:AJ$368)+COUNTIF(AJ$11:AJ63,AJ63)-1)))</f>
        <v/>
      </c>
      <c r="AL63" s="29" t="str">
        <f t="shared" si="13"/>
        <v/>
      </c>
      <c r="AM63" s="8" t="str">
        <f t="shared" si="5"/>
        <v/>
      </c>
      <c r="AN63" s="8" t="str">
        <f t="shared" si="14"/>
        <v/>
      </c>
      <c r="AP63" s="38" t="str">
        <f>IF(L63="","",VLOOKUP($L63,classifications!$C:$E,3,FALSE))</f>
        <v>Yorkshire &amp; Humberside</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84.648901808129352</v>
      </c>
      <c r="AY63" s="103"/>
      <c r="AZ63" s="21"/>
    </row>
    <row r="64" spans="1:52">
      <c r="A64" s="56" t="str">
        <f>$D$1&amp;54</f>
        <v>SD54</v>
      </c>
      <c r="B64" s="57" t="str">
        <f>IF(ISERROR(VLOOKUP(A64,classifications!A:C,3,FALSE)),0,VLOOKUP(A64,classifications!A:C,3,FALSE))</f>
        <v>South Hams</v>
      </c>
      <c r="C64" s="8" t="s">
        <v>33</v>
      </c>
      <c r="D64" s="26" t="str">
        <f>VLOOKUP($C64,classifications!$C:$J,4,FALSE)</f>
        <v>SD</v>
      </c>
      <c r="E64" s="26">
        <f>VLOOKUP(C64,classifications!C:K,9,FALSE)</f>
        <v>0</v>
      </c>
      <c r="F64" s="36">
        <f t="shared" si="0"/>
        <v>85.676013232494512</v>
      </c>
      <c r="G64" s="71"/>
      <c r="H64" s="37">
        <f t="shared" si="1"/>
        <v>85.676013232494512</v>
      </c>
      <c r="I64" s="77">
        <f>IF(H64="","",IF($I$8="A",(RANK(H64,H$11:H$368,1)+COUNTIF(H$11:H64,H64)-1),(RANK(H64,H$11:H$368)+COUNTIF(H$11:H64,H64)-1)))</f>
        <v>41</v>
      </c>
      <c r="J64" s="35"/>
      <c r="K64" s="28">
        <f t="shared" si="7"/>
        <v>54</v>
      </c>
      <c r="L64" s="36" t="str">
        <f t="shared" si="2"/>
        <v>Canterbury</v>
      </c>
      <c r="M64" s="102">
        <f t="shared" si="22"/>
        <v>84.721098664588297</v>
      </c>
      <c r="N64" s="101">
        <f t="shared" si="23"/>
        <v>84.721098664588297</v>
      </c>
      <c r="O64" s="94" t="str">
        <f t="shared" si="8"/>
        <v/>
      </c>
      <c r="P64" s="94">
        <f t="shared" si="18"/>
        <v>84.721098664588297</v>
      </c>
      <c r="Q64" s="94" t="str">
        <f t="shared" si="19"/>
        <v/>
      </c>
      <c r="R64" s="90" t="str">
        <f t="shared" si="20"/>
        <v/>
      </c>
      <c r="S64" s="37" t="str">
        <f t="shared" si="9"/>
        <v/>
      </c>
      <c r="T64" s="176">
        <f>IF(L64="","",VLOOKUP(L64,classifications!C:K,9,FALSE))</f>
        <v>0</v>
      </c>
      <c r="U64" s="183" t="str">
        <f t="shared" si="25"/>
        <v/>
      </c>
      <c r="V64" s="184" t="str">
        <f>IF(U64="","",IF($I$8="A",(RANK(U64,U$11:U$368)+COUNTIF(U$11:U64,U64)-1),(RANK(U64,U$11:U$368,1)+COUNTIF(U$11:U64,U64)-1)))</f>
        <v/>
      </c>
      <c r="W64" s="185"/>
      <c r="X64" s="38" t="str">
        <f>IF(L64="","",VLOOKUP($L64,classifications!$C:$J,6,FALSE))</f>
        <v>Urban with City and Town</v>
      </c>
      <c r="Y64" s="26" t="str">
        <f t="shared" si="3"/>
        <v/>
      </c>
      <c r="Z64" s="34" t="str">
        <f>IF(Y64="","",IF(I$8="A",(RANK(Y64,Y$11:Y$368,1)+COUNTIF(Y$11:Y64,Y64)-1),(RANK(Y64,Y$11:Y$368)+COUNTIF(Y$11:Y64,Y64)-1)))</f>
        <v/>
      </c>
      <c r="AA64" s="188" t="str">
        <f>IF(L64="","",VLOOKUP($L64,classifications!C:I,7,FALSE))</f>
        <v>Predominantly Urban</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Kent</v>
      </c>
      <c r="AJ64" s="39" t="str">
        <f t="shared" si="4"/>
        <v/>
      </c>
      <c r="AK64" s="34" t="str">
        <f>IF(AJ64="","",IF(I$8="A",(RANK(AJ64,AJ$11:AJ$368,1)+COUNTIF(AJ$11:AJ64,AJ64)-1),(RANK(AJ64,AJ$11:AJ$368)+COUNTIF(AJ$11:AJ64,AJ64)-1)))</f>
        <v/>
      </c>
      <c r="AL64" s="29" t="str">
        <f t="shared" si="13"/>
        <v/>
      </c>
      <c r="AM64" s="8" t="str">
        <f t="shared" si="5"/>
        <v/>
      </c>
      <c r="AN64" s="8" t="str">
        <f t="shared" si="14"/>
        <v/>
      </c>
      <c r="AP64" s="38" t="str">
        <f>IF(L64="","",VLOOKUP($L64,classifications!$C:$E,3,FALSE))</f>
        <v>South East</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85.676013232494512</v>
      </c>
      <c r="AY64" s="103"/>
      <c r="AZ64" s="21"/>
    </row>
    <row r="65" spans="1:52">
      <c r="A65" s="56" t="str">
        <f>$D$1&amp;55</f>
        <v>SD55</v>
      </c>
      <c r="B65" s="57" t="str">
        <f>IF(ISERROR(VLOOKUP(A65,classifications!A:C,3,FALSE)),0,VLOOKUP(A65,classifications!A:C,3,FALSE))</f>
        <v>South Holland</v>
      </c>
      <c r="C65" s="8" t="s">
        <v>34</v>
      </c>
      <c r="D65" s="26" t="str">
        <f>VLOOKUP($C65,classifications!$C:$J,4,FALSE)</f>
        <v>SD</v>
      </c>
      <c r="E65" s="26">
        <f>VLOOKUP(C65,classifications!C:K,9,FALSE)</f>
        <v>0</v>
      </c>
      <c r="F65" s="36">
        <f t="shared" si="0"/>
        <v>85.247999326678922</v>
      </c>
      <c r="G65" s="71"/>
      <c r="H65" s="37">
        <f t="shared" si="1"/>
        <v>85.247999326678922</v>
      </c>
      <c r="I65" s="77">
        <f>IF(H65="","",IF($I$8="A",(RANK(H65,H$11:H$368,1)+COUNTIF(H$11:H65,H65)-1),(RANK(H65,H$11:H$368)+COUNTIF(H$11:H65,H65)-1)))</f>
        <v>45</v>
      </c>
      <c r="J65" s="35"/>
      <c r="K65" s="28">
        <f t="shared" si="7"/>
        <v>55</v>
      </c>
      <c r="L65" s="36" t="str">
        <f t="shared" si="2"/>
        <v>Charnwood</v>
      </c>
      <c r="M65" s="102">
        <f t="shared" si="22"/>
        <v>84.648901808129352</v>
      </c>
      <c r="N65" s="101">
        <f t="shared" si="23"/>
        <v>84.648901808129352</v>
      </c>
      <c r="O65" s="94" t="str">
        <f t="shared" si="8"/>
        <v/>
      </c>
      <c r="P65" s="94">
        <f t="shared" si="18"/>
        <v>84.648901808129352</v>
      </c>
      <c r="Q65" s="94" t="str">
        <f t="shared" si="19"/>
        <v/>
      </c>
      <c r="R65" s="90" t="str">
        <f t="shared" si="20"/>
        <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Urban with City and Town</v>
      </c>
      <c r="Y65" s="26" t="str">
        <f t="shared" si="3"/>
        <v/>
      </c>
      <c r="Z65" s="34" t="str">
        <f>IF(Y65="","",IF(I$8="A",(RANK(Y65,Y$11:Y$368,1)+COUNTIF(Y$11:Y65,Y65)-1),(RANK(Y65,Y$11:Y$368)+COUNTIF(Y$11:Y65,Y65)-1)))</f>
        <v/>
      </c>
      <c r="AA65" s="188" t="str">
        <f>IF(L65="","",VLOOKUP($L65,classifications!C:I,7,FALSE))</f>
        <v>Predominantly Urban</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Leicestershire</v>
      </c>
      <c r="AJ65" s="39" t="str">
        <f t="shared" si="4"/>
        <v/>
      </c>
      <c r="AK65" s="34" t="str">
        <f>IF(AJ65="","",IF(I$8="A",(RANK(AJ65,AJ$11:AJ$368,1)+COUNTIF(AJ$11:AJ65,AJ65)-1),(RANK(AJ65,AJ$11:AJ$368)+COUNTIF(AJ$11:AJ65,AJ65)-1)))</f>
        <v/>
      </c>
      <c r="AL65" s="29" t="str">
        <f t="shared" si="13"/>
        <v/>
      </c>
      <c r="AM65" s="8" t="str">
        <f t="shared" si="5"/>
        <v/>
      </c>
      <c r="AN65" s="8" t="str">
        <f t="shared" si="14"/>
        <v/>
      </c>
      <c r="AP65" s="38" t="str">
        <f>IF(L65="","",VLOOKUP($L65,classifications!$C:$E,3,FALSE))</f>
        <v>East Midlands</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85.247999326678922</v>
      </c>
      <c r="AY65" s="103"/>
      <c r="AZ65" s="21"/>
    </row>
    <row r="66" spans="1:52">
      <c r="A66" s="56" t="str">
        <f>$D$1&amp;56</f>
        <v>SD56</v>
      </c>
      <c r="B66" s="57" t="str">
        <f>IF(ISERROR(VLOOKUP(A66,classifications!A:C,3,FALSE)),0,VLOOKUP(A66,classifications!A:C,3,FALSE))</f>
        <v>South Kesteven</v>
      </c>
      <c r="C66" s="8" t="s">
        <v>35</v>
      </c>
      <c r="D66" s="26" t="str">
        <f>VLOOKUP($C66,classifications!$C:$J,4,FALSE)</f>
        <v>SD</v>
      </c>
      <c r="E66" s="26" t="str">
        <f>VLOOKUP(C66,classifications!C:K,9,FALSE)</f>
        <v>Sparse</v>
      </c>
      <c r="F66" s="36">
        <f t="shared" si="0"/>
        <v>86.690590013021321</v>
      </c>
      <c r="G66" s="71"/>
      <c r="H66" s="37">
        <f t="shared" si="1"/>
        <v>86.690590013021321</v>
      </c>
      <c r="I66" s="77">
        <f>IF(H66="","",IF($I$8="A",(RANK(H66,H$11:H$368,1)+COUNTIF(H$11:H66,H66)-1),(RANK(H66,H$11:H$368)+COUNTIF(H$11:H66,H66)-1)))</f>
        <v>23</v>
      </c>
      <c r="J66" s="35"/>
      <c r="K66" s="28">
        <f t="shared" si="7"/>
        <v>56</v>
      </c>
      <c r="L66" s="36" t="str">
        <f t="shared" si="2"/>
        <v>Eastbourne</v>
      </c>
      <c r="M66" s="102">
        <f t="shared" si="22"/>
        <v>84.59649502432238</v>
      </c>
      <c r="N66" s="101">
        <f t="shared" si="23"/>
        <v>84.59649502432238</v>
      </c>
      <c r="O66" s="94" t="str">
        <f t="shared" si="8"/>
        <v/>
      </c>
      <c r="P66" s="94">
        <f t="shared" si="18"/>
        <v>84.59649502432238</v>
      </c>
      <c r="Q66" s="94" t="str">
        <f t="shared" si="19"/>
        <v/>
      </c>
      <c r="R66" s="90" t="str">
        <f t="shared" si="20"/>
        <v/>
      </c>
      <c r="S66" s="37" t="str">
        <f t="shared" si="9"/>
        <v/>
      </c>
      <c r="T66" s="176">
        <f>IF(L66="","",VLOOKUP(L66,classifications!C:K,9,FALSE))</f>
        <v>0</v>
      </c>
      <c r="U66" s="183" t="str">
        <f t="shared" si="25"/>
        <v/>
      </c>
      <c r="V66" s="184" t="str">
        <f>IF(U66="","",IF($I$8="A",(RANK(U66,U$11:U$368)+COUNTIF(U$11:U66,U66)-1),(RANK(U66,U$11:U$368,1)+COUNTIF(U$11:U66,U66)-1)))</f>
        <v/>
      </c>
      <c r="W66" s="185"/>
      <c r="X66" s="38" t="str">
        <f>IF(L66="","",VLOOKUP($L66,classifications!$C:$J,6,FALSE))</f>
        <v>Urban with City and Town</v>
      </c>
      <c r="Y66" s="26" t="str">
        <f t="shared" si="3"/>
        <v/>
      </c>
      <c r="Z66" s="34" t="str">
        <f>IF(Y66="","",IF(I$8="A",(RANK(Y66,Y$11:Y$368,1)+COUNTIF(Y$11:Y66,Y66)-1),(RANK(Y66,Y$11:Y$368)+COUNTIF(Y$11:Y66,Y66)-1)))</f>
        <v/>
      </c>
      <c r="AA66" s="188" t="str">
        <f>IF(L66="","",VLOOKUP($L66,classifications!C:I,7,FALSE))</f>
        <v>Predominantly Urban</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East Sussex</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South East</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86.690590013021321</v>
      </c>
      <c r="AY66" s="103"/>
      <c r="AZ66" s="21"/>
    </row>
    <row r="67" spans="1:52">
      <c r="A67" s="56" t="str">
        <f>$D$1&amp;57</f>
        <v>SD57</v>
      </c>
      <c r="B67" s="57" t="str">
        <f>IF(ISERROR(VLOOKUP(A67,classifications!A:C,3,FALSE)),0,VLOOKUP(A67,classifications!A:C,3,FALSE))</f>
        <v>South Lakeland</v>
      </c>
      <c r="C67" s="8" t="s">
        <v>304</v>
      </c>
      <c r="D67" s="26" t="str">
        <f>VLOOKUP($C67,classifications!$C:$J,4,FALSE)</f>
        <v>UA</v>
      </c>
      <c r="E67" s="26" t="str">
        <f>VLOOKUP(C67,classifications!C:K,9,FALSE)</f>
        <v>Sparse</v>
      </c>
      <c r="F67" s="36">
        <f t="shared" si="0"/>
        <v>79.173129878636303</v>
      </c>
      <c r="G67" s="71"/>
      <c r="H67" s="37" t="str">
        <f t="shared" si="1"/>
        <v/>
      </c>
      <c r="I67" s="77" t="str">
        <f>IF(H67="","",IF($I$8="A",(RANK(H67,H$11:H$368,1)+COUNTIF(H$11:H67,H67)-1),(RANK(H67,H$11:H$368)+COUNTIF(H$11:H67,H67)-1)))</f>
        <v/>
      </c>
      <c r="J67" s="35"/>
      <c r="K67" s="28">
        <f t="shared" si="7"/>
        <v>57</v>
      </c>
      <c r="L67" s="36" t="str">
        <f t="shared" si="2"/>
        <v>Worcester</v>
      </c>
      <c r="M67" s="102">
        <f t="shared" si="22"/>
        <v>84.592552123348014</v>
      </c>
      <c r="N67" s="101">
        <f t="shared" si="23"/>
        <v>84.592552123348014</v>
      </c>
      <c r="O67" s="94" t="str">
        <f t="shared" si="8"/>
        <v/>
      </c>
      <c r="P67" s="94">
        <f t="shared" si="18"/>
        <v>84.592552123348014</v>
      </c>
      <c r="Q67" s="94" t="str">
        <f t="shared" si="19"/>
        <v/>
      </c>
      <c r="R67" s="90" t="str">
        <f t="shared" si="20"/>
        <v/>
      </c>
      <c r="S67" s="37" t="str">
        <f t="shared" si="9"/>
        <v/>
      </c>
      <c r="T67" s="176">
        <f>IF(L67="","",VLOOKUP(L67,classifications!C:K,9,FALSE))</f>
        <v>0</v>
      </c>
      <c r="U67" s="183" t="str">
        <f t="shared" si="25"/>
        <v/>
      </c>
      <c r="V67" s="184" t="str">
        <f>IF(U67="","",IF($I$8="A",(RANK(U67,U$11:U$368)+COUNTIF(U$11:U67,U67)-1),(RANK(U67,U$11:U$368,1)+COUNTIF(U$11:U67,U67)-1)))</f>
        <v/>
      </c>
      <c r="W67" s="185"/>
      <c r="X67" s="38" t="str">
        <f>IF(L67="","",VLOOKUP($L67,classifications!$C:$J,6,FALSE))</f>
        <v>Urban with City and Town</v>
      </c>
      <c r="Y67" s="26" t="str">
        <f t="shared" si="3"/>
        <v/>
      </c>
      <c r="Z67" s="34" t="str">
        <f>IF(Y67="","",IF(I$8="A",(RANK(Y67,Y$11:Y$368,1)+COUNTIF(Y$11:Y67,Y67)-1),(RANK(Y67,Y$11:Y$368)+COUNTIF(Y$11:Y67,Y67)-1)))</f>
        <v/>
      </c>
      <c r="AA67" s="188" t="str">
        <f>IF(L67="","",VLOOKUP($L67,classifications!C:I,7,FALSE))</f>
        <v>Predominantly Urban</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Worcestershire</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West Midlands</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79.173129878636303</v>
      </c>
      <c r="AY67" s="103"/>
      <c r="AZ67" s="21"/>
    </row>
    <row r="68" spans="1:52">
      <c r="A68" s="56" t="str">
        <f>$D$1&amp;58</f>
        <v>SD58</v>
      </c>
      <c r="B68" s="57" t="str">
        <f>IF(ISERROR(VLOOKUP(A68,classifications!A:C,3,FALSE)),0,VLOOKUP(A68,classifications!A:C,3,FALSE))</f>
        <v>South Norfolk</v>
      </c>
      <c r="C68" s="8" t="s">
        <v>812</v>
      </c>
      <c r="D68" s="26" t="str">
        <f>VLOOKUP($C68,classifications!$C:$J,4,FALSE)</f>
        <v>UA</v>
      </c>
      <c r="E68" s="26">
        <f>VLOOKUP(C68,classifications!C:K,9,FALSE)</f>
        <v>0</v>
      </c>
      <c r="F68" s="36">
        <f t="shared" si="0"/>
        <v>80.543364865119997</v>
      </c>
      <c r="G68" s="71"/>
      <c r="H68" s="37" t="str">
        <f t="shared" si="1"/>
        <v/>
      </c>
      <c r="I68" s="77" t="str">
        <f>IF(H68="","",IF($I$8="A",(RANK(H68,H$11:H$368,1)+COUNTIF(H$11:H68,H68)-1),(RANK(H68,H$11:H$368)+COUNTIF(H$11:H68,H68)-1)))</f>
        <v/>
      </c>
      <c r="J68" s="35"/>
      <c r="K68" s="28">
        <f t="shared" si="7"/>
        <v>58</v>
      </c>
      <c r="L68" s="36" t="str">
        <f t="shared" si="2"/>
        <v>West Devon</v>
      </c>
      <c r="M68" s="102">
        <f t="shared" si="22"/>
        <v>84.546138016991605</v>
      </c>
      <c r="N68" s="101">
        <f t="shared" si="23"/>
        <v>84.546138016991605</v>
      </c>
      <c r="O68" s="94" t="str">
        <f t="shared" si="8"/>
        <v/>
      </c>
      <c r="P68" s="94">
        <f t="shared" si="18"/>
        <v>84.546138016991605</v>
      </c>
      <c r="Q68" s="94" t="str">
        <f t="shared" si="19"/>
        <v/>
      </c>
      <c r="R68" s="90" t="str">
        <f t="shared" si="20"/>
        <v/>
      </c>
      <c r="S68" s="37" t="str">
        <f t="shared" si="9"/>
        <v/>
      </c>
      <c r="T68" s="176" t="str">
        <f>IF(L68="","",VLOOKUP(L68,classifications!C:K,9,FALSE))</f>
        <v>Sparse</v>
      </c>
      <c r="U68" s="183">
        <f t="shared" si="25"/>
        <v>84.546138016991605</v>
      </c>
      <c r="V68" s="184">
        <f>IF(U68="","",IF($I$8="A",(RANK(U68,U$11:U$368)+COUNTIF(U$11:U68,U68)-1),(RANK(U68,U$11:U$368,1)+COUNTIF(U$11:U68,U68)-1)))</f>
        <v>48</v>
      </c>
      <c r="W68" s="185"/>
      <c r="X68" s="38" t="str">
        <f>IF(L68="","",VLOOKUP($L68,classifications!$C:$J,6,FALSE))</f>
        <v xml:space="preserve">Mainly Rural (rural including hub towns &gt;=80%) </v>
      </c>
      <c r="Y68" s="26">
        <f t="shared" si="3"/>
        <v>84.546138016991605</v>
      </c>
      <c r="Z68" s="34">
        <f>IF(Y68="","",IF(I$8="A",(RANK(Y68,Y$11:Y$368,1)+COUNTIF(Y$11:Y68,Y68)-1),(RANK(Y68,Y$11:Y$368)+COUNTIF(Y$11:Y68,Y68)-1)))</f>
        <v>15</v>
      </c>
      <c r="AA68" s="188" t="str">
        <f>IF(L68="","",VLOOKUP($L68,classifications!C:I,7,FALSE))</f>
        <v>Predominantly Rural</v>
      </c>
      <c r="AB68" s="184">
        <f t="shared" si="11"/>
        <v>84.546138016991605</v>
      </c>
      <c r="AC68" s="184">
        <f>IF(AB68="","",IF($I$8="A",(RANK(AB68,AB$11:AB$368)+COUNTIF(AB$11:AB68,AB68)-1),(RANK(AB68,AB$11:AB$368,1)+COUNTIF(AB$11:AB68,AB68)-1)))</f>
        <v>50</v>
      </c>
      <c r="AD68" s="184"/>
      <c r="AE68" s="28" t="str">
        <f t="shared" si="24"/>
        <v/>
      </c>
      <c r="AG68" s="96"/>
      <c r="AH68" s="29"/>
      <c r="AI68" s="38" t="str">
        <f>IF(L68="","",VLOOKUP($L68,classifications!$C:$J,8,FALSE))</f>
        <v>Devon</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South West</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80.543364865119997</v>
      </c>
      <c r="AY68" s="103"/>
      <c r="AZ68" s="21"/>
    </row>
    <row r="69" spans="1:52">
      <c r="A69" s="56" t="str">
        <f>$D$1&amp;59</f>
        <v>SD59</v>
      </c>
      <c r="B69" s="57" t="str">
        <f>IF(ISERROR(VLOOKUP(A69,classifications!A:C,3,FALSE)),0,VLOOKUP(A69,classifications!A:C,3,FALSE))</f>
        <v>South Northamptonshire</v>
      </c>
      <c r="C69" s="8" t="s">
        <v>36</v>
      </c>
      <c r="D69" s="26" t="str">
        <f>VLOOKUP($C69,classifications!$C:$J,4,FALSE)</f>
        <v>SD</v>
      </c>
      <c r="E69" s="26">
        <f>VLOOKUP(C69,classifications!C:K,9,FALSE)</f>
        <v>0</v>
      </c>
      <c r="F69" s="36">
        <f t="shared" si="0"/>
        <v>77.893606900581304</v>
      </c>
      <c r="G69" s="71"/>
      <c r="H69" s="37">
        <f t="shared" si="1"/>
        <v>77.893606900581304</v>
      </c>
      <c r="I69" s="77">
        <f>IF(H69="","",IF($I$8="A",(RANK(H69,H$11:H$368,1)+COUNTIF(H$11:H69,H69)-1),(RANK(H69,H$11:H$368)+COUNTIF(H$11:H69,H69)-1)))</f>
        <v>166</v>
      </c>
      <c r="J69" s="35"/>
      <c r="K69" s="28">
        <f t="shared" si="7"/>
        <v>59</v>
      </c>
      <c r="L69" s="36" t="str">
        <f t="shared" si="2"/>
        <v>West Suffolk</v>
      </c>
      <c r="M69" s="102">
        <f t="shared" si="22"/>
        <v>84.445353929306265</v>
      </c>
      <c r="N69" s="101">
        <f t="shared" si="23"/>
        <v>84.445353929306265</v>
      </c>
      <c r="O69" s="94" t="str">
        <f t="shared" si="8"/>
        <v/>
      </c>
      <c r="P69" s="94">
        <f t="shared" si="18"/>
        <v>84.445353929306265</v>
      </c>
      <c r="Q69" s="94" t="str">
        <f t="shared" si="19"/>
        <v/>
      </c>
      <c r="R69" s="90" t="str">
        <f t="shared" si="20"/>
        <v/>
      </c>
      <c r="S69" s="37" t="str">
        <f t="shared" si="9"/>
        <v/>
      </c>
      <c r="T69" s="176" t="str">
        <f>IF(L69="","",VLOOKUP(L69,classifications!C:K,9,FALSE))</f>
        <v>Sparse</v>
      </c>
      <c r="U69" s="183">
        <f t="shared" si="25"/>
        <v>84.445353929306265</v>
      </c>
      <c r="V69" s="184">
        <f>IF(U69="","",IF($I$8="A",(RANK(U69,U$11:U$368)+COUNTIF(U$11:U69,U69)-1),(RANK(U69,U$11:U$368,1)+COUNTIF(U$11:U69,U69)-1)))</f>
        <v>47</v>
      </c>
      <c r="W69" s="185"/>
      <c r="X69" s="38" t="str">
        <f>IF(L69="","",VLOOKUP($L69,classifications!$C:$J,6,FALSE))</f>
        <v xml:space="preserve">Predominantly Rural </v>
      </c>
      <c r="Y69" s="26" t="str">
        <f t="shared" si="3"/>
        <v/>
      </c>
      <c r="Z69" s="34" t="str">
        <f>IF(Y69="","",IF(I$8="A",(RANK(Y69,Y$11:Y$368,1)+COUNTIF(Y$11:Y69,Y69)-1),(RANK(Y69,Y$11:Y$368)+COUNTIF(Y$11:Y69,Y69)-1)))</f>
        <v/>
      </c>
      <c r="AA69" s="188" t="str">
        <f>IF(L69="","",VLOOKUP($L69,classifications!C:I,7,FALSE))</f>
        <v>Predominantly Rural</v>
      </c>
      <c r="AB69" s="184">
        <f t="shared" si="11"/>
        <v>84.445353929306265</v>
      </c>
      <c r="AC69" s="184">
        <f>IF(AB69="","",IF($I$8="A",(RANK(AB69,AB$11:AB$368)+COUNTIF(AB$11:AB69,AB69)-1),(RANK(AB69,AB$11:AB$368,1)+COUNTIF(AB$11:AB69,AB69)-1)))</f>
        <v>49</v>
      </c>
      <c r="AD69" s="184"/>
      <c r="AE69" s="28" t="str">
        <f t="shared" si="24"/>
        <v/>
      </c>
      <c r="AG69" s="96"/>
      <c r="AH69" s="29"/>
      <c r="AI69" s="38" t="str">
        <f>IF(L69="","",VLOOKUP($L69,classifications!$C:$J,8,FALSE))</f>
        <v>Suffolk</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East of England</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77.893606900581304</v>
      </c>
      <c r="AY69" s="103"/>
      <c r="AZ69" s="21"/>
    </row>
    <row r="70" spans="1:52">
      <c r="A70" s="56" t="str">
        <f>$D$1&amp;60</f>
        <v>SD60</v>
      </c>
      <c r="B70" s="57" t="str">
        <f>IF(ISERROR(VLOOKUP(A70,classifications!A:C,3,FALSE)),0,VLOOKUP(A70,classifications!A:C,3,FALSE))</f>
        <v>South Oxfordshire</v>
      </c>
      <c r="C70" s="8" t="s">
        <v>37</v>
      </c>
      <c r="D70" s="26" t="str">
        <f>VLOOKUP($C70,classifications!$C:$J,4,FALSE)</f>
        <v>SD</v>
      </c>
      <c r="E70" s="26" t="str">
        <f>VLOOKUP(C70,classifications!C:K,9,FALSE)</f>
        <v>Sparse</v>
      </c>
      <c r="F70" s="36">
        <f t="shared" si="0"/>
        <v>86.676283490967094</v>
      </c>
      <c r="G70" s="71"/>
      <c r="H70" s="37">
        <f t="shared" si="1"/>
        <v>86.676283490967094</v>
      </c>
      <c r="I70" s="77">
        <f>IF(H70="","",IF($I$8="A",(RANK(H70,H$11:H$368,1)+COUNTIF(H$11:H70,H70)-1),(RANK(H70,H$11:H$368)+COUNTIF(H$11:H70,H70)-1)))</f>
        <v>24</v>
      </c>
      <c r="J70" s="35"/>
      <c r="K70" s="28">
        <f t="shared" si="7"/>
        <v>60</v>
      </c>
      <c r="L70" s="36" t="str">
        <f t="shared" si="2"/>
        <v>Tewkesbury</v>
      </c>
      <c r="M70" s="102">
        <f t="shared" si="22"/>
        <v>84.392635536883759</v>
      </c>
      <c r="N70" s="101">
        <f t="shared" si="23"/>
        <v>84.392635536883759</v>
      </c>
      <c r="O70" s="94" t="str">
        <f t="shared" si="8"/>
        <v/>
      </c>
      <c r="P70" s="94">
        <f t="shared" si="18"/>
        <v>84.392635536883759</v>
      </c>
      <c r="Q70" s="94" t="str">
        <f t="shared" si="19"/>
        <v/>
      </c>
      <c r="R70" s="90" t="str">
        <f t="shared" si="20"/>
        <v/>
      </c>
      <c r="S70" s="37" t="str">
        <f t="shared" si="9"/>
        <v/>
      </c>
      <c r="T70" s="176" t="str">
        <f>IF(L70="","",VLOOKUP(L70,classifications!C:K,9,FALSE))</f>
        <v>Sparse</v>
      </c>
      <c r="U70" s="183">
        <f t="shared" si="25"/>
        <v>84.392635536883759</v>
      </c>
      <c r="V70" s="184">
        <f>IF(U70="","",IF($I$8="A",(RANK(U70,U$11:U$368)+COUNTIF(U$11:U70,U70)-1),(RANK(U70,U$11:U$368,1)+COUNTIF(U$11:U70,U70)-1)))</f>
        <v>46</v>
      </c>
      <c r="W70" s="185"/>
      <c r="X70" s="38" t="str">
        <f>IF(L70="","",VLOOKUP($L70,classifications!$C:$J,6,FALSE))</f>
        <v xml:space="preserve">Largely Rural (rural including hub towns 50-79%) </v>
      </c>
      <c r="Y70" s="26" t="str">
        <f t="shared" si="3"/>
        <v/>
      </c>
      <c r="Z70" s="34" t="str">
        <f>IF(Y70="","",IF(I$8="A",(RANK(Y70,Y$11:Y$368,1)+COUNTIF(Y$11:Y70,Y70)-1),(RANK(Y70,Y$11:Y$368)+COUNTIF(Y$11:Y70,Y70)-1)))</f>
        <v/>
      </c>
      <c r="AA70" s="188" t="str">
        <f>IF(L70="","",VLOOKUP($L70,classifications!C:I,7,FALSE))</f>
        <v>Predominantly Rural</v>
      </c>
      <c r="AB70" s="184">
        <f t="shared" si="11"/>
        <v>84.392635536883759</v>
      </c>
      <c r="AC70" s="184">
        <f>IF(AB70="","",IF($I$8="A",(RANK(AB70,AB$11:AB$368)+COUNTIF(AB$11:AB70,AB70)-1),(RANK(AB70,AB$11:AB$368,1)+COUNTIF(AB$11:AB70,AB70)-1)))</f>
        <v>48</v>
      </c>
      <c r="AD70" s="184"/>
      <c r="AE70" s="28" t="str">
        <f t="shared" si="24"/>
        <v/>
      </c>
      <c r="AG70" s="96"/>
      <c r="AH70" s="29"/>
      <c r="AI70" s="38" t="str">
        <f>IF(L70="","",VLOOKUP($L70,classifications!$C:$J,8,FALSE))</f>
        <v>Gloucestershire</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South West</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86.676283490967094</v>
      </c>
      <c r="AY70" s="103"/>
      <c r="AZ70" s="21"/>
    </row>
    <row r="71" spans="1:52">
      <c r="A71" s="56" t="str">
        <f>$D$1&amp;61</f>
        <v>SD61</v>
      </c>
      <c r="B71" s="57" t="str">
        <f>IF(ISERROR(VLOOKUP(A71,classifications!A:C,3,FALSE)),0,VLOOKUP(A71,classifications!A:C,3,FALSE))</f>
        <v>South Somerset</v>
      </c>
      <c r="C71" s="8" t="s">
        <v>38</v>
      </c>
      <c r="D71" s="26" t="str">
        <f>VLOOKUP($C71,classifications!$C:$J,4,FALSE)</f>
        <v>SD</v>
      </c>
      <c r="E71" s="26">
        <f>VLOOKUP(C71,classifications!C:K,9,FALSE)</f>
        <v>0</v>
      </c>
      <c r="F71" s="36">
        <f t="shared" si="0"/>
        <v>87.493941229861846</v>
      </c>
      <c r="G71" s="71"/>
      <c r="H71" s="37">
        <f t="shared" si="1"/>
        <v>87.493941229861846</v>
      </c>
      <c r="I71" s="77">
        <f>IF(H71="","",IF($I$8="A",(RANK(H71,H$11:H$368,1)+COUNTIF(H$11:H71,H71)-1),(RANK(H71,H$11:H$368)+COUNTIF(H$11:H71,H71)-1)))</f>
        <v>17</v>
      </c>
      <c r="J71" s="35"/>
      <c r="K71" s="28">
        <f t="shared" si="7"/>
        <v>61</v>
      </c>
      <c r="L71" s="36" t="str">
        <f t="shared" si="2"/>
        <v>Runnymede</v>
      </c>
      <c r="M71" s="102">
        <f t="shared" si="22"/>
        <v>84.329753971580772</v>
      </c>
      <c r="N71" s="101">
        <f t="shared" si="23"/>
        <v>84.329753971580772</v>
      </c>
      <c r="O71" s="94" t="str">
        <f t="shared" si="8"/>
        <v/>
      </c>
      <c r="P71" s="94">
        <f t="shared" si="18"/>
        <v>84.329753971580772</v>
      </c>
      <c r="Q71" s="94" t="str">
        <f t="shared" si="19"/>
        <v/>
      </c>
      <c r="R71" s="90" t="str">
        <f t="shared" si="20"/>
        <v/>
      </c>
      <c r="S71" s="37" t="str">
        <f t="shared" si="9"/>
        <v/>
      </c>
      <c r="T71" s="176">
        <f>IF(L71="","",VLOOKUP(L71,classifications!C:K,9,FALSE))</f>
        <v>0</v>
      </c>
      <c r="U71" s="183" t="str">
        <f t="shared" si="25"/>
        <v/>
      </c>
      <c r="V71" s="184" t="str">
        <f>IF(U71="","",IF($I$8="A",(RANK(U71,U$11:U$368)+COUNTIF(U$11:U71,U71)-1),(RANK(U71,U$11:U$368,1)+COUNTIF(U$11:U71,U71)-1)))</f>
        <v/>
      </c>
      <c r="W71" s="185"/>
      <c r="X71" s="38" t="str">
        <f>IF(L71="","",VLOOKUP($L71,classifications!$C:$J,6,FALSE))</f>
        <v>Urban with Major Conurbation</v>
      </c>
      <c r="Y71" s="26" t="str">
        <f t="shared" si="3"/>
        <v/>
      </c>
      <c r="Z71" s="34" t="str">
        <f>IF(Y71="","",IF(I$8="A",(RANK(Y71,Y$11:Y$368,1)+COUNTIF(Y$11:Y71,Y71)-1),(RANK(Y71,Y$11:Y$368)+COUNTIF(Y$11:Y71,Y71)-1)))</f>
        <v/>
      </c>
      <c r="AA71" s="188" t="str">
        <f>IF(L71="","",VLOOKUP($L71,classifications!C:I,7,FALSE))</f>
        <v>Predominantly Urban</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Surrey</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South East</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87.493941229861846</v>
      </c>
      <c r="AY71" s="103"/>
      <c r="AZ71" s="21"/>
    </row>
    <row r="72" spans="1:52">
      <c r="A72" s="56" t="str">
        <f>$D$1&amp;62</f>
        <v>SD62</v>
      </c>
      <c r="B72" s="57" t="str">
        <f>IF(ISERROR(VLOOKUP(A72,classifications!A:C,3,FALSE)),0,VLOOKUP(A72,classifications!A:C,3,FALSE))</f>
        <v>South Staffordshire</v>
      </c>
      <c r="C72" s="8" t="s">
        <v>39</v>
      </c>
      <c r="D72" s="26" t="str">
        <f>VLOOKUP($C72,classifications!$C:$J,4,FALSE)</f>
        <v>SD</v>
      </c>
      <c r="E72" s="26">
        <f>VLOOKUP(C72,classifications!C:K,9,FALSE)</f>
        <v>0</v>
      </c>
      <c r="F72" s="36">
        <f t="shared" si="0"/>
        <v>80.404348716541534</v>
      </c>
      <c r="G72" s="71"/>
      <c r="H72" s="37">
        <f t="shared" si="1"/>
        <v>80.404348716541534</v>
      </c>
      <c r="I72" s="77">
        <f>IF(H72="","",IF($I$8="A",(RANK(H72,H$11:H$368,1)+COUNTIF(H$11:H72,H72)-1),(RANK(H72,H$11:H$368)+COUNTIF(H$11:H72,H72)-1)))</f>
        <v>137</v>
      </c>
      <c r="J72" s="35"/>
      <c r="K72" s="28">
        <f t="shared" si="7"/>
        <v>62</v>
      </c>
      <c r="L72" s="36" t="str">
        <f t="shared" si="2"/>
        <v>Uttlesford</v>
      </c>
      <c r="M72" s="102">
        <f t="shared" si="22"/>
        <v>84.209913044611554</v>
      </c>
      <c r="N72" s="101">
        <f t="shared" si="23"/>
        <v>84.209913044611554</v>
      </c>
      <c r="O72" s="94" t="str">
        <f t="shared" si="8"/>
        <v/>
      </c>
      <c r="P72" s="94">
        <f t="shared" si="18"/>
        <v>84.209913044611554</v>
      </c>
      <c r="Q72" s="94" t="str">
        <f t="shared" si="19"/>
        <v/>
      </c>
      <c r="R72" s="90" t="str">
        <f t="shared" si="20"/>
        <v/>
      </c>
      <c r="S72" s="37" t="str">
        <f t="shared" si="9"/>
        <v/>
      </c>
      <c r="T72" s="176" t="str">
        <f>IF(L72="","",VLOOKUP(L72,classifications!C:K,9,FALSE))</f>
        <v>Sparse</v>
      </c>
      <c r="U72" s="183">
        <f t="shared" si="25"/>
        <v>84.209913044611554</v>
      </c>
      <c r="V72" s="184">
        <f>IF(U72="","",IF($I$8="A",(RANK(U72,U$11:U$368)+COUNTIF(U$11:U72,U72)-1),(RANK(U72,U$11:U$368,1)+COUNTIF(U$11:U72,U72)-1)))</f>
        <v>45</v>
      </c>
      <c r="W72" s="185"/>
      <c r="X72" s="38" t="str">
        <f>IF(L72="","",VLOOKUP($L72,classifications!$C:$J,6,FALSE))</f>
        <v xml:space="preserve">Mainly Rural (rural including hub towns &gt;=80%) </v>
      </c>
      <c r="Y72" s="26">
        <f t="shared" si="3"/>
        <v>84.209913044611554</v>
      </c>
      <c r="Z72" s="34">
        <f>IF(Y72="","",IF(I$8="A",(RANK(Y72,Y$11:Y$368,1)+COUNTIF(Y$11:Y72,Y72)-1),(RANK(Y72,Y$11:Y$368)+COUNTIF(Y$11:Y72,Y72)-1)))</f>
        <v>16</v>
      </c>
      <c r="AA72" s="188" t="str">
        <f>IF(L72="","",VLOOKUP($L72,classifications!C:I,7,FALSE))</f>
        <v>Predominantly Rural</v>
      </c>
      <c r="AB72" s="184">
        <f t="shared" si="11"/>
        <v>84.209913044611554</v>
      </c>
      <c r="AC72" s="184">
        <f>IF(AB72="","",IF($I$8="A",(RANK(AB72,AB$11:AB$368)+COUNTIF(AB$11:AB72,AB72)-1),(RANK(AB72,AB$11:AB$368,1)+COUNTIF(AB$11:AB72,AB72)-1)))</f>
        <v>47</v>
      </c>
      <c r="AD72" s="184"/>
      <c r="AE72" s="28" t="str">
        <f t="shared" si="24"/>
        <v/>
      </c>
      <c r="AG72" s="96"/>
      <c r="AH72" s="29"/>
      <c r="AI72" s="38" t="str">
        <f>IF(L72="","",VLOOKUP($L72,classifications!$C:$J,8,FALSE))</f>
        <v>Essex</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East of England</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80.404348716541534</v>
      </c>
      <c r="AY72" s="103"/>
      <c r="AZ72" s="21"/>
    </row>
    <row r="73" spans="1:52">
      <c r="A73" s="56" t="str">
        <f>$D$1&amp;63</f>
        <v>SD63</v>
      </c>
      <c r="B73" s="57" t="str">
        <f>IF(ISERROR(VLOOKUP(A73,classifications!A:C,3,FALSE)),0,VLOOKUP(A73,classifications!A:C,3,FALSE))</f>
        <v>St Edmundsbury</v>
      </c>
      <c r="C73" s="8" t="s">
        <v>40</v>
      </c>
      <c r="D73" s="26" t="str">
        <f>VLOOKUP($C73,classifications!$C:$J,4,FALSE)</f>
        <v>SD</v>
      </c>
      <c r="E73" s="26">
        <f>VLOOKUP(C73,classifications!C:K,9,FALSE)</f>
        <v>0</v>
      </c>
      <c r="F73" s="36" t="str">
        <f t="shared" si="0"/>
        <v>-</v>
      </c>
      <c r="G73" s="71"/>
      <c r="H73" s="37" t="str">
        <f t="shared" si="1"/>
        <v>-</v>
      </c>
      <c r="I73" s="77" t="e">
        <f>IF(H73="","",IF($I$8="A",(RANK(H73,H$11:H$368,1)+COUNTIF(H$11:H73,H73)-1),(RANK(H73,H$11:H$368)+COUNTIF(H$11:H73,H73)-1)))</f>
        <v>#VALUE!</v>
      </c>
      <c r="J73" s="35"/>
      <c r="K73" s="28">
        <f t="shared" si="7"/>
        <v>63</v>
      </c>
      <c r="L73" s="36" t="str">
        <f t="shared" si="2"/>
        <v>East Hampshire</v>
      </c>
      <c r="M73" s="102">
        <f t="shared" si="22"/>
        <v>84.086894313342043</v>
      </c>
      <c r="N73" s="101">
        <f t="shared" si="23"/>
        <v>84.086894313342043</v>
      </c>
      <c r="O73" s="94" t="str">
        <f t="shared" si="8"/>
        <v/>
      </c>
      <c r="P73" s="94">
        <f t="shared" si="18"/>
        <v>84.086894313342043</v>
      </c>
      <c r="Q73" s="94" t="str">
        <f t="shared" si="19"/>
        <v/>
      </c>
      <c r="R73" s="90" t="str">
        <f t="shared" si="20"/>
        <v/>
      </c>
      <c r="S73" s="37" t="str">
        <f t="shared" si="9"/>
        <v/>
      </c>
      <c r="T73" s="176">
        <f>IF(L73="","",VLOOKUP(L73,classifications!C:K,9,FALSE))</f>
        <v>0</v>
      </c>
      <c r="U73" s="183" t="str">
        <f t="shared" si="25"/>
        <v/>
      </c>
      <c r="V73" s="184" t="str">
        <f>IF(U73="","",IF($I$8="A",(RANK(U73,U$11:U$368)+COUNTIF(U$11:U73,U73)-1),(RANK(U73,U$11:U$368,1)+COUNTIF(U$11:U73,U73)-1)))</f>
        <v/>
      </c>
      <c r="W73" s="185"/>
      <c r="X73" s="38" t="str">
        <f>IF(L73="","",VLOOKUP($L73,classifications!$C:$J,6,FALSE))</f>
        <v xml:space="preserve">Mainly Rural (rural including hub towns &gt;=80%) </v>
      </c>
      <c r="Y73" s="26">
        <f t="shared" si="3"/>
        <v>84.086894313342043</v>
      </c>
      <c r="Z73" s="34">
        <f>IF(Y73="","",IF(I$8="A",(RANK(Y73,Y$11:Y$368,1)+COUNTIF(Y$11:Y73,Y73)-1),(RANK(Y73,Y$11:Y$368)+COUNTIF(Y$11:Y73,Y73)-1)))</f>
        <v>17</v>
      </c>
      <c r="AA73" s="188" t="str">
        <f>IF(L73="","",VLOOKUP($L73,classifications!C:I,7,FALSE))</f>
        <v>Predominantly Rural</v>
      </c>
      <c r="AB73" s="184">
        <f t="shared" si="11"/>
        <v>84.086894313342043</v>
      </c>
      <c r="AC73" s="184">
        <f>IF(AB73="","",IF($I$8="A",(RANK(AB73,AB$11:AB$368)+COUNTIF(AB$11:AB73,AB73)-1),(RANK(AB73,AB$11:AB$368,1)+COUNTIF(AB$11:AB73,AB73)-1)))</f>
        <v>46</v>
      </c>
      <c r="AD73" s="184"/>
      <c r="AE73" s="28" t="str">
        <f t="shared" si="24"/>
        <v/>
      </c>
      <c r="AG73" s="96"/>
      <c r="AH73" s="29"/>
      <c r="AI73" s="38" t="str">
        <f>IF(L73="","",VLOOKUP($L73,classifications!$C:$J,8,FALSE))</f>
        <v>Hampshire</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South East</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SD64</v>
      </c>
      <c r="B74" s="57" t="str">
        <f>IF(ISERROR(VLOOKUP(A74,classifications!A:C,3,FALSE)),0,VLOOKUP(A74,classifications!A:C,3,FALSE))</f>
        <v>Stafford</v>
      </c>
      <c r="C74" s="8" t="s">
        <v>369</v>
      </c>
      <c r="D74" s="26" t="str">
        <f>VLOOKUP($C74,classifications!$C:$J,4,FALSE)</f>
        <v>L</v>
      </c>
      <c r="E74" s="26">
        <f>VLOOKUP(C74,classifications!C:K,9,FALSE)</f>
        <v>0</v>
      </c>
      <c r="F74" s="36">
        <f t="shared" si="0"/>
        <v>91.488208139644371</v>
      </c>
      <c r="G74" s="71"/>
      <c r="H74" s="37" t="str">
        <f t="shared" si="1"/>
        <v/>
      </c>
      <c r="I74" s="77" t="str">
        <f>IF(H74="","",IF($I$8="A",(RANK(H74,H$11:H$368,1)+COUNTIF(H$11:H74,H74)-1),(RANK(H74,H$11:H$368)+COUNTIF(H$11:H74,H74)-1)))</f>
        <v/>
      </c>
      <c r="J74" s="35"/>
      <c r="K74" s="28">
        <f t="shared" si="7"/>
        <v>64</v>
      </c>
      <c r="L74" s="36" t="str">
        <f t="shared" si="2"/>
        <v>Worthing</v>
      </c>
      <c r="M74" s="102">
        <f t="shared" si="22"/>
        <v>84.019006352306462</v>
      </c>
      <c r="N74" s="101">
        <f t="shared" si="23"/>
        <v>84.019006352306462</v>
      </c>
      <c r="O74" s="94" t="str">
        <f t="shared" si="8"/>
        <v/>
      </c>
      <c r="P74" s="94">
        <f t="shared" si="18"/>
        <v>84.019006352306462</v>
      </c>
      <c r="Q74" s="94" t="str">
        <f t="shared" si="19"/>
        <v/>
      </c>
      <c r="R74" s="90" t="str">
        <f t="shared" si="20"/>
        <v/>
      </c>
      <c r="S74" s="37" t="str">
        <f t="shared" si="9"/>
        <v/>
      </c>
      <c r="T74" s="176">
        <f>IF(L74="","",VLOOKUP(L74,classifications!C:K,9,FALSE))</f>
        <v>0</v>
      </c>
      <c r="U74" s="183" t="str">
        <f t="shared" si="25"/>
        <v/>
      </c>
      <c r="V74" s="184" t="str">
        <f>IF(U74="","",IF($I$8="A",(RANK(U74,U$11:U$368)+COUNTIF(U$11:U74,U74)-1),(RANK(U74,U$11:U$368,1)+COUNTIF(U$11:U74,U74)-1)))</f>
        <v/>
      </c>
      <c r="W74" s="185"/>
      <c r="X74" s="38" t="str">
        <f>IF(L74="","",VLOOKUP($L74,classifications!$C:$J,6,FALSE))</f>
        <v>Urban with City and Town</v>
      </c>
      <c r="Y74" s="26" t="str">
        <f t="shared" si="3"/>
        <v/>
      </c>
      <c r="Z74" s="34" t="str">
        <f>IF(Y74="","",IF(I$8="A",(RANK(Y74,Y$11:Y$368,1)+COUNTIF(Y$11:Y74,Y74)-1),(RANK(Y74,Y$11:Y$368)+COUNTIF(Y$11:Y74,Y74)-1)))</f>
        <v/>
      </c>
      <c r="AA74" s="188" t="str">
        <f>IF(L74="","",VLOOKUP($L74,classifications!C:I,7,FALSE))</f>
        <v>Predominantly Urban</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West Sussex</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South East</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91.488208139644371</v>
      </c>
      <c r="AY74" s="103"/>
      <c r="AZ74" s="21"/>
    </row>
    <row r="75" spans="1:52">
      <c r="A75" s="56" t="str">
        <f>$D$1&amp;65</f>
        <v>SD65</v>
      </c>
      <c r="B75" s="57" t="str">
        <f>IF(ISERROR(VLOOKUP(A75,classifications!A:C,3,FALSE)),0,VLOOKUP(A75,classifications!A:C,3,FALSE))</f>
        <v>Stratford-on-Avon</v>
      </c>
      <c r="C75" s="8" t="s">
        <v>41</v>
      </c>
      <c r="D75" s="26" t="str">
        <f>VLOOKUP($C75,classifications!$C:$J,4,FALSE)</f>
        <v>SD</v>
      </c>
      <c r="E75" s="26">
        <f>VLOOKUP(C75,classifications!C:K,9,FALSE)</f>
        <v>0</v>
      </c>
      <c r="F75" s="36">
        <f t="shared" ref="F75:F138" si="26">HLOOKUP($D$6,AX$10:ZX$368,ROW()-9,FALSE)</f>
        <v>87.528570676960697</v>
      </c>
      <c r="G75" s="71"/>
      <c r="H75" s="37">
        <f t="shared" ref="H75:H138" si="27">IF(D75=$D$1,HLOOKUP($D$6,$AX$10:$ZZ$368,ROW()-9,FALSE),"")</f>
        <v>87.528570676960697</v>
      </c>
      <c r="I75" s="77">
        <f>IF(H75="","",IF($I$8="A",(RANK(H75,H$11:H$368,1)+COUNTIF(H$11:H75,H75)-1),(RANK(H75,H$11:H$368)+COUNTIF(H$11:H75,H75)-1)))</f>
        <v>16</v>
      </c>
      <c r="J75" s="35"/>
      <c r="K75" s="28">
        <f t="shared" si="7"/>
        <v>65</v>
      </c>
      <c r="L75" s="36" t="str">
        <f t="shared" ref="L75:L138" si="28">IF(K75="","",INDEX(C$11:C$368,MATCH(K75,I$11:I$368,0)))</f>
        <v>North Norfolk</v>
      </c>
      <c r="M75" s="102">
        <f t="shared" si="22"/>
        <v>83.964601414595634</v>
      </c>
      <c r="N75" s="101">
        <f t="shared" si="23"/>
        <v>83.964601414595634</v>
      </c>
      <c r="O75" s="94" t="str">
        <f t="shared" ref="O75:O138" si="29">IF(I$8="A",IF(N75&gt;=$P$7,IF(N75&lt;=$O$10,N75,""),""),IF(N75&lt;=$P$7,IF(N75&gt;=$O$10,N75,""),""))</f>
        <v/>
      </c>
      <c r="P75" s="94">
        <f t="shared" si="18"/>
        <v>83.964601414595634</v>
      </c>
      <c r="Q75" s="94" t="str">
        <f t="shared" si="19"/>
        <v/>
      </c>
      <c r="R75" s="90" t="str">
        <f t="shared" si="20"/>
        <v/>
      </c>
      <c r="S75" s="37" t="str">
        <f t="shared" si="9"/>
        <v/>
      </c>
      <c r="T75" s="176" t="str">
        <f>IF(L75="","",VLOOKUP(L75,classifications!C:K,9,FALSE))</f>
        <v>Sparse</v>
      </c>
      <c r="U75" s="183">
        <f t="shared" ref="U75:U138" si="30">IF(T75="Sparse",M75,"")</f>
        <v>83.964601414595634</v>
      </c>
      <c r="V75" s="184">
        <f>IF(U75="","",IF($I$8="A",(RANK(U75,U$11:U$368)+COUNTIF(U$11:U75,U75)-1),(RANK(U75,U$11:U$368,1)+COUNTIF(U$11:U75,U75)-1)))</f>
        <v>44</v>
      </c>
      <c r="W75" s="185"/>
      <c r="X75" s="38" t="str">
        <f>IF(L75="","",VLOOKUP($L75,classifications!$C:$J,6,FALSE))</f>
        <v xml:space="preserve">Mainly Rural (rural including hub towns &gt;=80%) </v>
      </c>
      <c r="Y75" s="26">
        <f t="shared" ref="Y75:Y138" si="31">IF($D$1="UA",IF(X75="Largely Rural (rural including hub towns 50-79%) ",M75,IF(X75="Mainly Rural (rural including hub towns &gt;=80%) ",M75,IF(X75="Urban with Significant Rural (rural including hub towns 26-49%)",M75,""))),IF($D$1="SD",IF(X75=$H$3,M75,"")))</f>
        <v>83.964601414595634</v>
      </c>
      <c r="Z75" s="34">
        <f>IF(Y75="","",IF(I$8="A",(RANK(Y75,Y$11:Y$368,1)+COUNTIF(Y$11:Y75,Y75)-1),(RANK(Y75,Y$11:Y$368)+COUNTIF(Y$11:Y75,Y75)-1)))</f>
        <v>18</v>
      </c>
      <c r="AA75" s="188" t="str">
        <f>IF(L75="","",VLOOKUP($L75,classifications!C:I,7,FALSE))</f>
        <v>Predominantly Rural</v>
      </c>
      <c r="AB75" s="184">
        <f t="shared" si="11"/>
        <v>83.964601414595634</v>
      </c>
      <c r="AC75" s="184">
        <f>IF(AB75="","",IF($I$8="A",(RANK(AB75,AB$11:AB$368)+COUNTIF(AB$11:AB75,AB75)-1),(RANK(AB75,AB$11:AB$368,1)+COUNTIF(AB$11:AB75,AB75)-1)))</f>
        <v>45</v>
      </c>
      <c r="AD75" s="184"/>
      <c r="AE75" s="28" t="str">
        <f t="shared" si="24"/>
        <v/>
      </c>
      <c r="AG75" s="96"/>
      <c r="AH75" s="29"/>
      <c r="AI75" s="38" t="str">
        <f>IF(L75="","",VLOOKUP($L75,classifications!$C:$J,8,FALSE))</f>
        <v>Norfolk</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East of England</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87.528570676960697</v>
      </c>
      <c r="AY75" s="103"/>
      <c r="AZ75" s="21"/>
    </row>
    <row r="76" spans="1:52">
      <c r="A76" s="56" t="str">
        <f>$D$1&amp;66</f>
        <v>SD66</v>
      </c>
      <c r="B76" s="57" t="str">
        <f>IF(ISERROR(VLOOKUP(A76,classifications!A:C,3,FALSE)),0,VLOOKUP(A76,classifications!A:C,3,FALSE))</f>
        <v>Stroud</v>
      </c>
      <c r="C76" s="8" t="s">
        <v>42</v>
      </c>
      <c r="D76" s="26" t="str">
        <f>VLOOKUP($C76,classifications!$C:$J,4,FALSE)</f>
        <v>SD</v>
      </c>
      <c r="E76" s="26" t="str">
        <f>VLOOKUP(C76,classifications!C:K,9,FALSE)</f>
        <v>Sparse</v>
      </c>
      <c r="F76" s="36">
        <f t="shared" si="26"/>
        <v>81.67035568373511</v>
      </c>
      <c r="G76" s="71"/>
      <c r="H76" s="37">
        <f t="shared" si="27"/>
        <v>81.67035568373511</v>
      </c>
      <c r="I76" s="77">
        <f>IF(H76="","",IF($I$8="A",(RANK(H76,H$11:H$368,1)+COUNTIF(H$11:H76,H76)-1),(RANK(H76,H$11:H$368)+COUNTIF(H$11:H76,H76)-1)))</f>
        <v>117</v>
      </c>
      <c r="J76" s="35"/>
      <c r="K76" s="28">
        <f t="shared" ref="K76:K139" si="35">IF(K75="","",IF(K75+1&gt;(COUNT(H$11:H$368)),"",K75+1))</f>
        <v>66</v>
      </c>
      <c r="L76" s="36" t="str">
        <f t="shared" si="28"/>
        <v>Thanet</v>
      </c>
      <c r="M76" s="102">
        <f t="shared" ref="M76:M139" si="36">IF(L76="","",IF(VLOOKUP(L76,C:D,2,FALSE)=$F$3,VLOOKUP(L76,C:H,6,FALSE),""))</f>
        <v>83.903318587367835</v>
      </c>
      <c r="N76" s="101">
        <f t="shared" ref="N76:N139" si="37">IF(L76="","",IF($H$8="%%",M76*100,M76))</f>
        <v>83.903318587367835</v>
      </c>
      <c r="O76" s="94" t="str">
        <f t="shared" si="29"/>
        <v/>
      </c>
      <c r="P76" s="94">
        <f t="shared" si="18"/>
        <v>83.903318587367835</v>
      </c>
      <c r="Q76" s="94" t="str">
        <f t="shared" si="19"/>
        <v/>
      </c>
      <c r="R76" s="90" t="str">
        <f t="shared" si="20"/>
        <v/>
      </c>
      <c r="S76" s="37" t="str">
        <f t="shared" ref="S76:S139" si="38">IF(L76=D$3,"u","")</f>
        <v/>
      </c>
      <c r="T76" s="176">
        <f>IF(L76="","",VLOOKUP(L76,classifications!C:K,9,FALSE))</f>
        <v>0</v>
      </c>
      <c r="U76" s="183" t="str">
        <f t="shared" si="30"/>
        <v/>
      </c>
      <c r="V76" s="184" t="str">
        <f>IF(U76="","",IF($I$8="A",(RANK(U76,U$11:U$368)+COUNTIF(U$11:U76,U76)-1),(RANK(U76,U$11:U$368,1)+COUNTIF(U$11:U76,U76)-1)))</f>
        <v/>
      </c>
      <c r="W76" s="185"/>
      <c r="X76" s="38" t="str">
        <f>IF(L76="","",VLOOKUP($L76,classifications!$C:$J,6,FALSE))</f>
        <v>Urban with City and Town</v>
      </c>
      <c r="Y76" s="26" t="str">
        <f t="shared" si="31"/>
        <v/>
      </c>
      <c r="Z76" s="34" t="str">
        <f>IF(Y76="","",IF(I$8="A",(RANK(Y76,Y$11:Y$368,1)+COUNTIF(Y$11:Y76,Y76)-1),(RANK(Y76,Y$11:Y$368)+COUNTIF(Y$11:Y76,Y76)-1)))</f>
        <v/>
      </c>
      <c r="AA76" s="188" t="str">
        <f>IF(L76="","",VLOOKUP($L76,classifications!C:I,7,FALSE))</f>
        <v>Predominantly Urban</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Kent</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South East</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81.67035568373511</v>
      </c>
      <c r="AY76" s="103"/>
      <c r="AZ76" s="21"/>
    </row>
    <row r="77" spans="1:52">
      <c r="A77" s="56" t="str">
        <f>$D$1&amp;67</f>
        <v>SD67</v>
      </c>
      <c r="B77" s="57" t="str">
        <f>IF(ISERROR(VLOOKUP(A77,classifications!A:C,3,FALSE)),0,VLOOKUP(A77,classifications!A:C,3,FALSE))</f>
        <v>Suffolk Coastal</v>
      </c>
      <c r="C77" s="8" t="s">
        <v>43</v>
      </c>
      <c r="D77" s="26" t="str">
        <f>VLOOKUP($C77,classifications!$C:$J,4,FALSE)</f>
        <v>SD</v>
      </c>
      <c r="E77" s="26">
        <f>VLOOKUP(C77,classifications!C:K,9,FALSE)</f>
        <v>0</v>
      </c>
      <c r="F77" s="36">
        <f t="shared" si="26"/>
        <v>74.465846906570832</v>
      </c>
      <c r="G77" s="71"/>
      <c r="H77" s="37">
        <f t="shared" si="27"/>
        <v>74.465846906570832</v>
      </c>
      <c r="I77" s="77">
        <f>IF(H77="","",IF($I$8="A",(RANK(H77,H$11:H$368,1)+COUNTIF(H$11:H77,H77)-1),(RANK(H77,H$11:H$368)+COUNTIF(H$11:H77,H77)-1)))</f>
        <v>188</v>
      </c>
      <c r="J77" s="35"/>
      <c r="K77" s="28">
        <f t="shared" si="35"/>
        <v>67</v>
      </c>
      <c r="L77" s="36" t="str">
        <f t="shared" si="28"/>
        <v>Adur</v>
      </c>
      <c r="M77" s="102">
        <f t="shared" si="36"/>
        <v>83.883886554025949</v>
      </c>
      <c r="N77" s="101">
        <f t="shared" si="37"/>
        <v>83.883886554025949</v>
      </c>
      <c r="O77" s="94" t="str">
        <f t="shared" si="29"/>
        <v/>
      </c>
      <c r="P77" s="94">
        <f t="shared" ref="P77:P140" si="45">IF(I$8="A",IF(N77&gt;$O$10,IF(N77&lt;=$P$10,N77,""),""),IF(N77&lt;$O$10,IF(N77&gt;=$P$10,N77,""),""))</f>
        <v>83.883886554025949</v>
      </c>
      <c r="Q77" s="94" t="str">
        <f t="shared" ref="Q77:Q140" si="46">IF(I$8="A",IF(N77&gt;$P$10,IF(N77&lt;=$Q$10,N77,""),""),IF(N77&lt;$P$10,IF(N77&gt;=$Q$10,N77,""),""))</f>
        <v/>
      </c>
      <c r="R77" s="90" t="str">
        <f t="shared" ref="R77:R140" si="47">IF(I$8="A",IF(N77&gt;$Q$10,N77,""),IF(N77&lt;$Q$10,N77,""))</f>
        <v/>
      </c>
      <c r="S77" s="37" t="str">
        <f t="shared" si="38"/>
        <v/>
      </c>
      <c r="T77" s="176">
        <f>IF(L77="","",VLOOKUP(L77,classifications!C:K,9,FALSE))</f>
        <v>0</v>
      </c>
      <c r="U77" s="183" t="str">
        <f t="shared" si="30"/>
        <v/>
      </c>
      <c r="V77" s="184" t="str">
        <f>IF(U77="","",IF($I$8="A",(RANK(U77,U$11:U$368)+COUNTIF(U$11:U77,U77)-1),(RANK(U77,U$11:U$368,1)+COUNTIF(U$11:U77,U77)-1)))</f>
        <v/>
      </c>
      <c r="W77" s="185"/>
      <c r="X77" s="38" t="str">
        <f>IF(L77="","",VLOOKUP($L77,classifications!$C:$J,6,FALSE))</f>
        <v>Urban with City and Town</v>
      </c>
      <c r="Y77" s="26" t="str">
        <f t="shared" si="31"/>
        <v/>
      </c>
      <c r="Z77" s="34" t="str">
        <f>IF(Y77="","",IF(I$8="A",(RANK(Y77,Y$11:Y$368,1)+COUNTIF(Y$11:Y77,Y77)-1),(RANK(Y77,Y$11:Y$368)+COUNTIF(Y$11:Y77,Y77)-1)))</f>
        <v/>
      </c>
      <c r="AA77" s="188" t="str">
        <f>IF(L77="","",VLOOKUP($L77,classifications!C:I,7,FALSE))</f>
        <v>Predominantly Urban</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West Sussex</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South East</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74.465846906570832</v>
      </c>
      <c r="AY77" s="103"/>
      <c r="AZ77" s="21"/>
    </row>
    <row r="78" spans="1:52">
      <c r="A78" s="56" t="str">
        <f>$D$1&amp;68</f>
        <v>SD68</v>
      </c>
      <c r="B78" s="57" t="str">
        <f>IF(ISERROR(VLOOKUP(A78,classifications!A:C,3,FALSE)),0,VLOOKUP(A78,classifications!A:C,3,FALSE))</f>
        <v>Tandridge</v>
      </c>
      <c r="C78" s="8" t="s">
        <v>305</v>
      </c>
      <c r="D78" s="26" t="str">
        <f>VLOOKUP($C78,classifications!$C:$J,4,FALSE)</f>
        <v>UA</v>
      </c>
      <c r="E78" s="26" t="str">
        <f>VLOOKUP(C78,classifications!C:K,9,FALSE)</f>
        <v>Sparse</v>
      </c>
      <c r="F78" s="36">
        <f t="shared" si="26"/>
        <v>84.395319552433818</v>
      </c>
      <c r="G78" s="71"/>
      <c r="H78" s="37" t="str">
        <f t="shared" si="27"/>
        <v/>
      </c>
      <c r="I78" s="77" t="str">
        <f>IF(H78="","",IF($I$8="A",(RANK(H78,H$11:H$368,1)+COUNTIF(H$11:H78,H78)-1),(RANK(H78,H$11:H$368)+COUNTIF(H$11:H78,H78)-1)))</f>
        <v/>
      </c>
      <c r="J78" s="35"/>
      <c r="K78" s="28">
        <f t="shared" si="35"/>
        <v>68</v>
      </c>
      <c r="L78" s="36" t="str">
        <f t="shared" si="28"/>
        <v>Fareham</v>
      </c>
      <c r="M78" s="102">
        <f t="shared" si="36"/>
        <v>83.875838794352973</v>
      </c>
      <c r="N78" s="101">
        <f t="shared" si="37"/>
        <v>83.875838794352973</v>
      </c>
      <c r="O78" s="94" t="str">
        <f t="shared" si="29"/>
        <v/>
      </c>
      <c r="P78" s="94">
        <f t="shared" si="45"/>
        <v>83.875838794352973</v>
      </c>
      <c r="Q78" s="94" t="str">
        <f t="shared" si="46"/>
        <v/>
      </c>
      <c r="R78" s="90" t="str">
        <f t="shared" si="47"/>
        <v/>
      </c>
      <c r="S78" s="37" t="str">
        <f t="shared" si="38"/>
        <v/>
      </c>
      <c r="T78" s="176">
        <f>IF(L78="","",VLOOKUP(L78,classifications!C:K,9,FALSE))</f>
        <v>0</v>
      </c>
      <c r="U78" s="183" t="str">
        <f t="shared" si="30"/>
        <v/>
      </c>
      <c r="V78" s="184" t="str">
        <f>IF(U78="","",IF($I$8="A",(RANK(U78,U$11:U$368)+COUNTIF(U$11:U78,U78)-1),(RANK(U78,U$11:U$368,1)+COUNTIF(U$11:U78,U78)-1)))</f>
        <v/>
      </c>
      <c r="W78" s="185"/>
      <c r="X78" s="38" t="str">
        <f>IF(L78="","",VLOOKUP($L78,classifications!$C:$J,6,FALSE))</f>
        <v>Urban with City and Town</v>
      </c>
      <c r="Y78" s="26" t="str">
        <f t="shared" si="31"/>
        <v/>
      </c>
      <c r="Z78" s="34" t="str">
        <f>IF(Y78="","",IF(I$8="A",(RANK(Y78,Y$11:Y$368,1)+COUNTIF(Y$11:Y78,Y78)-1),(RANK(Y78,Y$11:Y$368)+COUNTIF(Y$11:Y78,Y78)-1)))</f>
        <v/>
      </c>
      <c r="AA78" s="188" t="str">
        <f>IF(L78="","",VLOOKUP($L78,classifications!C:I,7,FALSE))</f>
        <v>Predominantly Urban</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Hampshire</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South East</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84.395319552433818</v>
      </c>
      <c r="AY78" s="103"/>
      <c r="AZ78" s="21"/>
    </row>
    <row r="79" spans="1:52">
      <c r="A79" s="56" t="str">
        <f>$D$1&amp;69</f>
        <v>SD69</v>
      </c>
      <c r="B79" s="57" t="str">
        <f>IF(ISERROR(VLOOKUP(A79,classifications!A:C,3,FALSE)),0,VLOOKUP(A79,classifications!A:C,3,FALSE))</f>
        <v>Taunton Deane</v>
      </c>
      <c r="C79" s="8" t="s">
        <v>44</v>
      </c>
      <c r="D79" s="26" t="str">
        <f>VLOOKUP($C79,classifications!$C:$J,4,FALSE)</f>
        <v>SD</v>
      </c>
      <c r="E79" s="26" t="str">
        <f>VLOOKUP(C79,classifications!C:K,9,FALSE)</f>
        <v>Sparse</v>
      </c>
      <c r="F79" s="36">
        <f t="shared" si="26"/>
        <v>87.647615077230469</v>
      </c>
      <c r="G79" s="71"/>
      <c r="H79" s="37">
        <f t="shared" si="27"/>
        <v>87.647615077230469</v>
      </c>
      <c r="I79" s="77">
        <f>IF(H79="","",IF($I$8="A",(RANK(H79,H$11:H$368,1)+COUNTIF(H$11:H79,H79)-1),(RANK(H79,H$11:H$368)+COUNTIF(H$11:H79,H79)-1)))</f>
        <v>15</v>
      </c>
      <c r="J79" s="35"/>
      <c r="K79" s="28">
        <f t="shared" si="35"/>
        <v>69</v>
      </c>
      <c r="L79" s="36" t="str">
        <f t="shared" si="28"/>
        <v>Surrey Heath</v>
      </c>
      <c r="M79" s="102">
        <f t="shared" si="36"/>
        <v>83.863003731213638</v>
      </c>
      <c r="N79" s="101">
        <f t="shared" si="37"/>
        <v>83.863003731213638</v>
      </c>
      <c r="O79" s="94" t="str">
        <f t="shared" si="29"/>
        <v/>
      </c>
      <c r="P79" s="94">
        <f t="shared" si="45"/>
        <v>83.863003731213638</v>
      </c>
      <c r="Q79" s="94" t="str">
        <f t="shared" si="46"/>
        <v/>
      </c>
      <c r="R79" s="90" t="str">
        <f t="shared" si="47"/>
        <v/>
      </c>
      <c r="S79" s="37" t="str">
        <f t="shared" si="38"/>
        <v/>
      </c>
      <c r="T79" s="176">
        <f>IF(L79="","",VLOOKUP(L79,classifications!C:K,9,FALSE))</f>
        <v>0</v>
      </c>
      <c r="U79" s="183" t="str">
        <f t="shared" si="30"/>
        <v/>
      </c>
      <c r="V79" s="184" t="str">
        <f>IF(U79="","",IF($I$8="A",(RANK(U79,U$11:U$368)+COUNTIF(U$11:U79,U79)-1),(RANK(U79,U$11:U$368,1)+COUNTIF(U$11:U79,U79)-1)))</f>
        <v/>
      </c>
      <c r="W79" s="185"/>
      <c r="X79" s="38" t="str">
        <f>IF(L79="","",VLOOKUP($L79,classifications!$C:$J,6,FALSE))</f>
        <v>Urban with City and Town</v>
      </c>
      <c r="Y79" s="26" t="str">
        <f t="shared" si="31"/>
        <v/>
      </c>
      <c r="Z79" s="34" t="str">
        <f>IF(Y79="","",IF(I$8="A",(RANK(Y79,Y$11:Y$368,1)+COUNTIF(Y$11:Y79,Y79)-1),(RANK(Y79,Y$11:Y$368)+COUNTIF(Y$11:Y79,Y79)-1)))</f>
        <v/>
      </c>
      <c r="AA79" s="188" t="str">
        <f>IF(L79="","",VLOOKUP($L79,classifications!C:I,7,FALSE))</f>
        <v>Predominantly Urban</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Surrey</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South East</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87.647615077230469</v>
      </c>
      <c r="AY79" s="103"/>
      <c r="AZ79" s="21"/>
    </row>
    <row r="80" spans="1:52">
      <c r="A80" s="56" t="str">
        <f>$D$1&amp;70</f>
        <v>SD70</v>
      </c>
      <c r="B80" s="57" t="str">
        <f>IF(ISERROR(VLOOKUP(A80,classifications!A:C,3,FALSE)),0,VLOOKUP(A80,classifications!A:C,3,FALSE))</f>
        <v>Teignbridge</v>
      </c>
      <c r="C80" s="8" t="s">
        <v>228</v>
      </c>
      <c r="D80" s="26" t="str">
        <f>VLOOKUP($C80,classifications!$C:$J,4,FALSE)</f>
        <v>MD</v>
      </c>
      <c r="E80" s="26">
        <f>VLOOKUP(C80,classifications!C:K,9,FALSE)</f>
        <v>0</v>
      </c>
      <c r="F80" s="36">
        <f t="shared" si="26"/>
        <v>72.367936631448146</v>
      </c>
      <c r="G80" s="71"/>
      <c r="H80" s="37" t="str">
        <f t="shared" si="27"/>
        <v/>
      </c>
      <c r="I80" s="77" t="str">
        <f>IF(H80="","",IF($I$8="A",(RANK(H80,H$11:H$368,1)+COUNTIF(H$11:H80,H80)-1),(RANK(H80,H$11:H$368)+COUNTIF(H$11:H80,H80)-1)))</f>
        <v/>
      </c>
      <c r="J80" s="35"/>
      <c r="K80" s="28">
        <f t="shared" si="35"/>
        <v>70</v>
      </c>
      <c r="L80" s="36" t="str">
        <f t="shared" si="28"/>
        <v>Reigate &amp; Banstead</v>
      </c>
      <c r="M80" s="102">
        <f t="shared" si="36"/>
        <v>83.841518911555866</v>
      </c>
      <c r="N80" s="101">
        <f t="shared" si="37"/>
        <v>83.841518911555866</v>
      </c>
      <c r="O80" s="94" t="str">
        <f t="shared" si="29"/>
        <v/>
      </c>
      <c r="P80" s="94">
        <f t="shared" si="45"/>
        <v>83.841518911555866</v>
      </c>
      <c r="Q80" s="94" t="str">
        <f t="shared" si="46"/>
        <v/>
      </c>
      <c r="R80" s="90" t="str">
        <f t="shared" si="47"/>
        <v/>
      </c>
      <c r="S80" s="37" t="str">
        <f t="shared" si="38"/>
        <v/>
      </c>
      <c r="T80" s="176">
        <f>IF(L80="","",VLOOKUP(L80,classifications!C:K,9,FALSE))</f>
        <v>0</v>
      </c>
      <c r="U80" s="183" t="str">
        <f t="shared" si="30"/>
        <v/>
      </c>
      <c r="V80" s="184" t="str">
        <f>IF(U80="","",IF($I$8="A",(RANK(U80,U$11:U$368)+COUNTIF(U$11:U80,U80)-1),(RANK(U80,U$11:U$368,1)+COUNTIF(U$11:U80,U80)-1)))</f>
        <v/>
      </c>
      <c r="W80" s="185"/>
      <c r="X80" s="38" t="str">
        <f>IF(L80="","",VLOOKUP($L80,classifications!$C:$J,6,FALSE))</f>
        <v>Urban with City and Town</v>
      </c>
      <c r="Y80" s="26" t="str">
        <f t="shared" si="31"/>
        <v/>
      </c>
      <c r="Z80" s="34" t="str">
        <f>IF(Y80="","",IF(I$8="A",(RANK(Y80,Y$11:Y$368,1)+COUNTIF(Y$11:Y80,Y80)-1),(RANK(Y80,Y$11:Y$368)+COUNTIF(Y$11:Y80,Y80)-1)))</f>
        <v/>
      </c>
      <c r="AA80" s="188" t="str">
        <f>IF(L80="","",VLOOKUP($L80,classifications!C:I,7,FALSE))</f>
        <v>Predominantly Urban</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Surrey</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South East</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72.367936631448146</v>
      </c>
      <c r="AY80" s="103"/>
      <c r="AZ80" s="21"/>
    </row>
    <row r="81" spans="1:52">
      <c r="A81" s="56" t="str">
        <f>$D$1&amp;71</f>
        <v>SD71</v>
      </c>
      <c r="B81" s="57" t="str">
        <f>IF(ISERROR(VLOOKUP(A81,classifications!A:C,3,FALSE)),0,VLOOKUP(A81,classifications!A:C,3,FALSE))</f>
        <v>Tewkesbury</v>
      </c>
      <c r="C81" s="8" t="s">
        <v>45</v>
      </c>
      <c r="D81" s="26" t="str">
        <f>VLOOKUP($C81,classifications!$C:$J,4,FALSE)</f>
        <v>SD</v>
      </c>
      <c r="E81" s="26" t="str">
        <f>VLOOKUP(C81,classifications!C:K,9,FALSE)</f>
        <v>Sparse</v>
      </c>
      <c r="F81" s="36">
        <f t="shared" si="26"/>
        <v>82.232358007265006</v>
      </c>
      <c r="G81" s="71"/>
      <c r="H81" s="37">
        <f t="shared" si="27"/>
        <v>82.232358007265006</v>
      </c>
      <c r="I81" s="77">
        <f>IF(H81="","",IF($I$8="A",(RANK(H81,H$11:H$368,1)+COUNTIF(H$11:H81,H81)-1),(RANK(H81,H$11:H$368)+COUNTIF(H$11:H81,H81)-1)))</f>
        <v>104</v>
      </c>
      <c r="J81" s="35"/>
      <c r="K81" s="28">
        <f t="shared" si="35"/>
        <v>71</v>
      </c>
      <c r="L81" s="36" t="str">
        <f t="shared" si="28"/>
        <v>Dover</v>
      </c>
      <c r="M81" s="102">
        <f t="shared" si="36"/>
        <v>83.82997141888039</v>
      </c>
      <c r="N81" s="101">
        <f t="shared" si="37"/>
        <v>83.82997141888039</v>
      </c>
      <c r="O81" s="94" t="str">
        <f t="shared" si="29"/>
        <v/>
      </c>
      <c r="P81" s="94">
        <f t="shared" si="45"/>
        <v>83.82997141888039</v>
      </c>
      <c r="Q81" s="94" t="str">
        <f t="shared" si="46"/>
        <v/>
      </c>
      <c r="R81" s="90" t="str">
        <f t="shared" si="47"/>
        <v/>
      </c>
      <c r="S81" s="37" t="str">
        <f t="shared" si="38"/>
        <v/>
      </c>
      <c r="T81" s="176">
        <f>IF(L81="","",VLOOKUP(L81,classifications!C:K,9,FALSE))</f>
        <v>0</v>
      </c>
      <c r="U81" s="183" t="str">
        <f t="shared" si="30"/>
        <v/>
      </c>
      <c r="V81" s="184" t="str">
        <f>IF(U81="","",IF($I$8="A",(RANK(U81,U$11:U$368)+COUNTIF(U$11:U81,U81)-1),(RANK(U81,U$11:U$368,1)+COUNTIF(U$11:U81,U81)-1)))</f>
        <v/>
      </c>
      <c r="W81" s="185"/>
      <c r="X81" s="38" t="str">
        <f>IF(L81="","",VLOOKUP($L81,classifications!$C:$J,6,FALSE))</f>
        <v>Urban with Significant Rural (rural including hub towns 26-49%)</v>
      </c>
      <c r="Y81" s="26" t="str">
        <f t="shared" si="31"/>
        <v/>
      </c>
      <c r="Z81" s="34" t="str">
        <f>IF(Y81="","",IF(I$8="A",(RANK(Y81,Y$11:Y$368,1)+COUNTIF(Y$11:Y81,Y81)-1),(RANK(Y81,Y$11:Y$368)+COUNTIF(Y$11:Y81,Y81)-1)))</f>
        <v/>
      </c>
      <c r="AA81" s="188" t="str">
        <f>IF(L81="","",VLOOKUP($L81,classifications!C:I,7,FALSE))</f>
        <v>Significant Rural</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Kent</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South East</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82.232358007265006</v>
      </c>
      <c r="AY81" s="103"/>
      <c r="AZ81" s="21"/>
    </row>
    <row r="82" spans="1:52">
      <c r="A82" s="56" t="str">
        <f>$D$1&amp;72</f>
        <v>SD72</v>
      </c>
      <c r="B82" s="57" t="str">
        <f>IF(ISERROR(VLOOKUP(A82,classifications!A:C,3,FALSE)),0,VLOOKUP(A82,classifications!A:C,3,FALSE))</f>
        <v>Torridge</v>
      </c>
      <c r="C82" s="8" t="s">
        <v>46</v>
      </c>
      <c r="D82" s="26" t="str">
        <f>VLOOKUP($C82,classifications!$C:$J,4,FALSE)</f>
        <v>SD</v>
      </c>
      <c r="E82" s="26">
        <f>VLOOKUP(C82,classifications!C:K,9,FALSE)</f>
        <v>0</v>
      </c>
      <c r="F82" s="36">
        <f t="shared" si="26"/>
        <v>73.409718940341691</v>
      </c>
      <c r="G82" s="71"/>
      <c r="H82" s="37">
        <f t="shared" si="27"/>
        <v>73.409718940341691</v>
      </c>
      <c r="I82" s="77">
        <f>IF(H82="","",IF($I$8="A",(RANK(H82,H$11:H$368,1)+COUNTIF(H$11:H82,H82)-1),(RANK(H82,H$11:H$368)+COUNTIF(H$11:H82,H82)-1)))</f>
        <v>190</v>
      </c>
      <c r="J82" s="35"/>
      <c r="K82" s="28">
        <f t="shared" si="35"/>
        <v>72</v>
      </c>
      <c r="L82" s="36" t="str">
        <f t="shared" si="28"/>
        <v>Maldon</v>
      </c>
      <c r="M82" s="102">
        <f t="shared" si="36"/>
        <v>83.768341906905448</v>
      </c>
      <c r="N82" s="101">
        <f t="shared" si="37"/>
        <v>83.768341906905448</v>
      </c>
      <c r="O82" s="94" t="str">
        <f t="shared" si="29"/>
        <v/>
      </c>
      <c r="P82" s="94">
        <f t="shared" si="45"/>
        <v>83.768341906905448</v>
      </c>
      <c r="Q82" s="94" t="str">
        <f t="shared" si="46"/>
        <v/>
      </c>
      <c r="R82" s="90" t="str">
        <f t="shared" si="47"/>
        <v/>
      </c>
      <c r="S82" s="37" t="str">
        <f t="shared" si="38"/>
        <v/>
      </c>
      <c r="T82" s="176">
        <f>IF(L82="","",VLOOKUP(L82,classifications!C:K,9,FALSE))</f>
        <v>0</v>
      </c>
      <c r="U82" s="183" t="str">
        <f t="shared" si="30"/>
        <v/>
      </c>
      <c r="V82" s="184" t="str">
        <f>IF(U82="","",IF($I$8="A",(RANK(U82,U$11:U$368)+COUNTIF(U$11:U82,U82)-1),(RANK(U82,U$11:U$368,1)+COUNTIF(U$11:U82,U82)-1)))</f>
        <v/>
      </c>
      <c r="W82" s="185"/>
      <c r="X82" s="38" t="str">
        <f>IF(L82="","",VLOOKUP($L82,classifications!$C:$J,6,FALSE))</f>
        <v xml:space="preserve">Mainly Rural (rural including hub towns &gt;=80%) </v>
      </c>
      <c r="Y82" s="26">
        <f t="shared" si="31"/>
        <v>83.768341906905448</v>
      </c>
      <c r="Z82" s="34">
        <f>IF(Y82="","",IF(I$8="A",(RANK(Y82,Y$11:Y$368,1)+COUNTIF(Y$11:Y82,Y82)-1),(RANK(Y82,Y$11:Y$368)+COUNTIF(Y$11:Y82,Y82)-1)))</f>
        <v>19</v>
      </c>
      <c r="AA82" s="188" t="str">
        <f>IF(L82="","",VLOOKUP($L82,classifications!C:I,7,FALSE))</f>
        <v>Predominantly Rural</v>
      </c>
      <c r="AB82" s="184">
        <f t="shared" si="39"/>
        <v>83.768341906905448</v>
      </c>
      <c r="AC82" s="184">
        <f>IF(AB82="","",IF($I$8="A",(RANK(AB82,AB$11:AB$368)+COUNTIF(AB$11:AB82,AB82)-1),(RANK(AB82,AB$11:AB$368,1)+COUNTIF(AB$11:AB82,AB82)-1)))</f>
        <v>44</v>
      </c>
      <c r="AD82" s="184"/>
      <c r="AE82" s="28" t="str">
        <f t="shared" si="24"/>
        <v/>
      </c>
      <c r="AG82" s="96"/>
      <c r="AH82" s="29"/>
      <c r="AI82" s="38" t="str">
        <f>IF(L82="","",VLOOKUP($L82,classifications!$C:$J,8,FALSE))</f>
        <v>Essex</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East of England</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73.409718940341691</v>
      </c>
      <c r="AY82" s="103"/>
      <c r="AZ82" s="21"/>
    </row>
    <row r="83" spans="1:52">
      <c r="A83" s="56" t="str">
        <f>$D$1&amp;73</f>
        <v>SD73</v>
      </c>
      <c r="B83" s="57" t="str">
        <f>IF(ISERROR(VLOOKUP(A83,classifications!A:C,3,FALSE)),0,VLOOKUP(A83,classifications!A:C,3,FALSE))</f>
        <v>Tunbridge Wells</v>
      </c>
      <c r="C83" s="8" t="s">
        <v>201</v>
      </c>
      <c r="D83" s="26" t="str">
        <f>VLOOKUP($C83,classifications!$C:$J,4,FALSE)</f>
        <v>L</v>
      </c>
      <c r="E83" s="26">
        <f>VLOOKUP(C83,classifications!C:K,9,FALSE)</f>
        <v>0</v>
      </c>
      <c r="F83" s="36">
        <f t="shared" si="26"/>
        <v>73.52554324109137</v>
      </c>
      <c r="G83" s="71"/>
      <c r="H83" s="37" t="str">
        <f t="shared" si="27"/>
        <v/>
      </c>
      <c r="I83" s="77" t="str">
        <f>IF(H83="","",IF($I$8="A",(RANK(H83,H$11:H$368,1)+COUNTIF(H$11:H83,H83)-1),(RANK(H83,H$11:H$368)+COUNTIF(H$11:H83,H83)-1)))</f>
        <v/>
      </c>
      <c r="J83" s="35"/>
      <c r="K83" s="28">
        <f t="shared" si="35"/>
        <v>73</v>
      </c>
      <c r="L83" s="36" t="str">
        <f t="shared" si="28"/>
        <v>Dacorum</v>
      </c>
      <c r="M83" s="102">
        <f t="shared" si="36"/>
        <v>83.733643776664906</v>
      </c>
      <c r="N83" s="101">
        <f t="shared" si="37"/>
        <v>83.733643776664906</v>
      </c>
      <c r="O83" s="94" t="str">
        <f t="shared" si="29"/>
        <v/>
      </c>
      <c r="P83" s="94">
        <f t="shared" si="45"/>
        <v>83.733643776664906</v>
      </c>
      <c r="Q83" s="94" t="str">
        <f t="shared" si="46"/>
        <v/>
      </c>
      <c r="R83" s="90" t="str">
        <f t="shared" si="47"/>
        <v/>
      </c>
      <c r="S83" s="37" t="str">
        <f t="shared" si="38"/>
        <v/>
      </c>
      <c r="T83" s="176">
        <f>IF(L83="","",VLOOKUP(L83,classifications!C:K,9,FALSE))</f>
        <v>0</v>
      </c>
      <c r="U83" s="183" t="str">
        <f t="shared" si="30"/>
        <v/>
      </c>
      <c r="V83" s="184" t="str">
        <f>IF(U83="","",IF($I$8="A",(RANK(U83,U$11:U$368)+COUNTIF(U$11:U83,U83)-1),(RANK(U83,U$11:U$368,1)+COUNTIF(U$11:U83,U83)-1)))</f>
        <v/>
      </c>
      <c r="W83" s="185"/>
      <c r="X83" s="38" t="str">
        <f>IF(L83="","",VLOOKUP($L83,classifications!$C:$J,6,FALSE))</f>
        <v>Urban with Significant Rural (rural including hub towns 26-49%)</v>
      </c>
      <c r="Y83" s="26" t="str">
        <f t="shared" si="31"/>
        <v/>
      </c>
      <c r="Z83" s="34" t="str">
        <f>IF(Y83="","",IF(I$8="A",(RANK(Y83,Y$11:Y$368,1)+COUNTIF(Y$11:Y83,Y83)-1),(RANK(Y83,Y$11:Y$368)+COUNTIF(Y$11:Y83,Y83)-1)))</f>
        <v/>
      </c>
      <c r="AA83" s="188" t="str">
        <f>IF(L83="","",VLOOKUP($L83,classifications!C:I,7,FALSE))</f>
        <v>Significant Rural</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Hertfordshire</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East of England</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73.52554324109137</v>
      </c>
      <c r="AY83" s="103"/>
      <c r="AZ83" s="21"/>
    </row>
    <row r="84" spans="1:52">
      <c r="A84" s="56" t="str">
        <f>$D$1&amp;74</f>
        <v>SD74</v>
      </c>
      <c r="B84" s="57" t="str">
        <f>IF(ISERROR(VLOOKUP(A84,classifications!A:C,3,FALSE)),0,VLOOKUP(A84,classifications!A:C,3,FALSE))</f>
        <v>Uttlesford</v>
      </c>
      <c r="C84" s="8" t="s">
        <v>306</v>
      </c>
      <c r="D84" s="26" t="str">
        <f>VLOOKUP($C84,classifications!$C:$J,4,FALSE)</f>
        <v>SC</v>
      </c>
      <c r="E84" s="26" t="str">
        <f>VLOOKUP(C84,classifications!C:K,9,FALSE)</f>
        <v>Sparse</v>
      </c>
      <c r="F84" s="36">
        <f t="shared" si="26"/>
        <v>83.002586119216289</v>
      </c>
      <c r="G84" s="71"/>
      <c r="H84" s="37" t="str">
        <f t="shared" si="27"/>
        <v/>
      </c>
      <c r="I84" s="77" t="str">
        <f>IF(H84="","",IF($I$8="A",(RANK(H84,H$11:H$368,1)+COUNTIF(H$11:H84,H84)-1),(RANK(H84,H$11:H$368)+COUNTIF(H$11:H84,H84)-1)))</f>
        <v/>
      </c>
      <c r="J84" s="35"/>
      <c r="K84" s="28">
        <f t="shared" si="35"/>
        <v>74</v>
      </c>
      <c r="L84" s="36" t="str">
        <f t="shared" si="28"/>
        <v>South Northamptonshire</v>
      </c>
      <c r="M84" s="102">
        <f t="shared" si="36"/>
        <v>83.691511995421209</v>
      </c>
      <c r="N84" s="101">
        <f t="shared" si="37"/>
        <v>83.691511995421209</v>
      </c>
      <c r="O84" s="94" t="str">
        <f t="shared" si="29"/>
        <v/>
      </c>
      <c r="P84" s="94">
        <f t="shared" si="45"/>
        <v>83.691511995421209</v>
      </c>
      <c r="Q84" s="94" t="str">
        <f t="shared" si="46"/>
        <v/>
      </c>
      <c r="R84" s="90" t="str">
        <f t="shared" si="47"/>
        <v/>
      </c>
      <c r="S84" s="37" t="str">
        <f t="shared" si="38"/>
        <v/>
      </c>
      <c r="T84" s="176" t="str">
        <f>IF(L84="","",VLOOKUP(L84,classifications!C:K,9,FALSE))</f>
        <v>Sparse</v>
      </c>
      <c r="U84" s="183">
        <f t="shared" si="30"/>
        <v>83.691511995421209</v>
      </c>
      <c r="V84" s="184">
        <f>IF(U84="","",IF($I$8="A",(RANK(U84,U$11:U$368)+COUNTIF(U$11:U84,U84)-1),(RANK(U84,U$11:U$368,1)+COUNTIF(U$11:U84,U84)-1)))</f>
        <v>43</v>
      </c>
      <c r="W84" s="185"/>
      <c r="X84" s="38" t="str">
        <f>IF(L84="","",VLOOKUP($L84,classifications!$C:$J,6,FALSE))</f>
        <v xml:space="preserve">Mainly Rural (rural including hub towns &gt;=80%) </v>
      </c>
      <c r="Y84" s="26">
        <f t="shared" si="31"/>
        <v>83.691511995421209</v>
      </c>
      <c r="Z84" s="34">
        <f>IF(Y84="","",IF(I$8="A",(RANK(Y84,Y$11:Y$368,1)+COUNTIF(Y$11:Y84,Y84)-1),(RANK(Y84,Y$11:Y$368)+COUNTIF(Y$11:Y84,Y84)-1)))</f>
        <v>20</v>
      </c>
      <c r="AA84" s="188" t="str">
        <f>IF(L84="","",VLOOKUP($L84,classifications!C:I,7,FALSE))</f>
        <v>Predominantly Rural</v>
      </c>
      <c r="AB84" s="184">
        <f t="shared" si="39"/>
        <v>83.691511995421209</v>
      </c>
      <c r="AC84" s="184">
        <f>IF(AB84="","",IF($I$8="A",(RANK(AB84,AB$11:AB$368)+COUNTIF(AB$11:AB84,AB84)-1),(RANK(AB84,AB$11:AB$368,1)+COUNTIF(AB$11:AB84,AB84)-1)))</f>
        <v>43</v>
      </c>
      <c r="AD84" s="184"/>
      <c r="AE84" s="28" t="str">
        <f t="shared" si="24"/>
        <v/>
      </c>
      <c r="AG84" s="96"/>
      <c r="AH84" s="29"/>
      <c r="AI84" s="38" t="str">
        <f>IF(L84="","",VLOOKUP($L84,classifications!$C:$J,8,FALSE))</f>
        <v>Northamptonshire</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East Midlands</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83.002586119216289</v>
      </c>
      <c r="AY84" s="103"/>
      <c r="AZ84" s="21"/>
    </row>
    <row r="85" spans="1:52">
      <c r="A85" s="56" t="str">
        <f>$D$1&amp;75</f>
        <v>SD75</v>
      </c>
      <c r="B85" s="57" t="str">
        <f>IF(ISERROR(VLOOKUP(A85,classifications!A:C,3,FALSE)),0,VLOOKUP(A85,classifications!A:C,3,FALSE))</f>
        <v>Vale of White Horse</v>
      </c>
      <c r="C85" s="8" t="s">
        <v>47</v>
      </c>
      <c r="D85" s="26" t="str">
        <f>VLOOKUP($C85,classifications!$C:$J,4,FALSE)</f>
        <v>SD</v>
      </c>
      <c r="E85" s="26">
        <f>VLOOKUP(C85,classifications!C:K,9,FALSE)</f>
        <v>0</v>
      </c>
      <c r="F85" s="36">
        <f t="shared" si="26"/>
        <v>83.733643776664906</v>
      </c>
      <c r="G85" s="71"/>
      <c r="H85" s="37">
        <f t="shared" si="27"/>
        <v>83.733643776664906</v>
      </c>
      <c r="I85" s="77">
        <f>IF(H85="","",IF($I$8="A",(RANK(H85,H$11:H$368,1)+COUNTIF(H$11:H85,H85)-1),(RANK(H85,H$11:H$368)+COUNTIF(H$11:H85,H85)-1)))</f>
        <v>73</v>
      </c>
      <c r="J85" s="35"/>
      <c r="K85" s="28">
        <f t="shared" si="35"/>
        <v>75</v>
      </c>
      <c r="L85" s="36" t="str">
        <f t="shared" si="28"/>
        <v>South Norfolk</v>
      </c>
      <c r="M85" s="102">
        <f t="shared" si="36"/>
        <v>83.687660389800357</v>
      </c>
      <c r="N85" s="101">
        <f t="shared" si="37"/>
        <v>83.687660389800357</v>
      </c>
      <c r="O85" s="94" t="str">
        <f t="shared" si="29"/>
        <v/>
      </c>
      <c r="P85" s="94">
        <f t="shared" si="45"/>
        <v>83.687660389800357</v>
      </c>
      <c r="Q85" s="94" t="str">
        <f t="shared" si="46"/>
        <v/>
      </c>
      <c r="R85" s="90" t="str">
        <f t="shared" si="47"/>
        <v/>
      </c>
      <c r="S85" s="37" t="str">
        <f t="shared" si="38"/>
        <v/>
      </c>
      <c r="T85" s="176" t="str">
        <f>IF(L85="","",VLOOKUP(L85,classifications!C:K,9,FALSE))</f>
        <v>Sparse</v>
      </c>
      <c r="U85" s="183">
        <f t="shared" si="30"/>
        <v>83.687660389800357</v>
      </c>
      <c r="V85" s="184">
        <f>IF(U85="","",IF($I$8="A",(RANK(U85,U$11:U$368)+COUNTIF(U$11:U85,U85)-1),(RANK(U85,U$11:U$368,1)+COUNTIF(U$11:U85,U85)-1)))</f>
        <v>42</v>
      </c>
      <c r="W85" s="185"/>
      <c r="X85" s="38" t="str">
        <f>IF(L85="","",VLOOKUP($L85,classifications!$C:$J,6,FALSE))</f>
        <v xml:space="preserve">Mainly Rural (rural including hub towns &gt;=80%) </v>
      </c>
      <c r="Y85" s="26">
        <f t="shared" si="31"/>
        <v>83.687660389800357</v>
      </c>
      <c r="Z85" s="34">
        <f>IF(Y85="","",IF(I$8="A",(RANK(Y85,Y$11:Y$368,1)+COUNTIF(Y$11:Y85,Y85)-1),(RANK(Y85,Y$11:Y$368)+COUNTIF(Y$11:Y85,Y85)-1)))</f>
        <v>21</v>
      </c>
      <c r="AA85" s="188" t="str">
        <f>IF(L85="","",VLOOKUP($L85,classifications!C:I,7,FALSE))</f>
        <v>Predominantly Rural</v>
      </c>
      <c r="AB85" s="184">
        <f t="shared" si="39"/>
        <v>83.687660389800357</v>
      </c>
      <c r="AC85" s="184">
        <f>IF(AB85="","",IF($I$8="A",(RANK(AB85,AB$11:AB$368)+COUNTIF(AB$11:AB85,AB85)-1),(RANK(AB85,AB$11:AB$368,1)+COUNTIF(AB$11:AB85,AB85)-1)))</f>
        <v>42</v>
      </c>
      <c r="AD85" s="184"/>
      <c r="AE85" s="28" t="str">
        <f t="shared" si="24"/>
        <v/>
      </c>
      <c r="AG85" s="96"/>
      <c r="AH85" s="29"/>
      <c r="AI85" s="38" t="str">
        <f>IF(L85="","",VLOOKUP($L85,classifications!$C:$J,8,FALSE))</f>
        <v>Norfolk</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East of England</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83.733643776664906</v>
      </c>
      <c r="AY85" s="103"/>
      <c r="AZ85" s="21"/>
    </row>
    <row r="86" spans="1:52">
      <c r="A86" s="56" t="str">
        <f>$D$1&amp;76</f>
        <v>SD76</v>
      </c>
      <c r="B86" s="57" t="str">
        <f>IF(ISERROR(VLOOKUP(A86,classifications!A:C,3,FALSE)),0,VLOOKUP(A86,classifications!A:C,3,FALSE))</f>
        <v>Waveney</v>
      </c>
      <c r="C86" s="8" t="s">
        <v>264</v>
      </c>
      <c r="D86" s="26" t="str">
        <f>VLOOKUP($C86,classifications!$C:$J,4,FALSE)</f>
        <v>UA</v>
      </c>
      <c r="E86" s="26">
        <f>VLOOKUP(C86,classifications!C:K,9,FALSE)</f>
        <v>0</v>
      </c>
      <c r="F86" s="36">
        <f t="shared" si="26"/>
        <v>86.265217312289678</v>
      </c>
      <c r="G86" s="71"/>
      <c r="H86" s="37" t="str">
        <f t="shared" si="27"/>
        <v/>
      </c>
      <c r="I86" s="77" t="str">
        <f>IF(H86="","",IF($I$8="A",(RANK(H86,H$11:H$368,1)+COUNTIF(H$11:H86,H86)-1),(RANK(H86,H$11:H$368)+COUNTIF(H$11:H86,H86)-1)))</f>
        <v/>
      </c>
      <c r="J86" s="35"/>
      <c r="K86" s="28">
        <f t="shared" si="35"/>
        <v>76</v>
      </c>
      <c r="L86" s="36" t="str">
        <f t="shared" si="28"/>
        <v>Hart</v>
      </c>
      <c r="M86" s="102">
        <f t="shared" si="36"/>
        <v>83.68457648705197</v>
      </c>
      <c r="N86" s="101">
        <f t="shared" si="37"/>
        <v>83.68457648705197</v>
      </c>
      <c r="O86" s="94" t="str">
        <f t="shared" si="29"/>
        <v/>
      </c>
      <c r="P86" s="94">
        <f t="shared" si="45"/>
        <v>83.68457648705197</v>
      </c>
      <c r="Q86" s="94" t="str">
        <f t="shared" si="46"/>
        <v/>
      </c>
      <c r="R86" s="90" t="str">
        <f t="shared" si="47"/>
        <v/>
      </c>
      <c r="S86" s="37" t="str">
        <f t="shared" si="38"/>
        <v/>
      </c>
      <c r="T86" s="176">
        <f>IF(L86="","",VLOOKUP(L86,classifications!C:K,9,FALSE))</f>
        <v>0</v>
      </c>
      <c r="U86" s="183" t="str">
        <f t="shared" si="30"/>
        <v/>
      </c>
      <c r="V86" s="184" t="str">
        <f>IF(U86="","",IF($I$8="A",(RANK(U86,U$11:U$368)+COUNTIF(U$11:U86,U86)-1),(RANK(U86,U$11:U$368,1)+COUNTIF(U$11:U86,U86)-1)))</f>
        <v/>
      </c>
      <c r="W86" s="185"/>
      <c r="X86" s="38" t="str">
        <f>IF(L86="","",VLOOKUP($L86,classifications!$C:$J,6,FALSE))</f>
        <v>Urban with Significant Rural (rural including hub towns 26-49%)</v>
      </c>
      <c r="Y86" s="26" t="str">
        <f t="shared" si="31"/>
        <v/>
      </c>
      <c r="Z86" s="34" t="str">
        <f>IF(Y86="","",IF(I$8="A",(RANK(Y86,Y$11:Y$368,1)+COUNTIF(Y$11:Y86,Y86)-1),(RANK(Y86,Y$11:Y$368)+COUNTIF(Y$11:Y86,Y86)-1)))</f>
        <v/>
      </c>
      <c r="AA86" s="188" t="str">
        <f>IF(L86="","",VLOOKUP($L86,classifications!C:I,7,FALSE))</f>
        <v>Significant Rural</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Hampshire</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South East</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86.265217312289678</v>
      </c>
      <c r="AY86" s="103"/>
      <c r="AZ86" s="21"/>
    </row>
    <row r="87" spans="1:52">
      <c r="A87" s="56" t="str">
        <f>$D$1&amp;77</f>
        <v>SD77</v>
      </c>
      <c r="B87" s="57" t="str">
        <f>IF(ISERROR(VLOOKUP(A87,classifications!A:C,3,FALSE)),0,VLOOKUP(A87,classifications!A:C,3,FALSE))</f>
        <v>Wealden</v>
      </c>
      <c r="C87" s="8" t="s">
        <v>48</v>
      </c>
      <c r="D87" s="26" t="str">
        <f>VLOOKUP($C87,classifications!$C:$J,4,FALSE)</f>
        <v>SD</v>
      </c>
      <c r="E87" s="26">
        <f>VLOOKUP(C87,classifications!C:K,9,FALSE)</f>
        <v>0</v>
      </c>
      <c r="F87" s="36">
        <f t="shared" si="26"/>
        <v>82.262658428886581</v>
      </c>
      <c r="G87" s="71"/>
      <c r="H87" s="37">
        <f t="shared" si="27"/>
        <v>82.262658428886581</v>
      </c>
      <c r="I87" s="77">
        <f>IF(H87="","",IF($I$8="A",(RANK(H87,H$11:H$368,1)+COUNTIF(H$11:H87,H87)-1),(RANK(H87,H$11:H$368)+COUNTIF(H$11:H87,H87)-1)))</f>
        <v>102</v>
      </c>
      <c r="J87" s="35"/>
      <c r="K87" s="28">
        <f t="shared" si="35"/>
        <v>77</v>
      </c>
      <c r="L87" s="36" t="str">
        <f t="shared" si="28"/>
        <v>Hinckley &amp; Bosworth</v>
      </c>
      <c r="M87" s="102">
        <f t="shared" si="36"/>
        <v>83.662806862085901</v>
      </c>
      <c r="N87" s="101">
        <f t="shared" si="37"/>
        <v>83.662806862085901</v>
      </c>
      <c r="O87" s="94" t="str">
        <f t="shared" si="29"/>
        <v/>
      </c>
      <c r="P87" s="94">
        <f t="shared" si="45"/>
        <v>83.662806862085901</v>
      </c>
      <c r="Q87" s="94" t="str">
        <f t="shared" si="46"/>
        <v/>
      </c>
      <c r="R87" s="90" t="str">
        <f t="shared" si="47"/>
        <v/>
      </c>
      <c r="S87" s="37" t="str">
        <f t="shared" si="38"/>
        <v/>
      </c>
      <c r="T87" s="176">
        <f>IF(L87="","",VLOOKUP(L87,classifications!C:K,9,FALSE))</f>
        <v>0</v>
      </c>
      <c r="U87" s="183" t="str">
        <f t="shared" si="30"/>
        <v/>
      </c>
      <c r="V87" s="184" t="str">
        <f>IF(U87="","",IF($I$8="A",(RANK(U87,U$11:U$368)+COUNTIF(U$11:U87,U87)-1),(RANK(U87,U$11:U$368,1)+COUNTIF(U$11:U87,U87)-1)))</f>
        <v/>
      </c>
      <c r="W87" s="185"/>
      <c r="X87" s="38" t="str">
        <f>IF(L87="","",VLOOKUP($L87,classifications!$C:$J,6,FALSE))</f>
        <v xml:space="preserve">Largely Rural (rural including hub towns 50-79%) </v>
      </c>
      <c r="Y87" s="26" t="str">
        <f t="shared" si="31"/>
        <v/>
      </c>
      <c r="Z87" s="34" t="str">
        <f>IF(Y87="","",IF(I$8="A",(RANK(Y87,Y$11:Y$368,1)+COUNTIF(Y$11:Y87,Y87)-1),(RANK(Y87,Y$11:Y$368)+COUNTIF(Y$11:Y87,Y87)-1)))</f>
        <v/>
      </c>
      <c r="AA87" s="188" t="str">
        <f>IF(L87="","",VLOOKUP($L87,classifications!C:I,7,FALSE))</f>
        <v>Predominantly Rural</v>
      </c>
      <c r="AB87" s="184">
        <f t="shared" si="39"/>
        <v>83.662806862085901</v>
      </c>
      <c r="AC87" s="184">
        <f>IF(AB87="","",IF($I$8="A",(RANK(AB87,AB$11:AB$368)+COUNTIF(AB$11:AB87,AB87)-1),(RANK(AB87,AB$11:AB$368,1)+COUNTIF(AB$11:AB87,AB87)-1)))</f>
        <v>41</v>
      </c>
      <c r="AD87" s="184"/>
      <c r="AE87" s="28" t="str">
        <f t="shared" si="24"/>
        <v/>
      </c>
      <c r="AG87" s="96"/>
      <c r="AH87" s="29"/>
      <c r="AI87" s="38" t="str">
        <f>IF(L87="","",VLOOKUP($L87,classifications!$C:$J,8,FALSE))</f>
        <v>Leicestershire</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East Midlands</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82.262658428886581</v>
      </c>
      <c r="AY87" s="103"/>
      <c r="AZ87" s="21"/>
    </row>
    <row r="88" spans="1:52">
      <c r="A88" s="56" t="str">
        <f>$D$1&amp;78</f>
        <v>SD78</v>
      </c>
      <c r="B88" s="57" t="str">
        <f>IF(ISERROR(VLOOKUP(A88,classifications!A:C,3,FALSE)),0,VLOOKUP(A88,classifications!A:C,3,FALSE))</f>
        <v>West Devon</v>
      </c>
      <c r="C88" s="8" t="s">
        <v>49</v>
      </c>
      <c r="D88" s="26" t="str">
        <f>VLOOKUP($C88,classifications!$C:$J,4,FALSE)</f>
        <v>SD</v>
      </c>
      <c r="E88" s="26" t="str">
        <f>VLOOKUP(C88,classifications!C:K,9,FALSE)</f>
        <v>Sparse</v>
      </c>
      <c r="F88" s="36">
        <f t="shared" si="26"/>
        <v>81.156135136736367</v>
      </c>
      <c r="G88" s="71"/>
      <c r="H88" s="37">
        <f t="shared" si="27"/>
        <v>81.156135136736367</v>
      </c>
      <c r="I88" s="77">
        <f>IF(H88="","",IF($I$8="A",(RANK(H88,H$11:H$368,1)+COUNTIF(H$11:H88,H88)-1),(RANK(H88,H$11:H$368)+COUNTIF(H$11:H88,H88)-1)))</f>
        <v>124</v>
      </c>
      <c r="J88" s="35"/>
      <c r="K88" s="28">
        <f t="shared" si="35"/>
        <v>78</v>
      </c>
      <c r="L88" s="36" t="str">
        <f t="shared" si="28"/>
        <v>Havant</v>
      </c>
      <c r="M88" s="102">
        <f t="shared" si="36"/>
        <v>83.64737913261456</v>
      </c>
      <c r="N88" s="101">
        <f t="shared" si="37"/>
        <v>83.64737913261456</v>
      </c>
      <c r="O88" s="94" t="str">
        <f t="shared" si="29"/>
        <v/>
      </c>
      <c r="P88" s="94">
        <f t="shared" si="45"/>
        <v>83.64737913261456</v>
      </c>
      <c r="Q88" s="94" t="str">
        <f t="shared" si="46"/>
        <v/>
      </c>
      <c r="R88" s="90" t="str">
        <f t="shared" si="47"/>
        <v/>
      </c>
      <c r="S88" s="37" t="str">
        <f t="shared" si="38"/>
        <v/>
      </c>
      <c r="T88" s="176">
        <f>IF(L88="","",VLOOKUP(L88,classifications!C:K,9,FALSE))</f>
        <v>0</v>
      </c>
      <c r="U88" s="183" t="str">
        <f t="shared" si="30"/>
        <v/>
      </c>
      <c r="V88" s="184" t="str">
        <f>IF(U88="","",IF($I$8="A",(RANK(U88,U$11:U$368)+COUNTIF(U$11:U88,U88)-1),(RANK(U88,U$11:U$368,1)+COUNTIF(U$11:U88,U88)-1)))</f>
        <v/>
      </c>
      <c r="W88" s="185"/>
      <c r="X88" s="38" t="str">
        <f>IF(L88="","",VLOOKUP($L88,classifications!$C:$J,6,FALSE))</f>
        <v>Urban with City and Town</v>
      </c>
      <c r="Y88" s="26" t="str">
        <f t="shared" si="31"/>
        <v/>
      </c>
      <c r="Z88" s="34" t="str">
        <f>IF(Y88="","",IF(I$8="A",(RANK(Y88,Y$11:Y$368,1)+COUNTIF(Y$11:Y88,Y88)-1),(RANK(Y88,Y$11:Y$368)+COUNTIF(Y$11:Y88,Y88)-1)))</f>
        <v/>
      </c>
      <c r="AA88" s="188" t="str">
        <f>IF(L88="","",VLOOKUP($L88,classifications!C:I,7,FALSE))</f>
        <v>Predominantly Urban</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Hampshire</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South East</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81.156135136736367</v>
      </c>
      <c r="AY88" s="103"/>
      <c r="AZ88" s="21"/>
    </row>
    <row r="89" spans="1:52">
      <c r="A89" s="56" t="str">
        <f>$D$1&amp;79</f>
        <v>SD79</v>
      </c>
      <c r="B89" s="57" t="str">
        <f>IF(ISERROR(VLOOKUP(A89,classifications!A:C,3,FALSE)),0,VLOOKUP(A89,classifications!A:C,3,FALSE))</f>
        <v>West Lindsey</v>
      </c>
      <c r="C89" s="8" t="s">
        <v>265</v>
      </c>
      <c r="D89" s="26" t="str">
        <f>VLOOKUP($C89,classifications!$C:$J,4,FALSE)</f>
        <v>UA</v>
      </c>
      <c r="E89" s="26">
        <f>VLOOKUP(C89,classifications!C:K,9,FALSE)</f>
        <v>0</v>
      </c>
      <c r="F89" s="36">
        <f t="shared" si="26"/>
        <v>77.763363947409331</v>
      </c>
      <c r="G89" s="71"/>
      <c r="H89" s="37" t="str">
        <f t="shared" si="27"/>
        <v/>
      </c>
      <c r="I89" s="77" t="str">
        <f>IF(H89="","",IF($I$8="A",(RANK(H89,H$11:H$368,1)+COUNTIF(H$11:H89,H89)-1),(RANK(H89,H$11:H$368)+COUNTIF(H$11:H89,H89)-1)))</f>
        <v/>
      </c>
      <c r="J89" s="35"/>
      <c r="K89" s="28">
        <f t="shared" si="35"/>
        <v>79</v>
      </c>
      <c r="L89" s="36" t="str">
        <f t="shared" si="28"/>
        <v>Broxtowe</v>
      </c>
      <c r="M89" s="102">
        <f t="shared" si="36"/>
        <v>83.63407904013485</v>
      </c>
      <c r="N89" s="101">
        <f t="shared" si="37"/>
        <v>83.63407904013485</v>
      </c>
      <c r="O89" s="94" t="str">
        <f t="shared" si="29"/>
        <v/>
      </c>
      <c r="P89" s="94">
        <f t="shared" si="45"/>
        <v>83.63407904013485</v>
      </c>
      <c r="Q89" s="94" t="str">
        <f t="shared" si="46"/>
        <v/>
      </c>
      <c r="R89" s="90" t="str">
        <f t="shared" si="47"/>
        <v/>
      </c>
      <c r="S89" s="37" t="str">
        <f t="shared" si="38"/>
        <v/>
      </c>
      <c r="T89" s="176">
        <f>IF(L89="","",VLOOKUP(L89,classifications!C:K,9,FALSE))</f>
        <v>0</v>
      </c>
      <c r="U89" s="183" t="str">
        <f t="shared" si="30"/>
        <v/>
      </c>
      <c r="V89" s="184" t="str">
        <f>IF(U89="","",IF($I$8="A",(RANK(U89,U$11:U$368)+COUNTIF(U$11:U89,U89)-1),(RANK(U89,U$11:U$368,1)+COUNTIF(U$11:U89,U89)-1)))</f>
        <v/>
      </c>
      <c r="W89" s="185"/>
      <c r="X89" s="38" t="str">
        <f>IF(L89="","",VLOOKUP($L89,classifications!$C:$J,6,FALSE))</f>
        <v>Urban with Minor Conurbation</v>
      </c>
      <c r="Y89" s="26" t="str">
        <f t="shared" si="31"/>
        <v/>
      </c>
      <c r="Z89" s="34" t="str">
        <f>IF(Y89="","",IF(I$8="A",(RANK(Y89,Y$11:Y$368,1)+COUNTIF(Y$11:Y89,Y89)-1),(RANK(Y89,Y$11:Y$368)+COUNTIF(Y$11:Y89,Y89)-1)))</f>
        <v/>
      </c>
      <c r="AA89" s="188" t="str">
        <f>IF(L89="","",VLOOKUP($L89,classifications!C:I,7,FALSE))</f>
        <v>Predominantly Urban</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Nottinghamshire</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East Midlands</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77.763363947409331</v>
      </c>
      <c r="AY89" s="103"/>
      <c r="AZ89" s="21"/>
    </row>
    <row r="90" spans="1:52">
      <c r="A90" s="56" t="str">
        <f>$D$1&amp;80</f>
        <v>SD80</v>
      </c>
      <c r="B90" s="57" t="str">
        <f>IF(ISERROR(VLOOKUP(A90,classifications!A:C,3,FALSE)),0,VLOOKUP(A90,classifications!A:C,3,FALSE))</f>
        <v>West Oxfordshire</v>
      </c>
      <c r="C90" s="8" t="s">
        <v>307</v>
      </c>
      <c r="D90" s="26" t="str">
        <f>VLOOKUP($C90,classifications!$C:$J,4,FALSE)</f>
        <v>SC</v>
      </c>
      <c r="E90" s="26" t="str">
        <f>VLOOKUP(C90,classifications!C:K,9,FALSE)</f>
        <v>Sparse</v>
      </c>
      <c r="F90" s="36">
        <f t="shared" si="26"/>
        <v>81.217592590947703</v>
      </c>
      <c r="G90" s="71"/>
      <c r="H90" s="37" t="str">
        <f t="shared" si="27"/>
        <v/>
      </c>
      <c r="I90" s="77" t="str">
        <f>IF(H90="","",IF($I$8="A",(RANK(H90,H$11:H$368,1)+COUNTIF(H$11:H90,H90)-1),(RANK(H90,H$11:H$368)+COUNTIF(H$11:H90,H90)-1)))</f>
        <v/>
      </c>
      <c r="J90" s="35"/>
      <c r="K90" s="28">
        <f t="shared" si="35"/>
        <v>80</v>
      </c>
      <c r="L90" s="36" t="str">
        <f t="shared" si="28"/>
        <v>East Cambridgeshire</v>
      </c>
      <c r="M90" s="102">
        <f t="shared" si="36"/>
        <v>83.547297464267089</v>
      </c>
      <c r="N90" s="101">
        <f t="shared" si="37"/>
        <v>83.547297464267089</v>
      </c>
      <c r="O90" s="94" t="str">
        <f t="shared" si="29"/>
        <v/>
      </c>
      <c r="P90" s="94">
        <f t="shared" si="45"/>
        <v>83.547297464267089</v>
      </c>
      <c r="Q90" s="94" t="str">
        <f t="shared" si="46"/>
        <v/>
      </c>
      <c r="R90" s="90" t="str">
        <f t="shared" si="47"/>
        <v/>
      </c>
      <c r="S90" s="37" t="str">
        <f t="shared" si="38"/>
        <v/>
      </c>
      <c r="T90" s="176" t="str">
        <f>IF(L90="","",VLOOKUP(L90,classifications!C:K,9,FALSE))</f>
        <v>Sparse</v>
      </c>
      <c r="U90" s="183">
        <f t="shared" si="30"/>
        <v>83.547297464267089</v>
      </c>
      <c r="V90" s="184">
        <f>IF(U90="","",IF($I$8="A",(RANK(U90,U$11:U$368)+COUNTIF(U$11:U90,U90)-1),(RANK(U90,U$11:U$368,1)+COUNTIF(U$11:U90,U90)-1)))</f>
        <v>41</v>
      </c>
      <c r="W90" s="185"/>
      <c r="X90" s="38" t="str">
        <f>IF(L90="","",VLOOKUP($L90,classifications!$C:$J,6,FALSE))</f>
        <v xml:space="preserve">Mainly Rural (rural including hub towns &gt;=80%) </v>
      </c>
      <c r="Y90" s="26">
        <f t="shared" si="31"/>
        <v>83.547297464267089</v>
      </c>
      <c r="Z90" s="34">
        <f>IF(Y90="","",IF(I$8="A",(RANK(Y90,Y$11:Y$368,1)+COUNTIF(Y$11:Y90,Y90)-1),(RANK(Y90,Y$11:Y$368)+COUNTIF(Y$11:Y90,Y90)-1)))</f>
        <v>22</v>
      </c>
      <c r="AA90" s="188" t="str">
        <f>IF(L90="","",VLOOKUP($L90,classifications!C:I,7,FALSE))</f>
        <v>Predominantly Rural</v>
      </c>
      <c r="AB90" s="184">
        <f t="shared" si="39"/>
        <v>83.547297464267089</v>
      </c>
      <c r="AC90" s="184">
        <f>IF(AB90="","",IF($I$8="A",(RANK(AB90,AB$11:AB$368)+COUNTIF(AB$11:AB90,AB90)-1),(RANK(AB90,AB$11:AB$368,1)+COUNTIF(AB$11:AB90,AB90)-1)))</f>
        <v>40</v>
      </c>
      <c r="AD90" s="184"/>
      <c r="AE90" s="28" t="str">
        <f t="shared" si="24"/>
        <v/>
      </c>
      <c r="AG90" s="96"/>
      <c r="AH90" s="29"/>
      <c r="AI90" s="38" t="str">
        <f>IF(L90="","",VLOOKUP($L90,classifications!$C:$J,8,FALSE))</f>
        <v>Cambridgeshire</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East of England</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81.217592590947703</v>
      </c>
      <c r="AY90" s="103"/>
      <c r="AZ90" s="21"/>
    </row>
    <row r="91" spans="1:52">
      <c r="A91" s="56" t="str">
        <f>$D$1&amp;81</f>
        <v>SD81</v>
      </c>
      <c r="B91" s="57" t="str">
        <f>IF(ISERROR(VLOOKUP(A91,classifications!A:C,3,FALSE)),0,VLOOKUP(A91,classifications!A:C,3,FALSE))</f>
        <v>West Somerset</v>
      </c>
      <c r="C91" s="8" t="s">
        <v>50</v>
      </c>
      <c r="D91" s="26" t="str">
        <f>VLOOKUP($C91,classifications!$C:$J,4,FALSE)</f>
        <v>SD</v>
      </c>
      <c r="E91" s="26" t="str">
        <f>VLOOKUP(C91,classifications!C:K,9,FALSE)</f>
        <v>Sparse</v>
      </c>
      <c r="F91" s="36">
        <f t="shared" si="26"/>
        <v>87.156969497663397</v>
      </c>
      <c r="G91" s="71"/>
      <c r="H91" s="37">
        <f t="shared" si="27"/>
        <v>87.156969497663397</v>
      </c>
      <c r="I91" s="77">
        <f>IF(H91="","",IF($I$8="A",(RANK(H91,H$11:H$368,1)+COUNTIF(H$11:H91,H91)-1),(RANK(H91,H$11:H$368)+COUNTIF(H$11:H91,H91)-1)))</f>
        <v>19</v>
      </c>
      <c r="J91" s="35"/>
      <c r="K91" s="28">
        <f t="shared" si="35"/>
        <v>81</v>
      </c>
      <c r="L91" s="36" t="str">
        <f t="shared" si="28"/>
        <v>Eastleigh</v>
      </c>
      <c r="M91" s="102">
        <f t="shared" si="36"/>
        <v>83.542192231378465</v>
      </c>
      <c r="N91" s="101">
        <f t="shared" si="37"/>
        <v>83.542192231378465</v>
      </c>
      <c r="O91" s="94" t="str">
        <f t="shared" si="29"/>
        <v/>
      </c>
      <c r="P91" s="94">
        <f t="shared" si="45"/>
        <v>83.542192231378465</v>
      </c>
      <c r="Q91" s="94" t="str">
        <f t="shared" si="46"/>
        <v/>
      </c>
      <c r="R91" s="90" t="str">
        <f t="shared" si="47"/>
        <v/>
      </c>
      <c r="S91" s="37" t="str">
        <f t="shared" si="38"/>
        <v/>
      </c>
      <c r="T91" s="176">
        <f>IF(L91="","",VLOOKUP(L91,classifications!C:K,9,FALSE))</f>
        <v>0</v>
      </c>
      <c r="U91" s="183" t="str">
        <f t="shared" si="30"/>
        <v/>
      </c>
      <c r="V91" s="184" t="str">
        <f>IF(U91="","",IF($I$8="A",(RANK(U91,U$11:U$368)+COUNTIF(U$11:U91,U91)-1),(RANK(U91,U$11:U$368,1)+COUNTIF(U$11:U91,U91)-1)))</f>
        <v/>
      </c>
      <c r="W91" s="185"/>
      <c r="X91" s="38" t="str">
        <f>IF(L91="","",VLOOKUP($L91,classifications!$C:$J,6,FALSE))</f>
        <v>Urban with City and Town</v>
      </c>
      <c r="Y91" s="26" t="str">
        <f t="shared" si="31"/>
        <v/>
      </c>
      <c r="Z91" s="34" t="str">
        <f>IF(Y91="","",IF(I$8="A",(RANK(Y91,Y$11:Y$368,1)+COUNTIF(Y$11:Y91,Y91)-1),(RANK(Y91,Y$11:Y$368)+COUNTIF(Y$11:Y91,Y91)-1)))</f>
        <v/>
      </c>
      <c r="AA91" s="188" t="str">
        <f>IF(L91="","",VLOOKUP($L91,classifications!C:I,7,FALSE))</f>
        <v>Predominantly Urban</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Hampshire</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South East</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87.156969497663397</v>
      </c>
      <c r="AY91" s="103"/>
      <c r="AZ91" s="21"/>
    </row>
    <row r="92" spans="1:52">
      <c r="A92" s="56" t="str">
        <f>$D$1&amp;82</f>
        <v>SD82</v>
      </c>
      <c r="B92" s="57" t="str">
        <f>IF(ISERROR(VLOOKUP(A92,classifications!A:C,3,FALSE)),0,VLOOKUP(A92,classifications!A:C,3,FALSE))</f>
        <v>West Suffolk</v>
      </c>
      <c r="C92" s="8" t="s">
        <v>308</v>
      </c>
      <c r="D92" s="26" t="str">
        <f>VLOOKUP($C92,classifications!$C:$J,4,FALSE)</f>
        <v>SC</v>
      </c>
      <c r="E92" s="26" t="str">
        <f>VLOOKUP(C92,classifications!C:K,9,FALSE)</f>
        <v>Sparse</v>
      </c>
      <c r="F92" s="36">
        <f t="shared" si="26"/>
        <v>85.885087274196607</v>
      </c>
      <c r="G92" s="71"/>
      <c r="H92" s="37" t="str">
        <f t="shared" si="27"/>
        <v/>
      </c>
      <c r="I92" s="77" t="str">
        <f>IF(H92="","",IF($I$8="A",(RANK(H92,H$11:H$368,1)+COUNTIF(H$11:H92,H92)-1),(RANK(H92,H$11:H$368)+COUNTIF(H$11:H92,H92)-1)))</f>
        <v/>
      </c>
      <c r="J92" s="35"/>
      <c r="K92" s="28">
        <f t="shared" si="35"/>
        <v>82</v>
      </c>
      <c r="L92" s="36" t="str">
        <f t="shared" si="28"/>
        <v>Gedling</v>
      </c>
      <c r="M92" s="102">
        <f t="shared" si="36"/>
        <v>83.532113859185614</v>
      </c>
      <c r="N92" s="101">
        <f t="shared" si="37"/>
        <v>83.532113859185614</v>
      </c>
      <c r="O92" s="94" t="str">
        <f t="shared" si="29"/>
        <v/>
      </c>
      <c r="P92" s="94">
        <f t="shared" si="45"/>
        <v>83.532113859185614</v>
      </c>
      <c r="Q92" s="94" t="str">
        <f t="shared" si="46"/>
        <v/>
      </c>
      <c r="R92" s="90" t="str">
        <f t="shared" si="47"/>
        <v/>
      </c>
      <c r="S92" s="37" t="str">
        <f t="shared" si="38"/>
        <v/>
      </c>
      <c r="T92" s="176">
        <f>IF(L92="","",VLOOKUP(L92,classifications!C:K,9,FALSE))</f>
        <v>0</v>
      </c>
      <c r="U92" s="183" t="str">
        <f t="shared" si="30"/>
        <v/>
      </c>
      <c r="V92" s="184" t="str">
        <f>IF(U92="","",IF($I$8="A",(RANK(U92,U$11:U$368)+COUNTIF(U$11:U92,U92)-1),(RANK(U92,U$11:U$368,1)+COUNTIF(U$11:U92,U92)-1)))</f>
        <v/>
      </c>
      <c r="W92" s="185"/>
      <c r="X92" s="38" t="str">
        <f>IF(L92="","",VLOOKUP($L92,classifications!$C:$J,6,FALSE))</f>
        <v>Urban with Minor Conurbation</v>
      </c>
      <c r="Y92" s="26" t="str">
        <f t="shared" si="31"/>
        <v/>
      </c>
      <c r="Z92" s="34" t="str">
        <f>IF(Y92="","",IF(I$8="A",(RANK(Y92,Y$11:Y$368,1)+COUNTIF(Y$11:Y92,Y92)-1),(RANK(Y92,Y$11:Y$368)+COUNTIF(Y$11:Y92,Y92)-1)))</f>
        <v/>
      </c>
      <c r="AA92" s="188" t="str">
        <f>IF(L92="","",VLOOKUP($L92,classifications!C:I,7,FALSE))</f>
        <v>Predominantly Urban</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Nottinghamshire</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East Midlands</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85.885087274196607</v>
      </c>
      <c r="AY92" s="103"/>
      <c r="AZ92" s="21"/>
    </row>
    <row r="93" spans="1:52">
      <c r="A93" s="56" t="str">
        <f>$D$1&amp;83</f>
        <v>SD83</v>
      </c>
      <c r="B93" s="57" t="str">
        <f>IF(ISERROR(VLOOKUP(A93,classifications!A:C,3,FALSE)),0,VLOOKUP(A93,classifications!A:C,3,FALSE))</f>
        <v>Wychavon</v>
      </c>
      <c r="C93" s="8" t="s">
        <v>229</v>
      </c>
      <c r="D93" s="26" t="str">
        <f>VLOOKUP($C93,classifications!$C:$J,4,FALSE)</f>
        <v>MD</v>
      </c>
      <c r="E93" s="26">
        <f>VLOOKUP(C93,classifications!C:K,9,FALSE)</f>
        <v>0</v>
      </c>
      <c r="F93" s="36">
        <f t="shared" si="26"/>
        <v>78.405178401891789</v>
      </c>
      <c r="G93" s="71"/>
      <c r="H93" s="37" t="str">
        <f t="shared" si="27"/>
        <v/>
      </c>
      <c r="I93" s="77" t="str">
        <f>IF(H93="","",IF($I$8="A",(RANK(H93,H$11:H$368,1)+COUNTIF(H$11:H93,H93)-1),(RANK(H93,H$11:H$368)+COUNTIF(H$11:H93,H93)-1)))</f>
        <v/>
      </c>
      <c r="J93" s="35"/>
      <c r="K93" s="28">
        <f t="shared" si="35"/>
        <v>83</v>
      </c>
      <c r="L93" s="36" t="str">
        <f t="shared" si="28"/>
        <v>Guildford</v>
      </c>
      <c r="M93" s="102">
        <f t="shared" si="36"/>
        <v>83.514650079811418</v>
      </c>
      <c r="N93" s="101">
        <f t="shared" si="37"/>
        <v>83.514650079811418</v>
      </c>
      <c r="O93" s="94" t="str">
        <f t="shared" si="29"/>
        <v/>
      </c>
      <c r="P93" s="94">
        <f t="shared" si="45"/>
        <v>83.514650079811418</v>
      </c>
      <c r="Q93" s="94" t="str">
        <f t="shared" si="46"/>
        <v/>
      </c>
      <c r="R93" s="90" t="str">
        <f t="shared" si="47"/>
        <v/>
      </c>
      <c r="S93" s="37" t="str">
        <f t="shared" si="38"/>
        <v/>
      </c>
      <c r="T93" s="176">
        <f>IF(L93="","",VLOOKUP(L93,classifications!C:K,9,FALSE))</f>
        <v>0</v>
      </c>
      <c r="U93" s="183" t="str">
        <f t="shared" si="30"/>
        <v/>
      </c>
      <c r="V93" s="184" t="str">
        <f>IF(U93="","",IF($I$8="A",(RANK(U93,U$11:U$368)+COUNTIF(U$11:U93,U93)-1),(RANK(U93,U$11:U$368,1)+COUNTIF(U$11:U93,U93)-1)))</f>
        <v/>
      </c>
      <c r="W93" s="185"/>
      <c r="X93" s="38" t="str">
        <f>IF(L93="","",VLOOKUP($L93,classifications!$C:$J,6,FALSE))</f>
        <v>Urban with City and Town</v>
      </c>
      <c r="Y93" s="26" t="str">
        <f t="shared" si="31"/>
        <v/>
      </c>
      <c r="Z93" s="34" t="str">
        <f>IF(Y93="","",IF(I$8="A",(RANK(Y93,Y$11:Y$368,1)+COUNTIF(Y$11:Y93,Y93)-1),(RANK(Y93,Y$11:Y$368)+COUNTIF(Y$11:Y93,Y93)-1)))</f>
        <v/>
      </c>
      <c r="AA93" s="188" t="str">
        <f>IF(L93="","",VLOOKUP($L93,classifications!C:I,7,FALSE))</f>
        <v>Predominantly Urban</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Surrey</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South East</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78.405178401891789</v>
      </c>
      <c r="AY93" s="103"/>
      <c r="AZ93" s="21"/>
    </row>
    <row r="94" spans="1:52">
      <c r="A94" s="56" t="str">
        <f>$D$1&amp;84</f>
        <v>SD84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f t="shared" si="35"/>
        <v>84</v>
      </c>
      <c r="L94" s="36" t="str">
        <f t="shared" si="28"/>
        <v>Braintree</v>
      </c>
      <c r="M94" s="102">
        <f t="shared" si="36"/>
        <v>83.504014848256801</v>
      </c>
      <c r="N94" s="101">
        <f t="shared" si="37"/>
        <v>83.504014848256801</v>
      </c>
      <c r="O94" s="94" t="str">
        <f t="shared" si="29"/>
        <v/>
      </c>
      <c r="P94" s="94">
        <f t="shared" si="45"/>
        <v>83.504014848256801</v>
      </c>
      <c r="Q94" s="94" t="str">
        <f t="shared" si="46"/>
        <v/>
      </c>
      <c r="R94" s="90" t="str">
        <f t="shared" si="47"/>
        <v/>
      </c>
      <c r="S94" s="37" t="str">
        <f t="shared" si="38"/>
        <v/>
      </c>
      <c r="T94" s="176" t="str">
        <f>IF(L94="","",VLOOKUP(L94,classifications!C:K,9,FALSE))</f>
        <v>Sparse</v>
      </c>
      <c r="U94" s="183">
        <f t="shared" si="30"/>
        <v>83.504014848256801</v>
      </c>
      <c r="V94" s="184">
        <f>IF(U94="","",IF($I$8="A",(RANK(U94,U$11:U$368)+COUNTIF(U$11:U94,U94)-1),(RANK(U94,U$11:U$368,1)+COUNTIF(U$11:U94,U94)-1)))</f>
        <v>40</v>
      </c>
      <c r="W94" s="185"/>
      <c r="X94" s="38" t="str">
        <f>IF(L94="","",VLOOKUP($L94,classifications!$C:$J,6,FALSE))</f>
        <v xml:space="preserve">Largely Rural (rural including hub towns 50-79%) </v>
      </c>
      <c r="Y94" s="26" t="str">
        <f t="shared" si="31"/>
        <v/>
      </c>
      <c r="Z94" s="34" t="str">
        <f>IF(Y94="","",IF(I$8="A",(RANK(Y94,Y$11:Y$368,1)+COUNTIF(Y$11:Y94,Y94)-1),(RANK(Y94,Y$11:Y$368)+COUNTIF(Y$11:Y94,Y94)-1)))</f>
        <v/>
      </c>
      <c r="AA94" s="188" t="str">
        <f>IF(L94="","",VLOOKUP($L94,classifications!C:I,7,FALSE))</f>
        <v>Predominantly Rural</v>
      </c>
      <c r="AB94" s="184">
        <f t="shared" si="39"/>
        <v>83.504014848256801</v>
      </c>
      <c r="AC94" s="184">
        <f>IF(AB94="","",IF($I$8="A",(RANK(AB94,AB$11:AB$368)+COUNTIF(AB$11:AB94,AB94)-1),(RANK(AB94,AB$11:AB$368,1)+COUNTIF(AB$11:AB94,AB94)-1)))</f>
        <v>39</v>
      </c>
      <c r="AD94" s="184"/>
      <c r="AE94" s="28" t="str">
        <f t="shared" si="24"/>
        <v/>
      </c>
      <c r="AG94" s="96"/>
      <c r="AH94" s="29"/>
      <c r="AI94" s="38" t="str">
        <f>IF(L94="","",VLOOKUP($L94,classifications!$C:$J,8,FALSE))</f>
        <v>Essex</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East of England</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SD85</v>
      </c>
      <c r="B95" s="57">
        <f>IF(ISERROR(VLOOKUP(A95,classifications!A:C,3,FALSE)),0,VLOOKUP(A95,classifications!A:C,3,FALSE))</f>
        <v>0</v>
      </c>
      <c r="C95" s="8" t="s">
        <v>904</v>
      </c>
      <c r="D95" s="26" t="str">
        <f>VLOOKUP($C95,classifications!$C:$J,4,FALSE)</f>
        <v>UA</v>
      </c>
      <c r="E95" s="26">
        <f>VLOOKUP(C95,classifications!C:K,9,FALSE)</f>
        <v>0</v>
      </c>
      <c r="F95" s="36">
        <f t="shared" si="26"/>
        <v>84.941125975203988</v>
      </c>
      <c r="G95" s="71"/>
      <c r="H95" s="37" t="str">
        <f t="shared" si="27"/>
        <v/>
      </c>
      <c r="I95" s="77" t="str">
        <f>IF(H95="","",IF($I$8="A",(RANK(H95,H$11:H$368,1)+COUNTIF(H$11:H95,H95)-1),(RANK(H95,H$11:H$368)+COUNTIF(H$11:H95,H95)-1)))</f>
        <v/>
      </c>
      <c r="J95" s="35"/>
      <c r="K95" s="28">
        <f t="shared" si="35"/>
        <v>85</v>
      </c>
      <c r="L95" s="36" t="str">
        <f t="shared" si="28"/>
        <v>Rushcliffe</v>
      </c>
      <c r="M95" s="102">
        <f t="shared" si="36"/>
        <v>83.438744533859193</v>
      </c>
      <c r="N95" s="101">
        <f t="shared" si="37"/>
        <v>83.438744533859193</v>
      </c>
      <c r="O95" s="94" t="str">
        <f t="shared" si="29"/>
        <v/>
      </c>
      <c r="P95" s="94">
        <f t="shared" si="45"/>
        <v>83.438744533859193</v>
      </c>
      <c r="Q95" s="94" t="str">
        <f t="shared" si="46"/>
        <v/>
      </c>
      <c r="R95" s="90" t="str">
        <f t="shared" si="47"/>
        <v/>
      </c>
      <c r="S95" s="37" t="str">
        <f t="shared" si="38"/>
        <v/>
      </c>
      <c r="T95" s="176">
        <f>IF(L95="","",VLOOKUP(L95,classifications!C:K,9,FALSE))</f>
        <v>0</v>
      </c>
      <c r="U95" s="183" t="str">
        <f t="shared" si="30"/>
        <v/>
      </c>
      <c r="V95" s="184" t="str">
        <f>IF(U95="","",IF($I$8="A",(RANK(U95,U$11:U$368)+COUNTIF(U$11:U95,U95)-1),(RANK(U95,U$11:U$368,1)+COUNTIF(U$11:U95,U95)-1)))</f>
        <v/>
      </c>
      <c r="W95" s="185"/>
      <c r="X95" s="38" t="str">
        <f>IF(L95="","",VLOOKUP($L95,classifications!$C:$J,6,FALSE))</f>
        <v xml:space="preserve">Largely Rural (rural including hub towns 50-79%) </v>
      </c>
      <c r="Y95" s="26" t="str">
        <f t="shared" si="31"/>
        <v/>
      </c>
      <c r="Z95" s="34" t="str">
        <f>IF(Y95="","",IF(I$8="A",(RANK(Y95,Y$11:Y$368,1)+COUNTIF(Y$11:Y95,Y95)-1),(RANK(Y95,Y$11:Y$368)+COUNTIF(Y$11:Y95,Y95)-1)))</f>
        <v/>
      </c>
      <c r="AA95" s="188" t="str">
        <f>IF(L95="","",VLOOKUP($L95,classifications!C:I,7,FALSE))</f>
        <v>Predominantly Rural</v>
      </c>
      <c r="AB95" s="184">
        <f t="shared" si="39"/>
        <v>83.438744533859193</v>
      </c>
      <c r="AC95" s="184">
        <f>IF(AB95="","",IF($I$8="A",(RANK(AB95,AB$11:AB$368)+COUNTIF(AB$11:AB95,AB95)-1),(RANK(AB95,AB$11:AB$368,1)+COUNTIF(AB$11:AB95,AB95)-1)))</f>
        <v>38</v>
      </c>
      <c r="AD95" s="184"/>
      <c r="AE95" s="28" t="str">
        <f t="shared" si="24"/>
        <v/>
      </c>
      <c r="AG95" s="96"/>
      <c r="AH95" s="29"/>
      <c r="AI95" s="38" t="str">
        <f>IF(L95="","",VLOOKUP($L95,classifications!$C:$J,8,FALSE))</f>
        <v>Nottinghamshire</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East Midlands</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84.941125975203988</v>
      </c>
      <c r="AY95" s="103"/>
      <c r="AZ95" s="21"/>
    </row>
    <row r="96" spans="1:52">
      <c r="A96" s="56" t="str">
        <f>$D$1&amp;86</f>
        <v>SD86</v>
      </c>
      <c r="B96" s="57">
        <f>IF(ISERROR(VLOOKUP(A96,classifications!A:C,3,FALSE)),0,VLOOKUP(A96,classifications!A:C,3,FALSE))</f>
        <v>0</v>
      </c>
      <c r="C96" s="8" t="s">
        <v>51</v>
      </c>
      <c r="D96" s="26" t="str">
        <f>VLOOKUP($C96,classifications!$C:$J,4,FALSE)</f>
        <v>SD</v>
      </c>
      <c r="E96" s="26">
        <f>VLOOKUP(C96,classifications!C:K,9,FALSE)</f>
        <v>0</v>
      </c>
      <c r="F96" s="36">
        <f t="shared" si="26"/>
        <v>83.82997141888039</v>
      </c>
      <c r="G96" s="71"/>
      <c r="H96" s="37">
        <f t="shared" si="27"/>
        <v>83.82997141888039</v>
      </c>
      <c r="I96" s="77">
        <f>IF(H96="","",IF($I$8="A",(RANK(H96,H$11:H$368,1)+COUNTIF(H$11:H96,H96)-1),(RANK(H96,H$11:H$368)+COUNTIF(H$11:H96,H96)-1)))</f>
        <v>71</v>
      </c>
      <c r="J96" s="35"/>
      <c r="K96" s="28">
        <f t="shared" si="35"/>
        <v>86</v>
      </c>
      <c r="L96" s="36" t="str">
        <f t="shared" si="28"/>
        <v>Sevenoaks</v>
      </c>
      <c r="M96" s="102">
        <f t="shared" si="36"/>
        <v>83.403242624283962</v>
      </c>
      <c r="N96" s="101">
        <f t="shared" si="37"/>
        <v>83.403242624283962</v>
      </c>
      <c r="O96" s="94" t="str">
        <f t="shared" si="29"/>
        <v/>
      </c>
      <c r="P96" s="94">
        <f t="shared" si="45"/>
        <v>83.403242624283962</v>
      </c>
      <c r="Q96" s="94" t="str">
        <f t="shared" si="46"/>
        <v/>
      </c>
      <c r="R96" s="90" t="str">
        <f t="shared" si="47"/>
        <v/>
      </c>
      <c r="S96" s="37" t="str">
        <f t="shared" si="38"/>
        <v/>
      </c>
      <c r="T96" s="176" t="str">
        <f>IF(L96="","",VLOOKUP(L96,classifications!C:K,9,FALSE))</f>
        <v>Sparse</v>
      </c>
      <c r="U96" s="183">
        <f t="shared" si="30"/>
        <v>83.403242624283962</v>
      </c>
      <c r="V96" s="184">
        <f>IF(U96="","",IF($I$8="A",(RANK(U96,U$11:U$368)+COUNTIF(U$11:U96,U96)-1),(RANK(U96,U$11:U$368,1)+COUNTIF(U$11:U96,U96)-1)))</f>
        <v>39</v>
      </c>
      <c r="W96" s="185"/>
      <c r="X96" s="38" t="str">
        <f>IF(L96="","",VLOOKUP($L96,classifications!$C:$J,6,FALSE))</f>
        <v xml:space="preserve">Largely Rural (rural including hub towns 50-79%) </v>
      </c>
      <c r="Y96" s="26" t="str">
        <f t="shared" si="31"/>
        <v/>
      </c>
      <c r="Z96" s="34" t="str">
        <f>IF(Y96="","",IF(I$8="A",(RANK(Y96,Y$11:Y$368,1)+COUNTIF(Y$11:Y96,Y96)-1),(RANK(Y96,Y$11:Y$368)+COUNTIF(Y$11:Y96,Y96)-1)))</f>
        <v/>
      </c>
      <c r="AA96" s="188" t="str">
        <f>IF(L96="","",VLOOKUP($L96,classifications!C:I,7,FALSE))</f>
        <v>Predominantly Rural</v>
      </c>
      <c r="AB96" s="184">
        <f t="shared" si="39"/>
        <v>83.403242624283962</v>
      </c>
      <c r="AC96" s="184">
        <f>IF(AB96="","",IF($I$8="A",(RANK(AB96,AB$11:AB$368)+COUNTIF(AB$11:AB96,AB96)-1),(RANK(AB96,AB$11:AB$368,1)+COUNTIF(AB$11:AB96,AB96)-1)))</f>
        <v>37</v>
      </c>
      <c r="AD96" s="184"/>
      <c r="AE96" s="28" t="str">
        <f t="shared" si="24"/>
        <v/>
      </c>
      <c r="AG96" s="96"/>
      <c r="AH96" s="29"/>
      <c r="AI96" s="38" t="str">
        <f>IF(L96="","",VLOOKUP($L96,classifications!$C:$J,8,FALSE))</f>
        <v>Kent</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South East</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83.82997141888039</v>
      </c>
      <c r="AY96" s="103"/>
      <c r="AZ96" s="21"/>
    </row>
    <row r="97" spans="1:52">
      <c r="A97" s="56" t="str">
        <f>$D$1&amp;87</f>
        <v>SD87</v>
      </c>
      <c r="B97" s="57">
        <f>IF(ISERROR(VLOOKUP(A97,classifications!A:C,3,FALSE)),0,VLOOKUP(A97,classifications!A:C,3,FALSE))</f>
        <v>0</v>
      </c>
      <c r="C97" s="8" t="s">
        <v>266</v>
      </c>
      <c r="D97" s="26" t="str">
        <f>VLOOKUP($C97,classifications!$C:$J,4,FALSE)</f>
        <v>UA</v>
      </c>
      <c r="E97" s="26" t="str">
        <f>VLOOKUP(C97,classifications!C:K,9,FALSE)</f>
        <v>Sparse</v>
      </c>
      <c r="F97" s="36">
        <f t="shared" si="26"/>
        <v>78.372830341553794</v>
      </c>
      <c r="G97" s="71"/>
      <c r="H97" s="37" t="str">
        <f t="shared" si="27"/>
        <v/>
      </c>
      <c r="I97" s="77" t="str">
        <f>IF(H97="","",IF($I$8="A",(RANK(H97,H$11:H$368,1)+COUNTIF(H$11:H97,H97)-1),(RANK(H97,H$11:H$368)+COUNTIF(H$11:H97,H97)-1)))</f>
        <v/>
      </c>
      <c r="J97" s="35"/>
      <c r="K97" s="28">
        <f t="shared" si="35"/>
        <v>87</v>
      </c>
      <c r="L97" s="36" t="str">
        <f t="shared" si="28"/>
        <v>Wyre Forest</v>
      </c>
      <c r="M97" s="102">
        <f t="shared" si="36"/>
        <v>83.369638917778488</v>
      </c>
      <c r="N97" s="101">
        <f t="shared" si="37"/>
        <v>83.369638917778488</v>
      </c>
      <c r="O97" s="94" t="str">
        <f t="shared" si="29"/>
        <v/>
      </c>
      <c r="P97" s="94">
        <f t="shared" si="45"/>
        <v>83.369638917778488</v>
      </c>
      <c r="Q97" s="94" t="str">
        <f t="shared" si="46"/>
        <v/>
      </c>
      <c r="R97" s="90" t="str">
        <f t="shared" si="47"/>
        <v/>
      </c>
      <c r="S97" s="37" t="str">
        <f t="shared" si="38"/>
        <v/>
      </c>
      <c r="T97" s="176">
        <f>IF(L97="","",VLOOKUP(L97,classifications!C:K,9,FALSE))</f>
        <v>0</v>
      </c>
      <c r="U97" s="183" t="str">
        <f t="shared" si="30"/>
        <v/>
      </c>
      <c r="V97" s="184" t="str">
        <f>IF(U97="","",IF($I$8="A",(RANK(U97,U$11:U$368)+COUNTIF(U$11:U97,U97)-1),(RANK(U97,U$11:U$368,1)+COUNTIF(U$11:U97,U97)-1)))</f>
        <v/>
      </c>
      <c r="W97" s="185"/>
      <c r="X97" s="38" t="str">
        <f>IF(L97="","",VLOOKUP($L97,classifications!$C:$J,6,FALSE))</f>
        <v>Urban with Significant Rural (rural including hub towns 26-49%)</v>
      </c>
      <c r="Y97" s="26" t="str">
        <f t="shared" si="31"/>
        <v/>
      </c>
      <c r="Z97" s="34" t="str">
        <f>IF(Y97="","",IF(I$8="A",(RANK(Y97,Y$11:Y$368,1)+COUNTIF(Y$11:Y97,Y97)-1),(RANK(Y97,Y$11:Y$368)+COUNTIF(Y$11:Y97,Y97)-1)))</f>
        <v/>
      </c>
      <c r="AA97" s="188" t="str">
        <f>IF(L97="","",VLOOKUP($L97,classifications!C:I,7,FALSE))</f>
        <v>Significant Rural</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Worcestershire</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West Midlands</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78.372830341553794</v>
      </c>
      <c r="AY97" s="103"/>
      <c r="AZ97" s="21"/>
    </row>
    <row r="98" spans="1:52">
      <c r="A98" s="56" t="str">
        <f>$D$1&amp;88</f>
        <v>SD88</v>
      </c>
      <c r="B98" s="57">
        <f>IF(ISERROR(VLOOKUP(A98,classifications!A:C,3,FALSE)),0,VLOOKUP(A98,classifications!A:C,3,FALSE))</f>
        <v>0</v>
      </c>
      <c r="C98" s="8" t="s">
        <v>230</v>
      </c>
      <c r="D98" s="26" t="str">
        <f>VLOOKUP($C98,classifications!$C:$J,4,FALSE)</f>
        <v>MD</v>
      </c>
      <c r="E98" s="26">
        <f>VLOOKUP(C98,classifications!C:K,9,FALSE)</f>
        <v>0</v>
      </c>
      <c r="F98" s="36">
        <f t="shared" si="26"/>
        <v>71.655617270360679</v>
      </c>
      <c r="G98" s="71"/>
      <c r="H98" s="37" t="str">
        <f t="shared" si="27"/>
        <v/>
      </c>
      <c r="I98" s="77" t="str">
        <f>IF(H98="","",IF($I$8="A",(RANK(H98,H$11:H$368,1)+COUNTIF(H$11:H98,H98)-1),(RANK(H98,H$11:H$368)+COUNTIF(H$11:H98,H98)-1)))</f>
        <v/>
      </c>
      <c r="J98" s="35"/>
      <c r="K98" s="28">
        <f t="shared" si="35"/>
        <v>88</v>
      </c>
      <c r="L98" s="36" t="str">
        <f t="shared" si="28"/>
        <v>Three Rivers</v>
      </c>
      <c r="M98" s="102">
        <f t="shared" si="36"/>
        <v>83.278576579806554</v>
      </c>
      <c r="N98" s="101">
        <f t="shared" si="37"/>
        <v>83.278576579806554</v>
      </c>
      <c r="O98" s="94" t="str">
        <f t="shared" si="29"/>
        <v/>
      </c>
      <c r="P98" s="94">
        <f t="shared" si="45"/>
        <v>83.278576579806554</v>
      </c>
      <c r="Q98" s="94" t="str">
        <f t="shared" si="46"/>
        <v/>
      </c>
      <c r="R98" s="90" t="str">
        <f t="shared" si="47"/>
        <v/>
      </c>
      <c r="S98" s="37" t="str">
        <f t="shared" si="38"/>
        <v/>
      </c>
      <c r="T98" s="176">
        <f>IF(L98="","",VLOOKUP(L98,classifications!C:K,9,FALSE))</f>
        <v>0</v>
      </c>
      <c r="U98" s="183" t="str">
        <f t="shared" si="30"/>
        <v/>
      </c>
      <c r="V98" s="184" t="str">
        <f>IF(U98="","",IF($I$8="A",(RANK(U98,U$11:U$368)+COUNTIF(U$11:U98,U98)-1),(RANK(U98,U$11:U$368,1)+COUNTIF(U$11:U98,U98)-1)))</f>
        <v/>
      </c>
      <c r="W98" s="185"/>
      <c r="X98" s="38" t="str">
        <f>IF(L98="","",VLOOKUP($L98,classifications!$C:$J,6,FALSE))</f>
        <v>Urban with Major Conurbation</v>
      </c>
      <c r="Y98" s="26" t="str">
        <f t="shared" si="31"/>
        <v/>
      </c>
      <c r="Z98" s="34" t="str">
        <f>IF(Y98="","",IF(I$8="A",(RANK(Y98,Y$11:Y$368,1)+COUNTIF(Y$11:Y98,Y98)-1),(RANK(Y98,Y$11:Y$368)+COUNTIF(Y$11:Y98,Y98)-1)))</f>
        <v/>
      </c>
      <c r="AA98" s="188" t="str">
        <f>IF(L98="","",VLOOKUP($L98,classifications!C:I,7,FALSE))</f>
        <v>Predominantly Urban</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Hertfordshire</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East of England</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71.655617270360679</v>
      </c>
      <c r="AY98" s="103"/>
      <c r="AZ98" s="21"/>
    </row>
    <row r="99" spans="1:52">
      <c r="A99" s="56" t="str">
        <f>$D$1&amp;89</f>
        <v>SD89</v>
      </c>
      <c r="B99" s="57">
        <f>IF(ISERROR(VLOOKUP(A99,classifications!A:C,3,FALSE)),0,VLOOKUP(A99,classifications!A:C,3,FALSE))</f>
        <v>0</v>
      </c>
      <c r="C99" s="8" t="s">
        <v>202</v>
      </c>
      <c r="D99" s="26" t="str">
        <f>VLOOKUP($C99,classifications!$C:$J,4,FALSE)</f>
        <v>L</v>
      </c>
      <c r="E99" s="26">
        <f>VLOOKUP(C99,classifications!C:K,9,FALSE)</f>
        <v>0</v>
      </c>
      <c r="F99" s="36">
        <f t="shared" si="26"/>
        <v>77.227842088079896</v>
      </c>
      <c r="G99" s="71"/>
      <c r="H99" s="37" t="str">
        <f t="shared" si="27"/>
        <v/>
      </c>
      <c r="I99" s="77" t="str">
        <f>IF(H99="","",IF($I$8="A",(RANK(H99,H$11:H$368,1)+COUNTIF(H$11:H99,H99)-1),(RANK(H99,H$11:H$368)+COUNTIF(H$11:H99,H99)-1)))</f>
        <v/>
      </c>
      <c r="J99" s="35"/>
      <c r="K99" s="28">
        <f t="shared" si="35"/>
        <v>89</v>
      </c>
      <c r="L99" s="36" t="str">
        <f t="shared" si="28"/>
        <v>Somerset West &amp; Taunton</v>
      </c>
      <c r="M99" s="102">
        <f t="shared" si="36"/>
        <v>83.146927184978921</v>
      </c>
      <c r="N99" s="101">
        <f t="shared" si="37"/>
        <v>83.146927184978921</v>
      </c>
      <c r="O99" s="94" t="str">
        <f t="shared" si="29"/>
        <v/>
      </c>
      <c r="P99" s="94">
        <f t="shared" si="45"/>
        <v>83.146927184978921</v>
      </c>
      <c r="Q99" s="94" t="str">
        <f t="shared" si="46"/>
        <v/>
      </c>
      <c r="R99" s="90" t="str">
        <f t="shared" si="47"/>
        <v/>
      </c>
      <c r="S99" s="37" t="str">
        <f t="shared" si="38"/>
        <v/>
      </c>
      <c r="T99" s="176" t="str">
        <f>IF(L99="","",VLOOKUP(L99,classifications!C:K,9,FALSE))</f>
        <v>Sparse</v>
      </c>
      <c r="U99" s="183">
        <f t="shared" si="30"/>
        <v>83.146927184978921</v>
      </c>
      <c r="V99" s="184">
        <f>IF(U99="","",IF($I$8="A",(RANK(U99,U$11:U$368)+COUNTIF(U$11:U99,U99)-1),(RANK(U99,U$11:U$368,1)+COUNTIF(U$11:U99,U99)-1)))</f>
        <v>38</v>
      </c>
      <c r="W99" s="185"/>
      <c r="X99" s="38" t="str">
        <f>IF(L99="","",VLOOKUP($L99,classifications!$C:$J,6,FALSE))</f>
        <v xml:space="preserve">Predominantly Rural </v>
      </c>
      <c r="Y99" s="26" t="str">
        <f t="shared" si="31"/>
        <v/>
      </c>
      <c r="Z99" s="34" t="str">
        <f>IF(Y99="","",IF(I$8="A",(RANK(Y99,Y$11:Y$368,1)+COUNTIF(Y$11:Y99,Y99)-1),(RANK(Y99,Y$11:Y$368)+COUNTIF(Y$11:Y99,Y99)-1)))</f>
        <v/>
      </c>
      <c r="AA99" s="188" t="str">
        <f>IF(L99="","",VLOOKUP($L99,classifications!C:I,7,FALSE))</f>
        <v>Predominantly Rural</v>
      </c>
      <c r="AB99" s="184">
        <f t="shared" si="39"/>
        <v>83.146927184978921</v>
      </c>
      <c r="AC99" s="184">
        <f>IF(AB99="","",IF($I$8="A",(RANK(AB99,AB$11:AB$368)+COUNTIF(AB$11:AB99,AB99)-1),(RANK(AB99,AB$11:AB$368,1)+COUNTIF(AB$11:AB99,AB99)-1)))</f>
        <v>36</v>
      </c>
      <c r="AD99" s="184"/>
      <c r="AE99" s="28" t="str">
        <f t="shared" ref="AE99:AE162" si="49">IF(AE98="","",IF(AE98+1&gt;(COUNT(AG:AG)),"",AE98+1))</f>
        <v/>
      </c>
      <c r="AG99" s="96"/>
      <c r="AH99" s="29"/>
      <c r="AI99" s="38" t="str">
        <f>IF(L99="","",VLOOKUP($L99,classifications!$C:$J,8,FALSE))</f>
        <v>Somerset</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South West</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77.227842088079896</v>
      </c>
      <c r="AY99" s="103"/>
      <c r="AZ99" s="21"/>
    </row>
    <row r="100" spans="1:52">
      <c r="A100" s="56" t="str">
        <f>$D$1&amp;90</f>
        <v>SD90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83.547297464267089</v>
      </c>
      <c r="G100" s="71"/>
      <c r="H100" s="37">
        <f t="shared" si="27"/>
        <v>83.547297464267089</v>
      </c>
      <c r="I100" s="77">
        <f>IF(H100="","",IF($I$8="A",(RANK(H100,H$11:H$368,1)+COUNTIF(H$11:H100,H100)-1),(RANK(H100,H$11:H$368)+COUNTIF(H$11:H100,H100)-1)))</f>
        <v>80</v>
      </c>
      <c r="J100" s="35"/>
      <c r="K100" s="28">
        <f t="shared" si="35"/>
        <v>90</v>
      </c>
      <c r="L100" s="36" t="str">
        <f t="shared" si="28"/>
        <v>South Ribble</v>
      </c>
      <c r="M100" s="102">
        <f t="shared" si="36"/>
        <v>83.096861801507984</v>
      </c>
      <c r="N100" s="101">
        <f t="shared" si="37"/>
        <v>83.096861801507984</v>
      </c>
      <c r="O100" s="94" t="str">
        <f t="shared" si="29"/>
        <v/>
      </c>
      <c r="P100" s="94">
        <f t="shared" si="45"/>
        <v>83.096861801507984</v>
      </c>
      <c r="Q100" s="94" t="str">
        <f t="shared" si="46"/>
        <v/>
      </c>
      <c r="R100" s="90" t="str">
        <f t="shared" si="47"/>
        <v/>
      </c>
      <c r="S100" s="37" t="str">
        <f t="shared" si="38"/>
        <v/>
      </c>
      <c r="T100" s="176">
        <f>IF(L100="","",VLOOKUP(L100,classifications!C:K,9,FALSE))</f>
        <v>0</v>
      </c>
      <c r="U100" s="183" t="str">
        <f t="shared" si="30"/>
        <v/>
      </c>
      <c r="V100" s="184" t="str">
        <f>IF(U100="","",IF($I$8="A",(RANK(U100,U$11:U$368)+COUNTIF(U$11:U100,U100)-1),(RANK(U100,U$11:U$368,1)+COUNTIF(U$11:U100,U100)-1)))</f>
        <v/>
      </c>
      <c r="W100" s="185"/>
      <c r="X100" s="38" t="str">
        <f>IF(L100="","",VLOOKUP($L100,classifications!$C:$J,6,FALSE))</f>
        <v>Urban with City and Town</v>
      </c>
      <c r="Y100" s="26" t="str">
        <f t="shared" si="31"/>
        <v/>
      </c>
      <c r="Z100" s="34" t="str">
        <f>IF(Y100="","",IF(I$8="A",(RANK(Y100,Y$11:Y$368,1)+COUNTIF(Y$11:Y100,Y100)-1),(RANK(Y100,Y$11:Y$368)+COUNTIF(Y$11:Y100,Y100)-1)))</f>
        <v/>
      </c>
      <c r="AA100" s="188" t="str">
        <f>IF(L100="","",VLOOKUP($L100,classifications!C:I,7,FALSE))</f>
        <v>Predominantly Urban</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Lancashire</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North West</v>
      </c>
      <c r="AQ100" s="39">
        <f t="shared" si="42"/>
        <v>83.096861801507984</v>
      </c>
      <c r="AR100" s="34">
        <f>IF(AQ100="","",IF(I$8="A",(RANK(AQ100,AQ$11:AQ$368,1)+COUNTIF(AQ$11:AQ100,AQ100)-1),(RANK(AQ100,AQ$11:AQ$368)+COUNTIF(AQ$11:AQ100,AQ100)-1)))</f>
        <v>5</v>
      </c>
      <c r="AS100" s="29" t="str">
        <f t="shared" si="43"/>
        <v/>
      </c>
      <c r="AT100" s="34" t="str">
        <f t="shared" si="34"/>
        <v/>
      </c>
      <c r="AU100" s="39" t="str">
        <f t="shared" si="48"/>
        <v/>
      </c>
      <c r="AX100" s="21">
        <f>HLOOKUP($AX$9&amp;$AX$10,Data!$A$1:$ZZ$2000,(MATCH($C100,Data!$A$1:$A$2000,0)),FALSE)</f>
        <v>83.547297464267089</v>
      </c>
      <c r="AY100" s="103"/>
      <c r="AZ100" s="21"/>
    </row>
    <row r="101" spans="1:52">
      <c r="A101" s="56" t="str">
        <f>$D$1&amp;91</f>
        <v>SD91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86.084775203522014</v>
      </c>
      <c r="G101" s="71"/>
      <c r="H101" s="37">
        <f t="shared" si="27"/>
        <v>86.084775203522014</v>
      </c>
      <c r="I101" s="77">
        <f>IF(H101="","",IF($I$8="A",(RANK(H101,H$11:H$368,1)+COUNTIF(H$11:H101,H101)-1),(RANK(H101,H$11:H$368)+COUNTIF(H$11:H101,H101)-1)))</f>
        <v>37</v>
      </c>
      <c r="J101" s="35"/>
      <c r="K101" s="28">
        <f t="shared" si="35"/>
        <v>91</v>
      </c>
      <c r="L101" s="36" t="str">
        <f t="shared" si="28"/>
        <v>Rother</v>
      </c>
      <c r="M101" s="102">
        <f t="shared" si="36"/>
        <v>83.007360126079334</v>
      </c>
      <c r="N101" s="101">
        <f t="shared" si="37"/>
        <v>83.007360126079334</v>
      </c>
      <c r="O101" s="94" t="str">
        <f t="shared" si="29"/>
        <v/>
      </c>
      <c r="P101" s="94">
        <f t="shared" si="45"/>
        <v>83.007360126079334</v>
      </c>
      <c r="Q101" s="94" t="str">
        <f t="shared" si="46"/>
        <v/>
      </c>
      <c r="R101" s="90" t="str">
        <f t="shared" si="47"/>
        <v/>
      </c>
      <c r="S101" s="37" t="str">
        <f t="shared" si="38"/>
        <v/>
      </c>
      <c r="T101" s="176" t="str">
        <f>IF(L101="","",VLOOKUP(L101,classifications!C:K,9,FALSE))</f>
        <v>Sparse</v>
      </c>
      <c r="U101" s="183">
        <f t="shared" si="30"/>
        <v>83.007360126079334</v>
      </c>
      <c r="V101" s="184">
        <f>IF(U101="","",IF($I$8="A",(RANK(U101,U$11:U$368)+COUNTIF(U$11:U101,U101)-1),(RANK(U101,U$11:U$368,1)+COUNTIF(U$11:U101,U101)-1)))</f>
        <v>37</v>
      </c>
      <c r="W101" s="185"/>
      <c r="X101" s="38" t="str">
        <f>IF(L101="","",VLOOKUP($L101,classifications!$C:$J,6,FALSE))</f>
        <v xml:space="preserve">Largely Rural (rural including hub towns 50-79%) </v>
      </c>
      <c r="Y101" s="26" t="str">
        <f t="shared" si="31"/>
        <v/>
      </c>
      <c r="Z101" s="34" t="str">
        <f>IF(Y101="","",IF(I$8="A",(RANK(Y101,Y$11:Y$368,1)+COUNTIF(Y$11:Y101,Y101)-1),(RANK(Y101,Y$11:Y$368)+COUNTIF(Y$11:Y101,Y101)-1)))</f>
        <v/>
      </c>
      <c r="AA101" s="188" t="str">
        <f>IF(L101="","",VLOOKUP($L101,classifications!C:I,7,FALSE))</f>
        <v>Predominantly Rural</v>
      </c>
      <c r="AB101" s="184">
        <f t="shared" si="39"/>
        <v>83.007360126079334</v>
      </c>
      <c r="AC101" s="184">
        <f>IF(AB101="","",IF($I$8="A",(RANK(AB101,AB$11:AB$368)+COUNTIF(AB$11:AB101,AB101)-1),(RANK(AB101,AB$11:AB$368,1)+COUNTIF(AB$11:AB101,AB101)-1)))</f>
        <v>35</v>
      </c>
      <c r="AD101" s="184"/>
      <c r="AE101" s="28" t="str">
        <f t="shared" si="49"/>
        <v/>
      </c>
      <c r="AG101" s="96"/>
      <c r="AH101" s="29"/>
      <c r="AI101" s="38" t="str">
        <f>IF(L101="","",VLOOKUP($L101,classifications!$C:$J,8,FALSE))</f>
        <v>East Sussex</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South East</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86.084775203522014</v>
      </c>
      <c r="AY101" s="103"/>
      <c r="AZ101" s="21"/>
    </row>
    <row r="102" spans="1:52">
      <c r="A102" s="56" t="str">
        <f>$D$1&amp;92</f>
        <v>SD92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v>
      </c>
      <c r="I102" s="77" t="e">
        <f>IF(H102="","",IF($I$8="A",(RANK(H102,H$11:H$368,1)+COUNTIF(H$11:H102,H102)-1),(RANK(H102,H$11:H$368)+COUNTIF(H$11:H102,H102)-1)))</f>
        <v>#VALUE!</v>
      </c>
      <c r="J102" s="35"/>
      <c r="K102" s="28">
        <f t="shared" si="35"/>
        <v>92</v>
      </c>
      <c r="L102" s="36" t="str">
        <f t="shared" si="28"/>
        <v>South Somerset</v>
      </c>
      <c r="M102" s="102">
        <f t="shared" si="36"/>
        <v>82.960311715456797</v>
      </c>
      <c r="N102" s="101">
        <f t="shared" si="37"/>
        <v>82.960311715456797</v>
      </c>
      <c r="O102" s="94" t="str">
        <f t="shared" si="29"/>
        <v/>
      </c>
      <c r="P102" s="94">
        <f t="shared" si="45"/>
        <v>82.960311715456797</v>
      </c>
      <c r="Q102" s="94" t="str">
        <f t="shared" si="46"/>
        <v/>
      </c>
      <c r="R102" s="90" t="str">
        <f t="shared" si="47"/>
        <v/>
      </c>
      <c r="S102" s="37" t="str">
        <f t="shared" si="38"/>
        <v/>
      </c>
      <c r="T102" s="176" t="str">
        <f>IF(L102="","",VLOOKUP(L102,classifications!C:K,9,FALSE))</f>
        <v>Sparse</v>
      </c>
      <c r="U102" s="183">
        <f t="shared" si="30"/>
        <v>82.960311715456797</v>
      </c>
      <c r="V102" s="184">
        <f>IF(U102="","",IF($I$8="A",(RANK(U102,U$11:U$368)+COUNTIF(U$11:U102,U102)-1),(RANK(U102,U$11:U$368,1)+COUNTIF(U$11:U102,U102)-1)))</f>
        <v>36</v>
      </c>
      <c r="W102" s="185"/>
      <c r="X102" s="38" t="str">
        <f>IF(L102="","",VLOOKUP($L102,classifications!$C:$J,6,FALSE))</f>
        <v xml:space="preserve">Largely Rural (rural including hub towns 50-79%) </v>
      </c>
      <c r="Y102" s="26" t="str">
        <f t="shared" si="31"/>
        <v/>
      </c>
      <c r="Z102" s="34" t="str">
        <f>IF(Y102="","",IF(I$8="A",(RANK(Y102,Y$11:Y$368,1)+COUNTIF(Y$11:Y102,Y102)-1),(RANK(Y102,Y$11:Y$368)+COUNTIF(Y$11:Y102,Y102)-1)))</f>
        <v/>
      </c>
      <c r="AA102" s="188" t="str">
        <f>IF(L102="","",VLOOKUP($L102,classifications!C:I,7,FALSE))</f>
        <v>Predominantly Rural</v>
      </c>
      <c r="AB102" s="184">
        <f t="shared" si="39"/>
        <v>82.960311715456797</v>
      </c>
      <c r="AC102" s="184">
        <f>IF(AB102="","",IF($I$8="A",(RANK(AB102,AB$11:AB$368)+COUNTIF(AB$11:AB102,AB102)-1),(RANK(AB102,AB$11:AB$368,1)+COUNTIF(AB$11:AB102,AB102)-1)))</f>
        <v>34</v>
      </c>
      <c r="AD102" s="184"/>
      <c r="AE102" s="28" t="str">
        <f t="shared" si="49"/>
        <v/>
      </c>
      <c r="AG102" s="96"/>
      <c r="AH102" s="29"/>
      <c r="AI102" s="38" t="str">
        <f>IF(L102="","",VLOOKUP($L102,classifications!$C:$J,8,FALSE))</f>
        <v>Somerset</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South West</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t="str">
        <f>HLOOKUP($AX$9&amp;$AX$10,Data!$A$1:$ZZ$2000,(MATCH($C102,Data!$A$1:$A$2000,0)),FALSE)</f>
        <v>-</v>
      </c>
      <c r="AY102" s="103"/>
      <c r="AZ102" s="21"/>
    </row>
    <row r="103" spans="1:52">
      <c r="A103" s="56" t="str">
        <f>$D$1&amp;93</f>
        <v>SD93</v>
      </c>
      <c r="B103" s="57">
        <f>IF(ISERROR(VLOOKUP(A103,classifications!A:C,3,FALSE)),0,VLOOKUP(A103,classifications!A:C,3,FALSE))</f>
        <v>0</v>
      </c>
      <c r="C103" s="8" t="s">
        <v>55</v>
      </c>
      <c r="D103" s="26" t="str">
        <f>VLOOKUP($C103,classifications!$C:$J,4,FALSE)</f>
        <v>SD</v>
      </c>
      <c r="E103" s="26">
        <f>VLOOKUP(C103,classifications!C:K,9,FALSE)</f>
        <v>0</v>
      </c>
      <c r="F103" s="36">
        <f t="shared" si="26"/>
        <v>84.086894313342043</v>
      </c>
      <c r="G103" s="71"/>
      <c r="H103" s="37">
        <f t="shared" si="27"/>
        <v>84.086894313342043</v>
      </c>
      <c r="I103" s="77">
        <f>IF(H103="","",IF($I$8="A",(RANK(H103,H$11:H$368,1)+COUNTIF(H$11:H103,H103)-1),(RANK(H103,H$11:H$368)+COUNTIF(H$11:H103,H103)-1)))</f>
        <v>63</v>
      </c>
      <c r="J103" s="35"/>
      <c r="K103" s="28">
        <f t="shared" si="35"/>
        <v>93</v>
      </c>
      <c r="L103" s="36" t="str">
        <f t="shared" si="28"/>
        <v>Aylesbury Vale</v>
      </c>
      <c r="M103" s="102">
        <f t="shared" si="36"/>
        <v>82.891590896344596</v>
      </c>
      <c r="N103" s="101">
        <f t="shared" si="37"/>
        <v>82.891590896344596</v>
      </c>
      <c r="O103" s="94" t="str">
        <f t="shared" si="29"/>
        <v/>
      </c>
      <c r="P103" s="94">
        <f t="shared" si="45"/>
        <v>82.891590896344596</v>
      </c>
      <c r="Q103" s="94" t="str">
        <f t="shared" si="46"/>
        <v/>
      </c>
      <c r="R103" s="90" t="str">
        <f t="shared" si="47"/>
        <v/>
      </c>
      <c r="S103" s="37" t="str">
        <f t="shared" si="38"/>
        <v/>
      </c>
      <c r="T103" s="176">
        <f>IF(L103="","",VLOOKUP(L103,classifications!C:K,9,FALSE))</f>
        <v>0</v>
      </c>
      <c r="U103" s="183" t="str">
        <f t="shared" si="30"/>
        <v/>
      </c>
      <c r="V103" s="184" t="str">
        <f>IF(U103="","",IF($I$8="A",(RANK(U103,U$11:U$368)+COUNTIF(U$11:U103,U103)-1),(RANK(U103,U$11:U$368,1)+COUNTIF(U$11:U103,U103)-1)))</f>
        <v/>
      </c>
      <c r="W103" s="185"/>
      <c r="X103" s="38" t="str">
        <f>IF(L103="","",VLOOKUP($L103,classifications!$C:$J,6,FALSE))</f>
        <v xml:space="preserve">Largely Rural (rural including hub towns 50-79%) </v>
      </c>
      <c r="Y103" s="26" t="str">
        <f t="shared" si="31"/>
        <v/>
      </c>
      <c r="Z103" s="34" t="str">
        <f>IF(Y103="","",IF(I$8="A",(RANK(Y103,Y$11:Y$368,1)+COUNTIF(Y$11:Y103,Y103)-1),(RANK(Y103,Y$11:Y$368)+COUNTIF(Y$11:Y103,Y103)-1)))</f>
        <v/>
      </c>
      <c r="AA103" s="188" t="str">
        <f>IF(L103="","",VLOOKUP($L103,classifications!C:I,7,FALSE))</f>
        <v>Predominantly Rural</v>
      </c>
      <c r="AB103" s="184">
        <f t="shared" si="39"/>
        <v>82.891590896344596</v>
      </c>
      <c r="AC103" s="184">
        <f>IF(AB103="","",IF($I$8="A",(RANK(AB103,AB$11:AB$368)+COUNTIF(AB$11:AB103,AB103)-1),(RANK(AB103,AB$11:AB$368,1)+COUNTIF(AB$11:AB103,AB103)-1)))</f>
        <v>33</v>
      </c>
      <c r="AD103" s="184"/>
      <c r="AE103" s="28" t="str">
        <f t="shared" si="49"/>
        <v/>
      </c>
      <c r="AG103" s="96"/>
      <c r="AH103" s="29"/>
      <c r="AI103" s="38" t="str">
        <f>IF(L103="","",VLOOKUP($L103,classifications!$C:$J,8,FALSE))</f>
        <v>Buckinghamshire</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South East</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84.086894313342043</v>
      </c>
      <c r="AY103" s="103"/>
      <c r="AZ103" s="21"/>
    </row>
    <row r="104" spans="1:52">
      <c r="A104" s="56" t="str">
        <f>$D$1&amp;94</f>
        <v>SD94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89.749905538045041</v>
      </c>
      <c r="G104" s="71"/>
      <c r="H104" s="37">
        <f t="shared" si="27"/>
        <v>89.749905538045041</v>
      </c>
      <c r="I104" s="77">
        <f>IF(H104="","",IF($I$8="A",(RANK(H104,H$11:H$368,1)+COUNTIF(H$11:H104,H104)-1),(RANK(H104,H$11:H$368)+COUNTIF(H$11:H104,H104)-1)))</f>
        <v>4</v>
      </c>
      <c r="J104" s="35"/>
      <c r="K104" s="28">
        <f t="shared" si="35"/>
        <v>94</v>
      </c>
      <c r="L104" s="36" t="str">
        <f t="shared" si="28"/>
        <v>Epping Forest</v>
      </c>
      <c r="M104" s="102">
        <f t="shared" si="36"/>
        <v>82.61342625664426</v>
      </c>
      <c r="N104" s="101">
        <f t="shared" si="37"/>
        <v>82.61342625664426</v>
      </c>
      <c r="O104" s="94" t="str">
        <f t="shared" si="29"/>
        <v/>
      </c>
      <c r="P104" s="94">
        <f t="shared" si="45"/>
        <v>82.61342625664426</v>
      </c>
      <c r="Q104" s="94" t="str">
        <f t="shared" si="46"/>
        <v/>
      </c>
      <c r="R104" s="90" t="str">
        <f t="shared" si="47"/>
        <v/>
      </c>
      <c r="S104" s="37" t="str">
        <f t="shared" si="38"/>
        <v/>
      </c>
      <c r="T104" s="176">
        <f>IF(L104="","",VLOOKUP(L104,classifications!C:K,9,FALSE))</f>
        <v>0</v>
      </c>
      <c r="U104" s="183" t="str">
        <f t="shared" si="30"/>
        <v/>
      </c>
      <c r="V104" s="184" t="str">
        <f>IF(U104="","",IF($I$8="A",(RANK(U104,U$11:U$368)+COUNTIF(U$11:U104,U104)-1),(RANK(U104,U$11:U$368,1)+COUNTIF(U$11:U104,U104)-1)))</f>
        <v/>
      </c>
      <c r="W104" s="185"/>
      <c r="X104" s="38" t="str">
        <f>IF(L104="","",VLOOKUP($L104,classifications!$C:$J,6,FALSE))</f>
        <v>Urban with Significant Rural (rural including hub towns 26-49%)</v>
      </c>
      <c r="Y104" s="26" t="str">
        <f t="shared" si="31"/>
        <v/>
      </c>
      <c r="Z104" s="34" t="str">
        <f>IF(Y104="","",IF(I$8="A",(RANK(Y104,Y$11:Y$368,1)+COUNTIF(Y$11:Y104,Y104)-1),(RANK(Y104,Y$11:Y$368)+COUNTIF(Y$11:Y104,Y104)-1)))</f>
        <v/>
      </c>
      <c r="AA104" s="188" t="str">
        <f>IF(L104="","",VLOOKUP($L104,classifications!C:I,7,FALSE))</f>
        <v>Significant Rural</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Essex</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East of England</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89.749905538045041</v>
      </c>
      <c r="AY104" s="103"/>
      <c r="AZ104" s="21"/>
    </row>
    <row r="105" spans="1:52">
      <c r="A105" s="56" t="str">
        <f>$D$1&amp;95</f>
        <v>SD95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81.439089525575824</v>
      </c>
      <c r="G105" s="71"/>
      <c r="H105" s="37">
        <f t="shared" si="27"/>
        <v>81.439089525575824</v>
      </c>
      <c r="I105" s="77">
        <f>IF(H105="","",IF($I$8="A",(RANK(H105,H$11:H$368,1)+COUNTIF(H$11:H105,H105)-1),(RANK(H105,H$11:H$368)+COUNTIF(H$11:H105,H105)-1)))</f>
        <v>120</v>
      </c>
      <c r="J105" s="35"/>
      <c r="K105" s="28">
        <f t="shared" si="35"/>
        <v>95</v>
      </c>
      <c r="L105" s="36" t="str">
        <f t="shared" si="28"/>
        <v>Scarborough</v>
      </c>
      <c r="M105" s="102">
        <f t="shared" si="36"/>
        <v>82.576163755771162</v>
      </c>
      <c r="N105" s="101">
        <f t="shared" si="37"/>
        <v>82.576163755771162</v>
      </c>
      <c r="O105" s="94" t="str">
        <f t="shared" si="29"/>
        <v/>
      </c>
      <c r="P105" s="94">
        <f t="shared" si="45"/>
        <v>82.576163755771162</v>
      </c>
      <c r="Q105" s="94" t="str">
        <f t="shared" si="46"/>
        <v/>
      </c>
      <c r="R105" s="90" t="str">
        <f t="shared" si="47"/>
        <v/>
      </c>
      <c r="S105" s="37" t="str">
        <f t="shared" si="38"/>
        <v/>
      </c>
      <c r="T105" s="176" t="str">
        <f>IF(L105="","",VLOOKUP(L105,classifications!C:K,9,FALSE))</f>
        <v>Sparse</v>
      </c>
      <c r="U105" s="183">
        <f t="shared" si="30"/>
        <v>82.576163755771162</v>
      </c>
      <c r="V105" s="184">
        <f>IF(U105="","",IF($I$8="A",(RANK(U105,U$11:U$368)+COUNTIF(U$11:U105,U105)-1),(RANK(U105,U$11:U$368,1)+COUNTIF(U$11:U105,U105)-1)))</f>
        <v>35</v>
      </c>
      <c r="W105" s="185"/>
      <c r="X105" s="38" t="str">
        <f>IF(L105="","",VLOOKUP($L105,classifications!$C:$J,6,FALSE))</f>
        <v>Urban with Significant Rural (rural including hub towns 26-49%)</v>
      </c>
      <c r="Y105" s="26" t="str">
        <f t="shared" si="31"/>
        <v/>
      </c>
      <c r="Z105" s="34" t="str">
        <f>IF(Y105="","",IF(I$8="A",(RANK(Y105,Y$11:Y$368,1)+COUNTIF(Y$11:Y105,Y105)-1),(RANK(Y105,Y$11:Y$368)+COUNTIF(Y$11:Y105,Y105)-1)))</f>
        <v/>
      </c>
      <c r="AA105" s="188" t="str">
        <f>IF(L105="","",VLOOKUP($L105,classifications!C:I,7,FALSE))</f>
        <v>Significant Rural</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North Yorkshire</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Yorkshire &amp; Humberside</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81.439089525575824</v>
      </c>
      <c r="AY105" s="103"/>
      <c r="AZ105" s="21"/>
    </row>
    <row r="106" spans="1:52">
      <c r="A106" s="56" t="str">
        <f>$D$1&amp;96</f>
        <v>SD96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85.076646291930146</v>
      </c>
      <c r="G106" s="71"/>
      <c r="H106" s="37">
        <f t="shared" si="27"/>
        <v>85.076646291930146</v>
      </c>
      <c r="I106" s="77">
        <f>IF(H106="","",IF($I$8="A",(RANK(H106,H$11:H$368,1)+COUNTIF(H$11:H106,H106)-1),(RANK(H106,H$11:H$368)+COUNTIF(H$11:H106,H106)-1)))</f>
        <v>47</v>
      </c>
      <c r="J106" s="35"/>
      <c r="K106" s="28">
        <f t="shared" si="35"/>
        <v>96</v>
      </c>
      <c r="L106" s="36" t="str">
        <f t="shared" si="28"/>
        <v>Brentwood</v>
      </c>
      <c r="M106" s="102">
        <f t="shared" si="36"/>
        <v>82.399382815606671</v>
      </c>
      <c r="N106" s="101">
        <f t="shared" si="37"/>
        <v>82.399382815606671</v>
      </c>
      <c r="O106" s="94" t="str">
        <f t="shared" si="29"/>
        <v/>
      </c>
      <c r="P106" s="94">
        <f t="shared" si="45"/>
        <v>82.399382815606671</v>
      </c>
      <c r="Q106" s="94" t="str">
        <f t="shared" si="46"/>
        <v/>
      </c>
      <c r="R106" s="90" t="str">
        <f t="shared" si="47"/>
        <v/>
      </c>
      <c r="S106" s="37" t="str">
        <f t="shared" si="38"/>
        <v/>
      </c>
      <c r="T106" s="176">
        <f>IF(L106="","",VLOOKUP(L106,classifications!C:K,9,FALSE))</f>
        <v>0</v>
      </c>
      <c r="U106" s="183" t="str">
        <f t="shared" si="30"/>
        <v/>
      </c>
      <c r="V106" s="184" t="str">
        <f>IF(U106="","",IF($I$8="A",(RANK(U106,U$11:U$368)+COUNTIF(U$11:U106,U106)-1),(RANK(U106,U$11:U$368,1)+COUNTIF(U$11:U106,U106)-1)))</f>
        <v/>
      </c>
      <c r="W106" s="185"/>
      <c r="X106" s="38" t="str">
        <f>IF(L106="","",VLOOKUP($L106,classifications!$C:$J,6,FALSE))</f>
        <v>Urban with Significant Rural (rural including hub towns 26-49%)</v>
      </c>
      <c r="Y106" s="26" t="str">
        <f t="shared" si="31"/>
        <v/>
      </c>
      <c r="Z106" s="34" t="str">
        <f>IF(Y106="","",IF(I$8="A",(RANK(Y106,Y$11:Y$368,1)+COUNTIF(Y$11:Y106,Y106)-1),(RANK(Y106,Y$11:Y$368)+COUNTIF(Y$11:Y106,Y106)-1)))</f>
        <v/>
      </c>
      <c r="AA106" s="188" t="str">
        <f>IF(L106="","",VLOOKUP($L106,classifications!C:I,7,FALSE))</f>
        <v>Significant Rural</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Essex</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East of England</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85.076646291930146</v>
      </c>
      <c r="AY106" s="103"/>
      <c r="AZ106" s="21"/>
    </row>
    <row r="107" spans="1:52">
      <c r="A107" s="56" t="str">
        <f>$D$1&amp;97</f>
        <v>SD97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83.375669894356193</v>
      </c>
      <c r="G107" s="71"/>
      <c r="H107" s="37" t="str">
        <f t="shared" si="27"/>
        <v/>
      </c>
      <c r="I107" s="77" t="str">
        <f>IF(H107="","",IF($I$8="A",(RANK(H107,H$11:H$368,1)+COUNTIF(H$11:H107,H107)-1),(RANK(H107,H$11:H$368)+COUNTIF(H$11:H107,H107)-1)))</f>
        <v/>
      </c>
      <c r="J107" s="35"/>
      <c r="K107" s="28">
        <f t="shared" si="35"/>
        <v>97</v>
      </c>
      <c r="L107" s="36" t="str">
        <f t="shared" si="28"/>
        <v>Woking</v>
      </c>
      <c r="M107" s="102">
        <f t="shared" si="36"/>
        <v>82.398000952590905</v>
      </c>
      <c r="N107" s="101">
        <f t="shared" si="37"/>
        <v>82.398000952590905</v>
      </c>
      <c r="O107" s="94" t="str">
        <f t="shared" si="29"/>
        <v/>
      </c>
      <c r="P107" s="94" t="str">
        <f t="shared" si="45"/>
        <v/>
      </c>
      <c r="Q107" s="94">
        <f t="shared" si="46"/>
        <v>82.398000952590905</v>
      </c>
      <c r="R107" s="90" t="str">
        <f t="shared" si="47"/>
        <v/>
      </c>
      <c r="S107" s="37" t="str">
        <f t="shared" si="38"/>
        <v/>
      </c>
      <c r="T107" s="176">
        <f>IF(L107="","",VLOOKUP(L107,classifications!C:K,9,FALSE))</f>
        <v>0</v>
      </c>
      <c r="U107" s="183" t="str">
        <f t="shared" si="30"/>
        <v/>
      </c>
      <c r="V107" s="184" t="str">
        <f>IF(U107="","",IF($I$8="A",(RANK(U107,U$11:U$368)+COUNTIF(U$11:U107,U107)-1),(RANK(U107,U$11:U$368,1)+COUNTIF(U$11:U107,U107)-1)))</f>
        <v/>
      </c>
      <c r="W107" s="185"/>
      <c r="X107" s="38" t="str">
        <f>IF(L107="","",VLOOKUP($L107,classifications!$C:$J,6,FALSE))</f>
        <v>Urban with Major Conurbation</v>
      </c>
      <c r="Y107" s="26" t="str">
        <f t="shared" si="31"/>
        <v/>
      </c>
      <c r="Z107" s="34" t="str">
        <f>IF(Y107="","",IF(I$8="A",(RANK(Y107,Y$11:Y$368,1)+COUNTIF(Y$11:Y107,Y107)-1),(RANK(Y107,Y$11:Y$368)+COUNTIF(Y$11:Y107,Y107)-1)))</f>
        <v/>
      </c>
      <c r="AA107" s="188" t="str">
        <f>IF(L107="","",VLOOKUP($L107,classifications!C:I,7,FALSE))</f>
        <v>Predominantly Urban</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Surrey</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South East</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83.375669894356193</v>
      </c>
      <c r="AY107" s="103"/>
      <c r="AZ107" s="21"/>
    </row>
    <row r="108" spans="1:52">
      <c r="A108" s="56" t="str">
        <f>$D$1&amp;98</f>
        <v>SD98</v>
      </c>
      <c r="B108" s="57">
        <f>IF(ISERROR(VLOOKUP(A108,classifications!A:C,3,FALSE)),0,VLOOKUP(A108,classifications!A:C,3,FALSE))</f>
        <v>0</v>
      </c>
      <c r="C108" s="8" t="s">
        <v>59</v>
      </c>
      <c r="D108" s="26" t="str">
        <f>VLOOKUP($C108,classifications!$C:$J,4,FALSE)</f>
        <v>SD</v>
      </c>
      <c r="E108" s="26">
        <f>VLOOKUP(C108,classifications!C:K,9,FALSE)</f>
        <v>0</v>
      </c>
      <c r="F108" s="36">
        <f t="shared" si="26"/>
        <v>76.757911292992603</v>
      </c>
      <c r="G108" s="71"/>
      <c r="H108" s="37">
        <f t="shared" si="27"/>
        <v>76.757911292992603</v>
      </c>
      <c r="I108" s="77">
        <f>IF(H108="","",IF($I$8="A",(RANK(H108,H$11:H$368,1)+COUNTIF(H$11:H108,H108)-1),(RANK(H108,H$11:H$368)+COUNTIF(H$11:H108,H108)-1)))</f>
        <v>174</v>
      </c>
      <c r="J108" s="35"/>
      <c r="K108" s="28">
        <f t="shared" si="35"/>
        <v>98</v>
      </c>
      <c r="L108" s="36" t="str">
        <f t="shared" si="28"/>
        <v>North West Leicestershire</v>
      </c>
      <c r="M108" s="102">
        <f t="shared" si="36"/>
        <v>82.385392027866203</v>
      </c>
      <c r="N108" s="101">
        <f t="shared" si="37"/>
        <v>82.385392027866203</v>
      </c>
      <c r="O108" s="94" t="str">
        <f t="shared" si="29"/>
        <v/>
      </c>
      <c r="P108" s="94" t="str">
        <f t="shared" si="45"/>
        <v/>
      </c>
      <c r="Q108" s="94">
        <f t="shared" si="46"/>
        <v>82.385392027866203</v>
      </c>
      <c r="R108" s="90" t="str">
        <f t="shared" si="47"/>
        <v/>
      </c>
      <c r="S108" s="37" t="str">
        <f t="shared" si="38"/>
        <v/>
      </c>
      <c r="T108" s="176" t="str">
        <f>IF(L108="","",VLOOKUP(L108,classifications!C:K,9,FALSE))</f>
        <v>Sparse</v>
      </c>
      <c r="U108" s="183">
        <f t="shared" si="30"/>
        <v>82.385392027866203</v>
      </c>
      <c r="V108" s="184">
        <f>IF(U108="","",IF($I$8="A",(RANK(U108,U$11:U$368)+COUNTIF(U$11:U108,U108)-1),(RANK(U108,U$11:U$368,1)+COUNTIF(U$11:U108,U108)-1)))</f>
        <v>34</v>
      </c>
      <c r="W108" s="185"/>
      <c r="X108" s="38" t="str">
        <f>IF(L108="","",VLOOKUP($L108,classifications!$C:$J,6,FALSE))</f>
        <v xml:space="preserve">Largely Rural (rural including hub towns 50-79%) </v>
      </c>
      <c r="Y108" s="26" t="str">
        <f t="shared" si="31"/>
        <v/>
      </c>
      <c r="Z108" s="34" t="str">
        <f>IF(Y108="","",IF(I$8="A",(RANK(Y108,Y$11:Y$368,1)+COUNTIF(Y$11:Y108,Y108)-1),(RANK(Y108,Y$11:Y$368)+COUNTIF(Y$11:Y108,Y108)-1)))</f>
        <v/>
      </c>
      <c r="AA108" s="188" t="str">
        <f>IF(L108="","",VLOOKUP($L108,classifications!C:I,7,FALSE))</f>
        <v>Predominantly Rural</v>
      </c>
      <c r="AB108" s="184">
        <f t="shared" si="39"/>
        <v>82.385392027866203</v>
      </c>
      <c r="AC108" s="184">
        <f>IF(AB108="","",IF($I$8="A",(RANK(AB108,AB$11:AB$368)+COUNTIF(AB$11:AB108,AB108)-1),(RANK(AB108,AB$11:AB$368,1)+COUNTIF(AB$11:AB108,AB108)-1)))</f>
        <v>32</v>
      </c>
      <c r="AD108" s="184"/>
      <c r="AE108" s="28" t="str">
        <f t="shared" si="49"/>
        <v/>
      </c>
      <c r="AG108" s="96"/>
      <c r="AH108" s="29"/>
      <c r="AI108" s="38" t="str">
        <f>IF(L108="","",VLOOKUP($L108,classifications!$C:$J,8,FALSE))</f>
        <v>Leicestershire</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East Midlands</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76.757911292992603</v>
      </c>
      <c r="AY108" s="103"/>
      <c r="AZ108" s="21"/>
    </row>
    <row r="109" spans="1:52">
      <c r="A109" s="56" t="str">
        <f>$D$1&amp;99</f>
        <v>SD99</v>
      </c>
      <c r="B109" s="57">
        <f>IF(ISERROR(VLOOKUP(A109,classifications!A:C,3,FALSE)),0,VLOOKUP(A109,classifications!A:C,3,FALSE))</f>
        <v>0</v>
      </c>
      <c r="C109" s="8" t="s">
        <v>905</v>
      </c>
      <c r="D109" s="26" t="str">
        <f>VLOOKUP($C109,classifications!$C:$J,4,FALSE)</f>
        <v>SD</v>
      </c>
      <c r="E109" s="26" t="str">
        <f>VLOOKUP(C109,classifications!C:K,9,FALSE)</f>
        <v>Sparse</v>
      </c>
      <c r="F109" s="36">
        <f t="shared" si="26"/>
        <v>81.688187142593478</v>
      </c>
      <c r="G109" s="71"/>
      <c r="H109" s="37">
        <f t="shared" si="27"/>
        <v>81.688187142593478</v>
      </c>
      <c r="I109" s="77">
        <f>IF(H109="","",IF($I$8="A",(RANK(H109,H$11:H$368,1)+COUNTIF(H$11:H109,H109)-1),(RANK(H109,H$11:H$368)+COUNTIF(H$11:H109,H109)-1)))</f>
        <v>114</v>
      </c>
      <c r="J109" s="35"/>
      <c r="K109" s="28">
        <f t="shared" si="35"/>
        <v>99</v>
      </c>
      <c r="L109" s="36" t="str">
        <f t="shared" si="28"/>
        <v>Watford</v>
      </c>
      <c r="M109" s="102">
        <f t="shared" si="36"/>
        <v>82.368862451168795</v>
      </c>
      <c r="N109" s="101">
        <f t="shared" si="37"/>
        <v>82.368862451168795</v>
      </c>
      <c r="O109" s="94" t="str">
        <f t="shared" si="29"/>
        <v/>
      </c>
      <c r="P109" s="94" t="str">
        <f t="shared" si="45"/>
        <v/>
      </c>
      <c r="Q109" s="94">
        <f t="shared" si="46"/>
        <v>82.368862451168795</v>
      </c>
      <c r="R109" s="90" t="str">
        <f t="shared" si="47"/>
        <v/>
      </c>
      <c r="S109" s="37" t="str">
        <f t="shared" si="38"/>
        <v/>
      </c>
      <c r="T109" s="176">
        <f>IF(L109="","",VLOOKUP(L109,classifications!C:K,9,FALSE))</f>
        <v>0</v>
      </c>
      <c r="U109" s="183" t="str">
        <f t="shared" si="30"/>
        <v/>
      </c>
      <c r="V109" s="184" t="str">
        <f>IF(U109="","",IF($I$8="A",(RANK(U109,U$11:U$368)+COUNTIF(U$11:U109,U109)-1),(RANK(U109,U$11:U$368,1)+COUNTIF(U$11:U109,U109)-1)))</f>
        <v/>
      </c>
      <c r="W109" s="185"/>
      <c r="X109" s="38" t="str">
        <f>IF(L109="","",VLOOKUP($L109,classifications!$C:$J,6,FALSE))</f>
        <v>Urban with Major Conurbation</v>
      </c>
      <c r="Y109" s="26" t="str">
        <f t="shared" si="31"/>
        <v/>
      </c>
      <c r="Z109" s="34" t="str">
        <f>IF(Y109="","",IF(I$8="A",(RANK(Y109,Y$11:Y$368,1)+COUNTIF(Y$11:Y109,Y109)-1),(RANK(Y109,Y$11:Y$368)+COUNTIF(Y$11:Y109,Y109)-1)))</f>
        <v/>
      </c>
      <c r="AA109" s="188" t="str">
        <f>IF(L109="","",VLOOKUP($L109,classifications!C:I,7,FALSE))</f>
        <v>Predominantly Urban</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Hertfordshire</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East of England</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81.688187142593478</v>
      </c>
      <c r="AY109" s="103"/>
      <c r="AZ109" s="21"/>
    </row>
    <row r="110" spans="1:52">
      <c r="A110" s="56" t="str">
        <f>$D$1&amp;100</f>
        <v>SD100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82.994301123979568</v>
      </c>
      <c r="G110" s="71"/>
      <c r="H110" s="37" t="str">
        <f t="shared" si="27"/>
        <v/>
      </c>
      <c r="I110" s="77" t="str">
        <f>IF(H110="","",IF($I$8="A",(RANK(H110,H$11:H$368,1)+COUNTIF(H$11:H110,H110)-1),(RANK(H110,H$11:H$368)+COUNTIF(H$11:H110,H110)-1)))</f>
        <v/>
      </c>
      <c r="J110" s="35"/>
      <c r="K110" s="28">
        <f t="shared" si="35"/>
        <v>100</v>
      </c>
      <c r="L110" s="36" t="str">
        <f t="shared" si="28"/>
        <v>North East Derbyshire</v>
      </c>
      <c r="M110" s="102">
        <f t="shared" si="36"/>
        <v>82.305033352848682</v>
      </c>
      <c r="N110" s="101">
        <f t="shared" si="37"/>
        <v>82.305033352848682</v>
      </c>
      <c r="O110" s="94" t="str">
        <f t="shared" si="29"/>
        <v/>
      </c>
      <c r="P110" s="94" t="str">
        <f t="shared" si="45"/>
        <v/>
      </c>
      <c r="Q110" s="94">
        <f t="shared" si="46"/>
        <v>82.305033352848682</v>
      </c>
      <c r="R110" s="90" t="str">
        <f t="shared" si="47"/>
        <v/>
      </c>
      <c r="S110" s="37" t="str">
        <f t="shared" si="38"/>
        <v/>
      </c>
      <c r="T110" s="176">
        <f>IF(L110="","",VLOOKUP(L110,classifications!C:K,9,FALSE))</f>
        <v>0</v>
      </c>
      <c r="U110" s="183" t="str">
        <f t="shared" si="30"/>
        <v/>
      </c>
      <c r="V110" s="184" t="str">
        <f>IF(U110="","",IF($I$8="A",(RANK(U110,U$11:U$368)+COUNTIF(U$11:U110,U110)-1),(RANK(U110,U$11:U$368,1)+COUNTIF(U$11:U110,U110)-1)))</f>
        <v/>
      </c>
      <c r="W110" s="185"/>
      <c r="X110" s="38" t="str">
        <f>IF(L110="","",VLOOKUP($L110,classifications!$C:$J,6,FALSE))</f>
        <v>Urban with City and Town</v>
      </c>
      <c r="Y110" s="26" t="str">
        <f t="shared" si="31"/>
        <v/>
      </c>
      <c r="Z110" s="34" t="str">
        <f>IF(Y110="","",IF(I$8="A",(RANK(Y110,Y$11:Y$368,1)+COUNTIF(Y$11:Y110,Y110)-1),(RANK(Y110,Y$11:Y$368)+COUNTIF(Y$11:Y110,Y110)-1)))</f>
        <v/>
      </c>
      <c r="AA110" s="188" t="str">
        <f>IF(L110="","",VLOOKUP($L110,classifications!C:I,7,FALSE))</f>
        <v>Predominantly Urban</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Derbyshire</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East Midlands</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82.994301123979568</v>
      </c>
      <c r="AY110" s="103"/>
      <c r="AZ110" s="21"/>
    </row>
    <row r="111" spans="1:52">
      <c r="A111" s="56" t="str">
        <f>$D$1&amp;101</f>
        <v>SD101</v>
      </c>
      <c r="B111" s="57">
        <f>IF(ISERROR(VLOOKUP(A111,classifications!A:C,3,FALSE)),0,VLOOKUP(A111,classifications!A:C,3,FALSE))</f>
        <v>0</v>
      </c>
      <c r="C111" s="8" t="s">
        <v>60</v>
      </c>
      <c r="D111" s="26" t="str">
        <f>VLOOKUP($C111,classifications!$C:$J,4,FALSE)</f>
        <v>SD</v>
      </c>
      <c r="E111" s="26">
        <f>VLOOKUP(C111,classifications!C:K,9,FALSE)</f>
        <v>0</v>
      </c>
      <c r="F111" s="36">
        <f t="shared" si="26"/>
        <v>84.59649502432238</v>
      </c>
      <c r="G111" s="71"/>
      <c r="H111" s="37">
        <f t="shared" si="27"/>
        <v>84.59649502432238</v>
      </c>
      <c r="I111" s="77">
        <f>IF(H111="","",IF($I$8="A",(RANK(H111,H$11:H$368,1)+COUNTIF(H$11:H111,H111)-1),(RANK(H111,H$11:H$368)+COUNTIF(H$11:H111,H111)-1)))</f>
        <v>56</v>
      </c>
      <c r="J111" s="35"/>
      <c r="K111" s="28">
        <f t="shared" si="35"/>
        <v>101</v>
      </c>
      <c r="L111" s="36" t="str">
        <f t="shared" si="28"/>
        <v>Spelthorne</v>
      </c>
      <c r="M111" s="102">
        <f t="shared" si="36"/>
        <v>82.285651741674101</v>
      </c>
      <c r="N111" s="101">
        <f t="shared" si="37"/>
        <v>82.285651741674101</v>
      </c>
      <c r="O111" s="94" t="str">
        <f t="shared" si="29"/>
        <v/>
      </c>
      <c r="P111" s="94" t="str">
        <f t="shared" si="45"/>
        <v/>
      </c>
      <c r="Q111" s="94">
        <f t="shared" si="46"/>
        <v>82.285651741674101</v>
      </c>
      <c r="R111" s="90" t="str">
        <f t="shared" si="47"/>
        <v/>
      </c>
      <c r="S111" s="37" t="str">
        <f t="shared" si="38"/>
        <v/>
      </c>
      <c r="T111" s="176">
        <f>IF(L111="","",VLOOKUP(L111,classifications!C:K,9,FALSE))</f>
        <v>0</v>
      </c>
      <c r="U111" s="183" t="str">
        <f t="shared" si="30"/>
        <v/>
      </c>
      <c r="V111" s="184" t="str">
        <f>IF(U111="","",IF($I$8="A",(RANK(U111,U$11:U$368)+COUNTIF(U$11:U111,U111)-1),(RANK(U111,U$11:U$368,1)+COUNTIF(U$11:U111,U111)-1)))</f>
        <v/>
      </c>
      <c r="W111" s="185"/>
      <c r="X111" s="38" t="str">
        <f>IF(L111="","",VLOOKUP($L111,classifications!$C:$J,6,FALSE))</f>
        <v>Urban with Major Conurbation</v>
      </c>
      <c r="Y111" s="26" t="str">
        <f t="shared" si="31"/>
        <v/>
      </c>
      <c r="Z111" s="34" t="str">
        <f>IF(Y111="","",IF(I$8="A",(RANK(Y111,Y$11:Y$368,1)+COUNTIF(Y$11:Y111,Y111)-1),(RANK(Y111,Y$11:Y$368)+COUNTIF(Y$11:Y111,Y111)-1)))</f>
        <v/>
      </c>
      <c r="AA111" s="188" t="str">
        <f>IF(L111="","",VLOOKUP($L111,classifications!C:I,7,FALSE))</f>
        <v>Predominantly Urban</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Surrey</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South East</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84.59649502432238</v>
      </c>
      <c r="AY111" s="103"/>
      <c r="AZ111" s="21"/>
    </row>
    <row r="112" spans="1:52">
      <c r="A112" s="56" t="str">
        <f>$D$1&amp;102</f>
        <v>SD102</v>
      </c>
      <c r="B112" s="57">
        <f>IF(ISERROR(VLOOKUP(A112,classifications!A:C,3,FALSE)),0,VLOOKUP(A112,classifications!A:C,3,FALSE))</f>
        <v>0</v>
      </c>
      <c r="C112" s="8" t="s">
        <v>61</v>
      </c>
      <c r="D112" s="26" t="str">
        <f>VLOOKUP($C112,classifications!$C:$J,4,FALSE)</f>
        <v>SD</v>
      </c>
      <c r="E112" s="26">
        <f>VLOOKUP(C112,classifications!C:K,9,FALSE)</f>
        <v>0</v>
      </c>
      <c r="F112" s="36">
        <f t="shared" si="26"/>
        <v>83.542192231378465</v>
      </c>
      <c r="G112" s="71"/>
      <c r="H112" s="37">
        <f t="shared" si="27"/>
        <v>83.542192231378465</v>
      </c>
      <c r="I112" s="77">
        <f>IF(H112="","",IF($I$8="A",(RANK(H112,H$11:H$368,1)+COUNTIF(H$11:H112,H112)-1),(RANK(H112,H$11:H$368)+COUNTIF(H$11:H112,H112)-1)))</f>
        <v>81</v>
      </c>
      <c r="J112" s="35"/>
      <c r="K112" s="28">
        <f t="shared" si="35"/>
        <v>102</v>
      </c>
      <c r="L112" s="36" t="str">
        <f t="shared" si="28"/>
        <v>Dartford</v>
      </c>
      <c r="M112" s="102">
        <f t="shared" si="36"/>
        <v>82.262658428886581</v>
      </c>
      <c r="N112" s="101">
        <f t="shared" si="37"/>
        <v>82.262658428886581</v>
      </c>
      <c r="O112" s="94" t="str">
        <f t="shared" si="29"/>
        <v/>
      </c>
      <c r="P112" s="94" t="str">
        <f t="shared" si="45"/>
        <v/>
      </c>
      <c r="Q112" s="94">
        <f t="shared" si="46"/>
        <v>82.262658428886581</v>
      </c>
      <c r="R112" s="90" t="str">
        <f t="shared" si="47"/>
        <v/>
      </c>
      <c r="S112" s="37" t="str">
        <f t="shared" si="38"/>
        <v/>
      </c>
      <c r="T112" s="176">
        <f>IF(L112="","",VLOOKUP(L112,classifications!C:K,9,FALSE))</f>
        <v>0</v>
      </c>
      <c r="U112" s="183" t="str">
        <f t="shared" si="30"/>
        <v/>
      </c>
      <c r="V112" s="184" t="str">
        <f>IF(U112="","",IF($I$8="A",(RANK(U112,U$11:U$368)+COUNTIF(U$11:U112,U112)-1),(RANK(U112,U$11:U$368,1)+COUNTIF(U$11:U112,U112)-1)))</f>
        <v/>
      </c>
      <c r="W112" s="185"/>
      <c r="X112" s="38" t="str">
        <f>IF(L112="","",VLOOKUP($L112,classifications!$C:$J,6,FALSE))</f>
        <v>Urban with Major Conurbation</v>
      </c>
      <c r="Y112" s="26" t="str">
        <f t="shared" si="31"/>
        <v/>
      </c>
      <c r="Z112" s="34" t="str">
        <f>IF(Y112="","",IF(I$8="A",(RANK(Y112,Y$11:Y$368,1)+COUNTIF(Y$11:Y112,Y112)-1),(RANK(Y112,Y$11:Y$368)+COUNTIF(Y$11:Y112,Y112)-1)))</f>
        <v/>
      </c>
      <c r="AA112" s="188" t="str">
        <f>IF(L112="","",VLOOKUP($L112,classifications!C:I,7,FALSE))</f>
        <v>Predominantly Urban</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Kent</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South East</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83.542192231378465</v>
      </c>
      <c r="AY112" s="103"/>
      <c r="AZ112" s="21"/>
    </row>
    <row r="113" spans="1:52">
      <c r="A113" s="56" t="str">
        <f>$D$1&amp;103</f>
        <v>SD103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85.470285287194898</v>
      </c>
      <c r="G113" s="71"/>
      <c r="H113" s="37">
        <f t="shared" si="27"/>
        <v>85.470285287194898</v>
      </c>
      <c r="I113" s="77">
        <f>IF(H113="","",IF($I$8="A",(RANK(H113,H$11:H$368,1)+COUNTIF(H$11:H113,H113)-1),(RANK(H113,H$11:H$368)+COUNTIF(H$11:H113,H113)-1)))</f>
        <v>44</v>
      </c>
      <c r="J113" s="35"/>
      <c r="K113" s="28">
        <f t="shared" si="35"/>
        <v>103</v>
      </c>
      <c r="L113" s="36" t="str">
        <f t="shared" si="28"/>
        <v>Ryedale</v>
      </c>
      <c r="M113" s="102">
        <f t="shared" si="36"/>
        <v>82.233358963034703</v>
      </c>
      <c r="N113" s="101">
        <f t="shared" si="37"/>
        <v>82.233358963034703</v>
      </c>
      <c r="O113" s="94" t="str">
        <f t="shared" si="29"/>
        <v/>
      </c>
      <c r="P113" s="94" t="str">
        <f t="shared" si="45"/>
        <v/>
      </c>
      <c r="Q113" s="94">
        <f t="shared" si="46"/>
        <v>82.233358963034703</v>
      </c>
      <c r="R113" s="90" t="str">
        <f t="shared" si="47"/>
        <v/>
      </c>
      <c r="S113" s="37" t="str">
        <f t="shared" si="38"/>
        <v/>
      </c>
      <c r="T113" s="176" t="str">
        <f>IF(L113="","",VLOOKUP(L113,classifications!C:K,9,FALSE))</f>
        <v>Sparse</v>
      </c>
      <c r="U113" s="183">
        <f t="shared" si="30"/>
        <v>82.233358963034703</v>
      </c>
      <c r="V113" s="184">
        <f>IF(U113="","",IF($I$8="A",(RANK(U113,U$11:U$368)+COUNTIF(U$11:U113,U113)-1),(RANK(U113,U$11:U$368,1)+COUNTIF(U$11:U113,U113)-1)))</f>
        <v>33</v>
      </c>
      <c r="W113" s="185"/>
      <c r="X113" s="38" t="str">
        <f>IF(L113="","",VLOOKUP($L113,classifications!$C:$J,6,FALSE))</f>
        <v xml:space="preserve">Mainly Rural (rural including hub towns &gt;=80%) </v>
      </c>
      <c r="Y113" s="26">
        <f t="shared" si="31"/>
        <v>82.233358963034703</v>
      </c>
      <c r="Z113" s="34">
        <f>IF(Y113="","",IF(I$8="A",(RANK(Y113,Y$11:Y$368,1)+COUNTIF(Y$11:Y113,Y113)-1),(RANK(Y113,Y$11:Y$368)+COUNTIF(Y$11:Y113,Y113)-1)))</f>
        <v>23</v>
      </c>
      <c r="AA113" s="188" t="str">
        <f>IF(L113="","",VLOOKUP($L113,classifications!C:I,7,FALSE))</f>
        <v>Predominantly Rural</v>
      </c>
      <c r="AB113" s="184">
        <f t="shared" si="39"/>
        <v>82.233358963034703</v>
      </c>
      <c r="AC113" s="184">
        <f>IF(AB113="","",IF($I$8="A",(RANK(AB113,AB$11:AB$368)+COUNTIF(AB$11:AB113,AB113)-1),(RANK(AB113,AB$11:AB$368,1)+COUNTIF(AB$11:AB113,AB113)-1)))</f>
        <v>31</v>
      </c>
      <c r="AD113" s="184"/>
      <c r="AE113" s="28" t="str">
        <f t="shared" si="49"/>
        <v/>
      </c>
      <c r="AG113" s="96"/>
      <c r="AH113" s="29"/>
      <c r="AI113" s="38" t="str">
        <f>IF(L113="","",VLOOKUP($L113,classifications!$C:$J,8,FALSE))</f>
        <v>North Yorkshire</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Yorkshire &amp; Humberside</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85.470285287194898</v>
      </c>
      <c r="AY113" s="103"/>
      <c r="AZ113" s="21"/>
    </row>
    <row r="114" spans="1:52">
      <c r="A114" s="56" t="str">
        <f>$D$1&amp;104</f>
        <v>SD104</v>
      </c>
      <c r="B114" s="57">
        <f>IF(ISERROR(VLOOKUP(A114,classifications!A:C,3,FALSE)),0,VLOOKUP(A114,classifications!A:C,3,FALSE))</f>
        <v>0</v>
      </c>
      <c r="C114" s="8" t="s">
        <v>63</v>
      </c>
      <c r="D114" s="26" t="str">
        <f>VLOOKUP($C114,classifications!$C:$J,4,FALSE)</f>
        <v>SD</v>
      </c>
      <c r="E114" s="26">
        <f>VLOOKUP(C114,classifications!C:K,9,FALSE)</f>
        <v>0</v>
      </c>
      <c r="F114" s="36">
        <f t="shared" si="26"/>
        <v>88.850306199577062</v>
      </c>
      <c r="G114" s="71"/>
      <c r="H114" s="37">
        <f t="shared" si="27"/>
        <v>88.850306199577062</v>
      </c>
      <c r="I114" s="77">
        <f>IF(H114="","",IF($I$8="A",(RANK(H114,H$11:H$368,1)+COUNTIF(H$11:H114,H114)-1),(RANK(H114,H$11:H$368)+COUNTIF(H$11:H114,H114)-1)))</f>
        <v>7</v>
      </c>
      <c r="J114" s="35"/>
      <c r="K114" s="28">
        <f t="shared" si="35"/>
        <v>104</v>
      </c>
      <c r="L114" s="36" t="str">
        <f t="shared" si="28"/>
        <v>Craven</v>
      </c>
      <c r="M114" s="102">
        <f t="shared" si="36"/>
        <v>82.232358007265006</v>
      </c>
      <c r="N114" s="101">
        <f t="shared" si="37"/>
        <v>82.232358007265006</v>
      </c>
      <c r="O114" s="94" t="str">
        <f t="shared" si="29"/>
        <v/>
      </c>
      <c r="P114" s="94" t="str">
        <f t="shared" si="45"/>
        <v/>
      </c>
      <c r="Q114" s="94">
        <f t="shared" si="46"/>
        <v>82.232358007265006</v>
      </c>
      <c r="R114" s="90" t="str">
        <f t="shared" si="47"/>
        <v/>
      </c>
      <c r="S114" s="37" t="str">
        <f t="shared" si="38"/>
        <v/>
      </c>
      <c r="T114" s="176" t="str">
        <f>IF(L114="","",VLOOKUP(L114,classifications!C:K,9,FALSE))</f>
        <v>Sparse</v>
      </c>
      <c r="U114" s="183">
        <f t="shared" si="30"/>
        <v>82.232358007265006</v>
      </c>
      <c r="V114" s="184">
        <f>IF(U114="","",IF($I$8="A",(RANK(U114,U$11:U$368)+COUNTIF(U$11:U114,U114)-1),(RANK(U114,U$11:U$368,1)+COUNTIF(U$11:U114,U114)-1)))</f>
        <v>32</v>
      </c>
      <c r="W114" s="185"/>
      <c r="X114" s="38" t="str">
        <f>IF(L114="","",VLOOKUP($L114,classifications!$C:$J,6,FALSE))</f>
        <v xml:space="preserve">Mainly Rural (rural including hub towns &gt;=80%) </v>
      </c>
      <c r="Y114" s="26">
        <f t="shared" si="31"/>
        <v>82.232358007265006</v>
      </c>
      <c r="Z114" s="34">
        <f>IF(Y114="","",IF(I$8="A",(RANK(Y114,Y$11:Y$368,1)+COUNTIF(Y$11:Y114,Y114)-1),(RANK(Y114,Y$11:Y$368)+COUNTIF(Y$11:Y114,Y114)-1)))</f>
        <v>24</v>
      </c>
      <c r="AA114" s="188" t="str">
        <f>IF(L114="","",VLOOKUP($L114,classifications!C:I,7,FALSE))</f>
        <v>Predominantly Rural</v>
      </c>
      <c r="AB114" s="184">
        <f t="shared" si="39"/>
        <v>82.232358007265006</v>
      </c>
      <c r="AC114" s="184">
        <f>IF(AB114="","",IF($I$8="A",(RANK(AB114,AB$11:AB$368)+COUNTIF(AB$11:AB114,AB114)-1),(RANK(AB114,AB$11:AB$368,1)+COUNTIF(AB$11:AB114,AB114)-1)))</f>
        <v>30</v>
      </c>
      <c r="AD114" s="184"/>
      <c r="AE114" s="28" t="str">
        <f t="shared" si="49"/>
        <v/>
      </c>
      <c r="AG114" s="96"/>
      <c r="AH114" s="29"/>
      <c r="AI114" s="38" t="str">
        <f>IF(L114="","",VLOOKUP($L114,classifications!$C:$J,8,FALSE))</f>
        <v>North Yorkshire</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Yorkshire &amp; Humberside</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88.850306199577062</v>
      </c>
      <c r="AY114" s="103"/>
      <c r="AZ114" s="21"/>
    </row>
    <row r="115" spans="1:52">
      <c r="A115" s="56" t="str">
        <f>$D$1&amp;105</f>
        <v>SD105</v>
      </c>
      <c r="B115" s="57">
        <f>IF(ISERROR(VLOOKUP(A115,classifications!A:C,3,FALSE)),0,VLOOKUP(A115,classifications!A:C,3,FALSE))</f>
        <v>0</v>
      </c>
      <c r="C115" s="8" t="s">
        <v>203</v>
      </c>
      <c r="D115" s="26" t="str">
        <f>VLOOKUP($C115,classifications!$C:$J,4,FALSE)</f>
        <v>L</v>
      </c>
      <c r="E115" s="26">
        <f>VLOOKUP(C115,classifications!C:K,9,FALSE)</f>
        <v>0</v>
      </c>
      <c r="F115" s="36">
        <f t="shared" si="26"/>
        <v>79.600137046892854</v>
      </c>
      <c r="G115" s="71"/>
      <c r="H115" s="37" t="str">
        <f t="shared" si="27"/>
        <v/>
      </c>
      <c r="I115" s="77" t="str">
        <f>IF(H115="","",IF($I$8="A",(RANK(H115,H$11:H$368,1)+COUNTIF(H$11:H115,H115)-1),(RANK(H115,H$11:H$368)+COUNTIF(H$11:H115,H115)-1)))</f>
        <v/>
      </c>
      <c r="J115" s="35"/>
      <c r="K115" s="28">
        <f t="shared" si="35"/>
        <v>105</v>
      </c>
      <c r="L115" s="36" t="str">
        <f t="shared" si="28"/>
        <v>Barrow-in-Furness</v>
      </c>
      <c r="M115" s="102">
        <f t="shared" si="36"/>
        <v>82.166266846252938</v>
      </c>
      <c r="N115" s="101">
        <f t="shared" si="37"/>
        <v>82.166266846252938</v>
      </c>
      <c r="O115" s="94" t="str">
        <f t="shared" si="29"/>
        <v/>
      </c>
      <c r="P115" s="94" t="str">
        <f t="shared" si="45"/>
        <v/>
      </c>
      <c r="Q115" s="94">
        <f t="shared" si="46"/>
        <v>82.166266846252938</v>
      </c>
      <c r="R115" s="90" t="str">
        <f t="shared" si="47"/>
        <v/>
      </c>
      <c r="S115" s="37" t="str">
        <f t="shared" si="38"/>
        <v/>
      </c>
      <c r="T115" s="176">
        <f>IF(L115="","",VLOOKUP(L115,classifications!C:K,9,FALSE))</f>
        <v>0</v>
      </c>
      <c r="U115" s="183" t="str">
        <f t="shared" si="30"/>
        <v/>
      </c>
      <c r="V115" s="184" t="str">
        <f>IF(U115="","",IF($I$8="A",(RANK(U115,U$11:U$368)+COUNTIF(U$11:U115,U115)-1),(RANK(U115,U$11:U$368,1)+COUNTIF(U$11:U115,U115)-1)))</f>
        <v/>
      </c>
      <c r="W115" s="185"/>
      <c r="X115" s="38" t="str">
        <f>IF(L115="","",VLOOKUP($L115,classifications!$C:$J,6,FALSE))</f>
        <v>Urban with Significant Rural (rural including hub towns 26-49%)</v>
      </c>
      <c r="Y115" s="26" t="str">
        <f t="shared" si="31"/>
        <v/>
      </c>
      <c r="Z115" s="34" t="str">
        <f>IF(Y115="","",IF(I$8="A",(RANK(Y115,Y$11:Y$368,1)+COUNTIF(Y$11:Y115,Y115)-1),(RANK(Y115,Y$11:Y$368)+COUNTIF(Y$11:Y115,Y115)-1)))</f>
        <v/>
      </c>
      <c r="AA115" s="188" t="str">
        <f>IF(L115="","",VLOOKUP($L115,classifications!C:I,7,FALSE))</f>
        <v>Significant Rural</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Cumbria</v>
      </c>
      <c r="AJ115" s="39">
        <f t="shared" si="32"/>
        <v>82.166266846252938</v>
      </c>
      <c r="AK115" s="34">
        <f>IF(AJ115="","",IF(I$8="A",(RANK(AJ115,AJ$11:AJ$368,1)+COUNTIF(AJ$11:AJ115,AJ115)-1),(RANK(AJ115,AJ$11:AJ$368)+COUNTIF(AJ$11:AJ115,AJ115)-1)))</f>
        <v>3</v>
      </c>
      <c r="AL115" s="29" t="str">
        <f t="shared" si="40"/>
        <v/>
      </c>
      <c r="AM115" s="8" t="str">
        <f t="shared" si="33"/>
        <v/>
      </c>
      <c r="AN115" s="8" t="str">
        <f t="shared" si="41"/>
        <v/>
      </c>
      <c r="AP115" s="38" t="str">
        <f>IF(L115="","",VLOOKUP($L115,classifications!$C:$E,3,FALSE))</f>
        <v>North West</v>
      </c>
      <c r="AQ115" s="39">
        <f t="shared" si="42"/>
        <v>82.166266846252938</v>
      </c>
      <c r="AR115" s="34">
        <f>IF(AQ115="","",IF(I$8="A",(RANK(AQ115,AQ$11:AQ$368,1)+COUNTIF(AQ$11:AQ115,AQ115)-1),(RANK(AQ115,AQ$11:AQ$368)+COUNTIF(AQ$11:AQ115,AQ115)-1)))</f>
        <v>6</v>
      </c>
      <c r="AS115" s="29" t="str">
        <f t="shared" si="43"/>
        <v/>
      </c>
      <c r="AT115" s="34" t="str">
        <f t="shared" si="34"/>
        <v/>
      </c>
      <c r="AU115" s="39" t="str">
        <f t="shared" si="48"/>
        <v/>
      </c>
      <c r="AX115" s="21">
        <f>HLOOKUP($AX$9&amp;$AX$10,Data!$A$1:$ZZ$2000,(MATCH($C115,Data!$A$1:$A$2000,0)),FALSE)</f>
        <v>79.600137046892854</v>
      </c>
      <c r="AY115" s="103"/>
      <c r="AZ115" s="21"/>
    </row>
    <row r="116" spans="1:52">
      <c r="A116" s="56" t="str">
        <f>$D$1&amp;106</f>
        <v>SD106</v>
      </c>
      <c r="B116" s="57">
        <f>IF(ISERROR(VLOOKUP(A116,classifications!A:C,3,FALSE)),0,VLOOKUP(A116,classifications!A:C,3,FALSE))</f>
        <v>0</v>
      </c>
      <c r="C116" s="8" t="s">
        <v>64</v>
      </c>
      <c r="D116" s="26" t="str">
        <f>VLOOKUP($C116,classifications!$C:$J,4,FALSE)</f>
        <v>SD</v>
      </c>
      <c r="E116" s="26">
        <f>VLOOKUP(C116,classifications!C:K,9,FALSE)</f>
        <v>0</v>
      </c>
      <c r="F116" s="36">
        <f t="shared" si="26"/>
        <v>82.61342625664426</v>
      </c>
      <c r="G116" s="71"/>
      <c r="H116" s="37">
        <f t="shared" si="27"/>
        <v>82.61342625664426</v>
      </c>
      <c r="I116" s="77">
        <f>IF(H116="","",IF($I$8="A",(RANK(H116,H$11:H$368,1)+COUNTIF(H$11:H116,H116)-1),(RANK(H116,H$11:H$368)+COUNTIF(H$11:H116,H116)-1)))</f>
        <v>94</v>
      </c>
      <c r="J116" s="35"/>
      <c r="K116" s="28">
        <f t="shared" si="35"/>
        <v>106</v>
      </c>
      <c r="L116" s="36" t="str">
        <f t="shared" si="28"/>
        <v>Wealden</v>
      </c>
      <c r="M116" s="102">
        <f t="shared" si="36"/>
        <v>82.162549633028988</v>
      </c>
      <c r="N116" s="101">
        <f t="shared" si="37"/>
        <v>82.162549633028988</v>
      </c>
      <c r="O116" s="94" t="str">
        <f t="shared" si="29"/>
        <v/>
      </c>
      <c r="P116" s="94" t="str">
        <f t="shared" si="45"/>
        <v/>
      </c>
      <c r="Q116" s="94">
        <f t="shared" si="46"/>
        <v>82.162549633028988</v>
      </c>
      <c r="R116" s="90" t="str">
        <f t="shared" si="47"/>
        <v/>
      </c>
      <c r="S116" s="37" t="str">
        <f t="shared" si="38"/>
        <v/>
      </c>
      <c r="T116" s="176" t="str">
        <f>IF(L116="","",VLOOKUP(L116,classifications!C:K,9,FALSE))</f>
        <v>Sparse</v>
      </c>
      <c r="U116" s="183">
        <f t="shared" si="30"/>
        <v>82.162549633028988</v>
      </c>
      <c r="V116" s="184">
        <f>IF(U116="","",IF($I$8="A",(RANK(U116,U$11:U$368)+COUNTIF(U$11:U116,U116)-1),(RANK(U116,U$11:U$368,1)+COUNTIF(U$11:U116,U116)-1)))</f>
        <v>31</v>
      </c>
      <c r="W116" s="185"/>
      <c r="X116" s="38" t="str">
        <f>IF(L116="","",VLOOKUP($L116,classifications!$C:$J,6,FALSE))</f>
        <v xml:space="preserve">Mainly Rural (rural including hub towns &gt;=80%) </v>
      </c>
      <c r="Y116" s="26">
        <f t="shared" si="31"/>
        <v>82.162549633028988</v>
      </c>
      <c r="Z116" s="34">
        <f>IF(Y116="","",IF(I$8="A",(RANK(Y116,Y$11:Y$368,1)+COUNTIF(Y$11:Y116,Y116)-1),(RANK(Y116,Y$11:Y$368)+COUNTIF(Y$11:Y116,Y116)-1)))</f>
        <v>25</v>
      </c>
      <c r="AA116" s="188" t="str">
        <f>IF(L116="","",VLOOKUP($L116,classifications!C:I,7,FALSE))</f>
        <v>Predominantly Rural</v>
      </c>
      <c r="AB116" s="184">
        <f t="shared" si="39"/>
        <v>82.162549633028988</v>
      </c>
      <c r="AC116" s="184">
        <f>IF(AB116="","",IF($I$8="A",(RANK(AB116,AB$11:AB$368)+COUNTIF(AB$11:AB116,AB116)-1),(RANK(AB116,AB$11:AB$368,1)+COUNTIF(AB$11:AB116,AB116)-1)))</f>
        <v>29</v>
      </c>
      <c r="AD116" s="184"/>
      <c r="AE116" s="28" t="str">
        <f t="shared" si="49"/>
        <v/>
      </c>
      <c r="AG116" s="96"/>
      <c r="AH116" s="29"/>
      <c r="AI116" s="38" t="str">
        <f>IF(L116="","",VLOOKUP($L116,classifications!$C:$J,8,FALSE))</f>
        <v>East Sussex</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South East</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82.61342625664426</v>
      </c>
      <c r="AY116" s="103"/>
      <c r="AZ116" s="21"/>
    </row>
    <row r="117" spans="1:52">
      <c r="A117" s="56" t="str">
        <f>$D$1&amp;107</f>
        <v>SD107</v>
      </c>
      <c r="B117" s="57">
        <f>IF(ISERROR(VLOOKUP(A117,classifications!A:C,3,FALSE)),0,VLOOKUP(A117,classifications!A:C,3,FALSE))</f>
        <v>0</v>
      </c>
      <c r="C117" s="8" t="s">
        <v>343</v>
      </c>
      <c r="D117" s="26" t="str">
        <f>VLOOKUP($C117,classifications!$C:$J,4,FALSE)</f>
        <v>SD</v>
      </c>
      <c r="E117" s="26">
        <f>VLOOKUP(C117,classifications!C:K,9,FALSE)</f>
        <v>0</v>
      </c>
      <c r="F117" s="36">
        <f t="shared" si="26"/>
        <v>86.93318830237007</v>
      </c>
      <c r="G117" s="71"/>
      <c r="H117" s="37">
        <f t="shared" si="27"/>
        <v>86.93318830237007</v>
      </c>
      <c r="I117" s="77">
        <f>IF(H117="","",IF($I$8="A",(RANK(H117,H$11:H$368,1)+COUNTIF(H$11:H117,H117)-1),(RANK(H117,H$11:H$368)+COUNTIF(H$11:H117,H117)-1)))</f>
        <v>20</v>
      </c>
      <c r="J117" s="35"/>
      <c r="K117" s="28">
        <f t="shared" si="35"/>
        <v>107</v>
      </c>
      <c r="L117" s="36" t="str">
        <f t="shared" si="28"/>
        <v>Castle Point</v>
      </c>
      <c r="M117" s="102">
        <f t="shared" si="36"/>
        <v>82.144881546139516</v>
      </c>
      <c r="N117" s="101">
        <f t="shared" si="37"/>
        <v>82.144881546139516</v>
      </c>
      <c r="O117" s="94" t="str">
        <f t="shared" si="29"/>
        <v/>
      </c>
      <c r="P117" s="94" t="str">
        <f t="shared" si="45"/>
        <v/>
      </c>
      <c r="Q117" s="94">
        <f t="shared" si="46"/>
        <v>82.144881546139516</v>
      </c>
      <c r="R117" s="90" t="str">
        <f t="shared" si="47"/>
        <v/>
      </c>
      <c r="S117" s="37" t="str">
        <f t="shared" si="38"/>
        <v/>
      </c>
      <c r="T117" s="176">
        <f>IF(L117="","",VLOOKUP(L117,classifications!C:K,9,FALSE))</f>
        <v>0</v>
      </c>
      <c r="U117" s="183" t="str">
        <f t="shared" si="30"/>
        <v/>
      </c>
      <c r="V117" s="184" t="str">
        <f>IF(U117="","",IF($I$8="A",(RANK(U117,U$11:U$368)+COUNTIF(U$11:U117,U117)-1),(RANK(U117,U$11:U$368,1)+COUNTIF(U$11:U117,U117)-1)))</f>
        <v/>
      </c>
      <c r="W117" s="185"/>
      <c r="X117" s="38" t="str">
        <f>IF(L117="","",VLOOKUP($L117,classifications!$C:$J,6,FALSE))</f>
        <v>Urban with City and Town</v>
      </c>
      <c r="Y117" s="26" t="str">
        <f t="shared" si="31"/>
        <v/>
      </c>
      <c r="Z117" s="34" t="str">
        <f>IF(Y117="","",IF(I$8="A",(RANK(Y117,Y$11:Y$368,1)+COUNTIF(Y$11:Y117,Y117)-1),(RANK(Y117,Y$11:Y$368)+COUNTIF(Y$11:Y117,Y117)-1)))</f>
        <v/>
      </c>
      <c r="AA117" s="188" t="str">
        <f>IF(L117="","",VLOOKUP($L117,classifications!C:I,7,FALSE))</f>
        <v>Predominantly Urban</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Essex</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East of England</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86.93318830237007</v>
      </c>
      <c r="AY117" s="103"/>
      <c r="AZ117" s="21"/>
    </row>
    <row r="118" spans="1:52">
      <c r="A118" s="56" t="str">
        <f>$D$1&amp;108</f>
        <v>SD108</v>
      </c>
      <c r="B118" s="57">
        <f>IF(ISERROR(VLOOKUP(A118,classifications!A:C,3,FALSE)),0,VLOOKUP(A118,classifications!A:C,3,FALSE))</f>
        <v>0</v>
      </c>
      <c r="C118" s="8" t="s">
        <v>65</v>
      </c>
      <c r="D118" s="26" t="str">
        <f>VLOOKUP($C118,classifications!$C:$J,4,FALSE)</f>
        <v>SD</v>
      </c>
      <c r="E118" s="26">
        <f>VLOOKUP(C118,classifications!C:K,9,FALSE)</f>
        <v>0</v>
      </c>
      <c r="F118" s="36">
        <f t="shared" si="26"/>
        <v>78.473297784856797</v>
      </c>
      <c r="G118" s="71"/>
      <c r="H118" s="37">
        <f t="shared" si="27"/>
        <v>78.473297784856797</v>
      </c>
      <c r="I118" s="77">
        <f>IF(H118="","",IF($I$8="A",(RANK(H118,H$11:H$368,1)+COUNTIF(H$11:H118,H118)-1),(RANK(H118,H$11:H$368)+COUNTIF(H$11:H118,H118)-1)))</f>
        <v>160</v>
      </c>
      <c r="J118" s="35"/>
      <c r="K118" s="28">
        <f t="shared" si="35"/>
        <v>108</v>
      </c>
      <c r="L118" s="36" t="str">
        <f t="shared" si="28"/>
        <v>Selby</v>
      </c>
      <c r="M118" s="102">
        <f t="shared" si="36"/>
        <v>82.07013394594594</v>
      </c>
      <c r="N118" s="101">
        <f t="shared" si="37"/>
        <v>82.07013394594594</v>
      </c>
      <c r="O118" s="94" t="str">
        <f t="shared" si="29"/>
        <v/>
      </c>
      <c r="P118" s="94" t="str">
        <f t="shared" si="45"/>
        <v/>
      </c>
      <c r="Q118" s="94">
        <f t="shared" si="46"/>
        <v>82.07013394594594</v>
      </c>
      <c r="R118" s="90" t="str">
        <f t="shared" si="47"/>
        <v/>
      </c>
      <c r="S118" s="37" t="str">
        <f t="shared" si="38"/>
        <v/>
      </c>
      <c r="T118" s="176" t="str">
        <f>IF(L118="","",VLOOKUP(L118,classifications!C:K,9,FALSE))</f>
        <v>Sparse</v>
      </c>
      <c r="U118" s="183">
        <f t="shared" si="30"/>
        <v>82.07013394594594</v>
      </c>
      <c r="V118" s="184">
        <f>IF(U118="","",IF($I$8="A",(RANK(U118,U$11:U$368)+COUNTIF(U$11:U118,U118)-1),(RANK(U118,U$11:U$368,1)+COUNTIF(U$11:U118,U118)-1)))</f>
        <v>30</v>
      </c>
      <c r="W118" s="185"/>
      <c r="X118" s="38" t="str">
        <f>IF(L118="","",VLOOKUP($L118,classifications!$C:$J,6,FALSE))</f>
        <v xml:space="preserve">Mainly Rural (rural including hub towns &gt;=80%) </v>
      </c>
      <c r="Y118" s="26">
        <f t="shared" si="31"/>
        <v>82.07013394594594</v>
      </c>
      <c r="Z118" s="34">
        <f>IF(Y118="","",IF(I$8="A",(RANK(Y118,Y$11:Y$368,1)+COUNTIF(Y$11:Y118,Y118)-1),(RANK(Y118,Y$11:Y$368)+COUNTIF(Y$11:Y118,Y118)-1)))</f>
        <v>26</v>
      </c>
      <c r="AA118" s="188" t="str">
        <f>IF(L118="","",VLOOKUP($L118,classifications!C:I,7,FALSE))</f>
        <v>Predominantly Rural</v>
      </c>
      <c r="AB118" s="184">
        <f t="shared" si="39"/>
        <v>82.07013394594594</v>
      </c>
      <c r="AC118" s="184">
        <f>IF(AB118="","",IF($I$8="A",(RANK(AB118,AB$11:AB$368)+COUNTIF(AB$11:AB118,AB118)-1),(RANK(AB118,AB$11:AB$368,1)+COUNTIF(AB$11:AB118,AB118)-1)))</f>
        <v>28</v>
      </c>
      <c r="AD118" s="184"/>
      <c r="AE118" s="28" t="str">
        <f t="shared" si="49"/>
        <v/>
      </c>
      <c r="AG118" s="96"/>
      <c r="AH118" s="29"/>
      <c r="AI118" s="38" t="str">
        <f>IF(L118="","",VLOOKUP($L118,classifications!$C:$J,8,FALSE))</f>
        <v>North Yorkshire</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Yorkshire &amp; Humberside</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78.473297784856797</v>
      </c>
      <c r="AY118" s="103"/>
      <c r="AZ118" s="21"/>
    </row>
    <row r="119" spans="1:52">
      <c r="A119" s="56" t="str">
        <f>$D$1&amp;109</f>
        <v>SD109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82.703378459238934</v>
      </c>
      <c r="G119" s="71"/>
      <c r="H119" s="37" t="str">
        <f t="shared" si="27"/>
        <v/>
      </c>
      <c r="I119" s="77" t="str">
        <f>IF(H119="","",IF($I$8="A",(RANK(H119,H$11:H$368,1)+COUNTIF(H$11:H119,H119)-1),(RANK(H119,H$11:H$368)+COUNTIF(H$11:H119,H119)-1)))</f>
        <v/>
      </c>
      <c r="J119" s="35"/>
      <c r="K119" s="28">
        <f t="shared" si="35"/>
        <v>109</v>
      </c>
      <c r="L119" s="36" t="str">
        <f t="shared" si="28"/>
        <v>Amber Valley</v>
      </c>
      <c r="M119" s="102">
        <f t="shared" si="36"/>
        <v>81.9033742825373</v>
      </c>
      <c r="N119" s="101">
        <f t="shared" si="37"/>
        <v>81.9033742825373</v>
      </c>
      <c r="O119" s="94" t="str">
        <f t="shared" si="29"/>
        <v/>
      </c>
      <c r="P119" s="94" t="str">
        <f t="shared" si="45"/>
        <v/>
      </c>
      <c r="Q119" s="94">
        <f t="shared" si="46"/>
        <v>81.9033742825373</v>
      </c>
      <c r="R119" s="90" t="str">
        <f t="shared" si="47"/>
        <v/>
      </c>
      <c r="S119" s="37" t="str">
        <f t="shared" si="38"/>
        <v/>
      </c>
      <c r="T119" s="176">
        <f>IF(L119="","",VLOOKUP(L119,classifications!C:K,9,FALSE))</f>
        <v>0</v>
      </c>
      <c r="U119" s="183" t="str">
        <f t="shared" si="30"/>
        <v/>
      </c>
      <c r="V119" s="184" t="str">
        <f>IF(U119="","",IF($I$8="A",(RANK(U119,U$11:U$368)+COUNTIF(U$11:U119,U119)-1),(RANK(U119,U$11:U$368,1)+COUNTIF(U$11:U119,U119)-1)))</f>
        <v/>
      </c>
      <c r="W119" s="185"/>
      <c r="X119" s="38" t="str">
        <f>IF(L119="","",VLOOKUP($L119,classifications!$C:$J,6,FALSE))</f>
        <v>Urban with Minor Conurbation</v>
      </c>
      <c r="Y119" s="26" t="str">
        <f t="shared" si="31"/>
        <v/>
      </c>
      <c r="Z119" s="34" t="str">
        <f>IF(Y119="","",IF(I$8="A",(RANK(Y119,Y$11:Y$368,1)+COUNTIF(Y$11:Y119,Y119)-1),(RANK(Y119,Y$11:Y$368)+COUNTIF(Y$11:Y119,Y119)-1)))</f>
        <v/>
      </c>
      <c r="AA119" s="188" t="str">
        <f>IF(L119="","",VLOOKUP($L119,classifications!C:I,7,FALSE))</f>
        <v>Predominantly Urban</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Derbyshire</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East Midlands</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82.703378459238934</v>
      </c>
      <c r="AY119" s="103"/>
      <c r="AZ119" s="21"/>
    </row>
    <row r="120" spans="1:52">
      <c r="A120" s="56" t="str">
        <f>$D$1&amp;110</f>
        <v>SD110</v>
      </c>
      <c r="B120" s="57">
        <f>IF(ISERROR(VLOOKUP(A120,classifications!A:C,3,FALSE)),0,VLOOKUP(A120,classifications!A:C,3,FALSE))</f>
        <v>0</v>
      </c>
      <c r="C120" s="8" t="s">
        <v>66</v>
      </c>
      <c r="D120" s="26" t="str">
        <f>VLOOKUP($C120,classifications!$C:$J,4,FALSE)</f>
        <v>SD</v>
      </c>
      <c r="E120" s="26">
        <f>VLOOKUP(C120,classifications!C:K,9,FALSE)</f>
        <v>0</v>
      </c>
      <c r="F120" s="36">
        <f t="shared" si="26"/>
        <v>89.804259171588328</v>
      </c>
      <c r="G120" s="71"/>
      <c r="H120" s="37">
        <f t="shared" si="27"/>
        <v>89.804259171588328</v>
      </c>
      <c r="I120" s="77">
        <f>IF(H120="","",IF($I$8="A",(RANK(H120,H$11:H$368,1)+COUNTIF(H$11:H120,H120)-1),(RANK(H120,H$11:H$368)+COUNTIF(H$11:H120,H120)-1)))</f>
        <v>3</v>
      </c>
      <c r="J120" s="35"/>
      <c r="K120" s="28">
        <f t="shared" si="35"/>
        <v>110</v>
      </c>
      <c r="L120" s="36" t="str">
        <f t="shared" si="28"/>
        <v>Gloucester</v>
      </c>
      <c r="M120" s="102">
        <f t="shared" si="36"/>
        <v>81.854505504974455</v>
      </c>
      <c r="N120" s="101">
        <f t="shared" si="37"/>
        <v>81.854505504974455</v>
      </c>
      <c r="O120" s="94" t="str">
        <f t="shared" si="29"/>
        <v/>
      </c>
      <c r="P120" s="94" t="str">
        <f t="shared" si="45"/>
        <v/>
      </c>
      <c r="Q120" s="94">
        <f t="shared" si="46"/>
        <v>81.854505504974455</v>
      </c>
      <c r="R120" s="90" t="str">
        <f t="shared" si="47"/>
        <v/>
      </c>
      <c r="S120" s="37" t="str">
        <f t="shared" si="38"/>
        <v/>
      </c>
      <c r="T120" s="176">
        <f>IF(L120="","",VLOOKUP(L120,classifications!C:K,9,FALSE))</f>
        <v>0</v>
      </c>
      <c r="U120" s="183" t="str">
        <f t="shared" si="30"/>
        <v/>
      </c>
      <c r="V120" s="184" t="str">
        <f>IF(U120="","",IF($I$8="A",(RANK(U120,U$11:U$368)+COUNTIF(U$11:U120,U120)-1),(RANK(U120,U$11:U$368,1)+COUNTIF(U$11:U120,U120)-1)))</f>
        <v/>
      </c>
      <c r="W120" s="185"/>
      <c r="X120" s="38" t="str">
        <f>IF(L120="","",VLOOKUP($L120,classifications!$C:$J,6,FALSE))</f>
        <v>Urban with City and Town</v>
      </c>
      <c r="Y120" s="26" t="str">
        <f t="shared" si="31"/>
        <v/>
      </c>
      <c r="Z120" s="34" t="str">
        <f>IF(Y120="","",IF(I$8="A",(RANK(Y120,Y$11:Y$368,1)+COUNTIF(Y$11:Y120,Y120)-1),(RANK(Y120,Y$11:Y$368)+COUNTIF(Y$11:Y120,Y120)-1)))</f>
        <v/>
      </c>
      <c r="AA120" s="188" t="str">
        <f>IF(L120="","",VLOOKUP($L120,classifications!C:I,7,FALSE))</f>
        <v>Predominantly Urban</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Gloucestershire</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South West</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89.804259171588328</v>
      </c>
      <c r="AY120" s="103"/>
      <c r="AZ120" s="21"/>
    </row>
    <row r="121" spans="1:52">
      <c r="A121" s="56" t="str">
        <f>$D$1&amp;111</f>
        <v>SD111</v>
      </c>
      <c r="B121" s="57">
        <f>IF(ISERROR(VLOOKUP(A121,classifications!A:C,3,FALSE)),0,VLOOKUP(A121,classifications!A:C,3,FALSE))</f>
        <v>0</v>
      </c>
      <c r="C121" s="8" t="s">
        <v>67</v>
      </c>
      <c r="D121" s="26" t="str">
        <f>VLOOKUP($C121,classifications!$C:$J,4,FALSE)</f>
        <v>SD</v>
      </c>
      <c r="E121" s="26">
        <f>VLOOKUP(C121,classifications!C:K,9,FALSE)</f>
        <v>0</v>
      </c>
      <c r="F121" s="36">
        <f t="shared" si="26"/>
        <v>83.875838794352973</v>
      </c>
      <c r="G121" s="71"/>
      <c r="H121" s="37">
        <f t="shared" si="27"/>
        <v>83.875838794352973</v>
      </c>
      <c r="I121" s="77">
        <f>IF(H121="","",IF($I$8="A",(RANK(H121,H$11:H$368,1)+COUNTIF(H$11:H121,H121)-1),(RANK(H121,H$11:H$368)+COUNTIF(H$11:H121,H121)-1)))</f>
        <v>68</v>
      </c>
      <c r="J121" s="35"/>
      <c r="K121" s="28">
        <f t="shared" si="35"/>
        <v>111</v>
      </c>
      <c r="L121" s="36" t="str">
        <f t="shared" si="28"/>
        <v>North Kesteven</v>
      </c>
      <c r="M121" s="102">
        <f t="shared" si="36"/>
        <v>81.826191824274247</v>
      </c>
      <c r="N121" s="101">
        <f t="shared" si="37"/>
        <v>81.826191824274247</v>
      </c>
      <c r="O121" s="94" t="str">
        <f t="shared" si="29"/>
        <v/>
      </c>
      <c r="P121" s="94" t="str">
        <f t="shared" si="45"/>
        <v/>
      </c>
      <c r="Q121" s="94">
        <f t="shared" si="46"/>
        <v>81.826191824274247</v>
      </c>
      <c r="R121" s="90" t="str">
        <f t="shared" si="47"/>
        <v/>
      </c>
      <c r="S121" s="37" t="str">
        <f t="shared" si="38"/>
        <v/>
      </c>
      <c r="T121" s="176" t="str">
        <f>IF(L121="","",VLOOKUP(L121,classifications!C:K,9,FALSE))</f>
        <v>Sparse</v>
      </c>
      <c r="U121" s="183">
        <f t="shared" si="30"/>
        <v>81.826191824274247</v>
      </c>
      <c r="V121" s="184">
        <f>IF(U121="","",IF($I$8="A",(RANK(U121,U$11:U$368)+COUNTIF(U$11:U121,U121)-1),(RANK(U121,U$11:U$368,1)+COUNTIF(U$11:U121,U121)-1)))</f>
        <v>29</v>
      </c>
      <c r="W121" s="185"/>
      <c r="X121" s="38" t="str">
        <f>IF(L121="","",VLOOKUP($L121,classifications!$C:$J,6,FALSE))</f>
        <v xml:space="preserve">Mainly Rural (rural including hub towns &gt;=80%) </v>
      </c>
      <c r="Y121" s="26">
        <f t="shared" si="31"/>
        <v>81.826191824274247</v>
      </c>
      <c r="Z121" s="34">
        <f>IF(Y121="","",IF(I$8="A",(RANK(Y121,Y$11:Y$368,1)+COUNTIF(Y$11:Y121,Y121)-1),(RANK(Y121,Y$11:Y$368)+COUNTIF(Y$11:Y121,Y121)-1)))</f>
        <v>27</v>
      </c>
      <c r="AA121" s="188" t="str">
        <f>IF(L121="","",VLOOKUP($L121,classifications!C:I,7,FALSE))</f>
        <v>Predominantly Rural</v>
      </c>
      <c r="AB121" s="184">
        <f t="shared" si="39"/>
        <v>81.826191824274247</v>
      </c>
      <c r="AC121" s="184">
        <f>IF(AB121="","",IF($I$8="A",(RANK(AB121,AB$11:AB$368)+COUNTIF(AB$11:AB121,AB121)-1),(RANK(AB121,AB$11:AB$368,1)+COUNTIF(AB$11:AB121,AB121)-1)))</f>
        <v>27</v>
      </c>
      <c r="AD121" s="184"/>
      <c r="AE121" s="28" t="str">
        <f t="shared" si="49"/>
        <v/>
      </c>
      <c r="AG121" s="96"/>
      <c r="AH121" s="29"/>
      <c r="AI121" s="38" t="str">
        <f>IF(L121="","",VLOOKUP($L121,classifications!$C:$J,8,FALSE))</f>
        <v>Lincolnshire</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East Midlands</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83.875838794352973</v>
      </c>
      <c r="AY121" s="103"/>
      <c r="AZ121" s="21"/>
    </row>
    <row r="122" spans="1:52">
      <c r="A122" s="56" t="str">
        <f>$D$1&amp;112</f>
        <v>SD112</v>
      </c>
      <c r="B122" s="57">
        <f>IF(ISERROR(VLOOKUP(A122,classifications!A:C,3,FALSE)),0,VLOOKUP(A122,classifications!A:C,3,FALSE))</f>
        <v>0</v>
      </c>
      <c r="C122" s="8" t="s">
        <v>68</v>
      </c>
      <c r="D122" s="26" t="str">
        <f>VLOOKUP($C122,classifications!$C:$J,4,FALSE)</f>
        <v>SD</v>
      </c>
      <c r="E122" s="26">
        <f>VLOOKUP(C122,classifications!C:K,9,FALSE)</f>
        <v>0</v>
      </c>
      <c r="F122" s="36">
        <f t="shared" si="26"/>
        <v>76.132935045242377</v>
      </c>
      <c r="G122" s="71"/>
      <c r="H122" s="37">
        <f t="shared" si="27"/>
        <v>76.132935045242377</v>
      </c>
      <c r="I122" s="77">
        <f>IF(H122="","",IF($I$8="A",(RANK(H122,H$11:H$368,1)+COUNTIF(H$11:H122,H122)-1),(RANK(H122,H$11:H$368)+COUNTIF(H$11:H122,H122)-1)))</f>
        <v>179</v>
      </c>
      <c r="J122" s="35"/>
      <c r="K122" s="28">
        <f t="shared" si="35"/>
        <v>112</v>
      </c>
      <c r="L122" s="36" t="str">
        <f t="shared" si="28"/>
        <v>Allerdale</v>
      </c>
      <c r="M122" s="102">
        <f t="shared" si="36"/>
        <v>81.774925961121198</v>
      </c>
      <c r="N122" s="101">
        <f t="shared" si="37"/>
        <v>81.774925961121198</v>
      </c>
      <c r="O122" s="94" t="str">
        <f t="shared" si="29"/>
        <v/>
      </c>
      <c r="P122" s="94" t="str">
        <f t="shared" si="45"/>
        <v/>
      </c>
      <c r="Q122" s="94">
        <f t="shared" si="46"/>
        <v>81.774925961121198</v>
      </c>
      <c r="R122" s="90" t="str">
        <f t="shared" si="47"/>
        <v/>
      </c>
      <c r="S122" s="37" t="str">
        <f t="shared" si="38"/>
        <v>u</v>
      </c>
      <c r="T122" s="176" t="str">
        <f>IF(L122="","",VLOOKUP(L122,classifications!C:K,9,FALSE))</f>
        <v>Sparse</v>
      </c>
      <c r="U122" s="183">
        <f t="shared" si="30"/>
        <v>81.774925961121198</v>
      </c>
      <c r="V122" s="184">
        <f>IF(U122="","",IF($I$8="A",(RANK(U122,U$11:U$368)+COUNTIF(U$11:U122,U122)-1),(RANK(U122,U$11:U$368,1)+COUNTIF(U$11:U122,U122)-1)))</f>
        <v>28</v>
      </c>
      <c r="W122" s="185"/>
      <c r="X122" s="38" t="str">
        <f>IF(L122="","",VLOOKUP($L122,classifications!$C:$J,6,FALSE))</f>
        <v xml:space="preserve">Mainly Rural (rural including hub towns &gt;=80%) </v>
      </c>
      <c r="Y122" s="26">
        <f t="shared" si="31"/>
        <v>81.774925961121198</v>
      </c>
      <c r="Z122" s="34">
        <f>IF(Y122="","",IF(I$8="A",(RANK(Y122,Y$11:Y$368,1)+COUNTIF(Y$11:Y122,Y122)-1),(RANK(Y122,Y$11:Y$368)+COUNTIF(Y$11:Y122,Y122)-1)))</f>
        <v>28</v>
      </c>
      <c r="AA122" s="188" t="str">
        <f>IF(L122="","",VLOOKUP($L122,classifications!C:I,7,FALSE))</f>
        <v>Predominantly Rural</v>
      </c>
      <c r="AB122" s="184">
        <f t="shared" si="39"/>
        <v>81.774925961121198</v>
      </c>
      <c r="AC122" s="184">
        <f>IF(AB122="","",IF($I$8="A",(RANK(AB122,AB$11:AB$368)+COUNTIF(AB$11:AB122,AB122)-1),(RANK(AB122,AB$11:AB$368,1)+COUNTIF(AB$11:AB122,AB122)-1)))</f>
        <v>26</v>
      </c>
      <c r="AD122" s="184"/>
      <c r="AE122" s="28" t="str">
        <f t="shared" si="49"/>
        <v/>
      </c>
      <c r="AG122" s="96"/>
      <c r="AH122" s="29"/>
      <c r="AI122" s="38" t="str">
        <f>IF(L122="","",VLOOKUP($L122,classifications!$C:$J,8,FALSE))</f>
        <v>Cumbria</v>
      </c>
      <c r="AJ122" s="39">
        <f t="shared" si="32"/>
        <v>81.774925961121198</v>
      </c>
      <c r="AK122" s="34">
        <f>IF(AJ122="","",IF(I$8="A",(RANK(AJ122,AJ$11:AJ$368,1)+COUNTIF(AJ$11:AJ122,AJ122)-1),(RANK(AJ122,AJ$11:AJ$368)+COUNTIF(AJ$11:AJ122,AJ122)-1)))</f>
        <v>4</v>
      </c>
      <c r="AL122" s="29" t="str">
        <f t="shared" si="40"/>
        <v/>
      </c>
      <c r="AM122" s="8" t="str">
        <f t="shared" si="33"/>
        <v/>
      </c>
      <c r="AN122" s="8" t="str">
        <f t="shared" si="41"/>
        <v/>
      </c>
      <c r="AP122" s="38" t="str">
        <f>IF(L122="","",VLOOKUP($L122,classifications!$C:$E,3,FALSE))</f>
        <v>North West</v>
      </c>
      <c r="AQ122" s="39">
        <f t="shared" si="42"/>
        <v>81.774925961121198</v>
      </c>
      <c r="AR122" s="34">
        <f>IF(AQ122="","",IF(I$8="A",(RANK(AQ122,AQ$11:AQ$368,1)+COUNTIF(AQ$11:AQ122,AQ122)-1),(RANK(AQ122,AQ$11:AQ$368)+COUNTIF(AQ$11:AQ122,AQ122)-1)))</f>
        <v>7</v>
      </c>
      <c r="AS122" s="29" t="str">
        <f t="shared" si="43"/>
        <v/>
      </c>
      <c r="AT122" s="34" t="str">
        <f t="shared" si="34"/>
        <v/>
      </c>
      <c r="AU122" s="39" t="str">
        <f t="shared" si="48"/>
        <v/>
      </c>
      <c r="AX122" s="21">
        <f>HLOOKUP($AX$9&amp;$AX$10,Data!$A$1:$ZZ$2000,(MATCH($C122,Data!$A$1:$A$2000,0)),FALSE)</f>
        <v>76.132935045242377</v>
      </c>
      <c r="AY122" s="103"/>
      <c r="AZ122" s="21"/>
    </row>
    <row r="123" spans="1:52">
      <c r="A123" s="56" t="str">
        <f>$D$1&amp;113</f>
        <v>SD113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v>
      </c>
      <c r="I123" s="77" t="e">
        <f>IF(H123="","",IF($I$8="A",(RANK(H123,H$11:H$368,1)+COUNTIF(H$11:H123,H123)-1),(RANK(H123,H$11:H$368)+COUNTIF(H$11:H123,H123)-1)))</f>
        <v>#VALUE!</v>
      </c>
      <c r="J123" s="35"/>
      <c r="K123" s="28">
        <f t="shared" si="35"/>
        <v>113</v>
      </c>
      <c r="L123" s="36" t="str">
        <f t="shared" si="28"/>
        <v>North Devon</v>
      </c>
      <c r="M123" s="102">
        <f t="shared" si="36"/>
        <v>81.713744611381074</v>
      </c>
      <c r="N123" s="101">
        <f t="shared" si="37"/>
        <v>81.713744611381074</v>
      </c>
      <c r="O123" s="94" t="str">
        <f t="shared" si="29"/>
        <v/>
      </c>
      <c r="P123" s="94" t="str">
        <f t="shared" si="45"/>
        <v/>
      </c>
      <c r="Q123" s="94">
        <f t="shared" si="46"/>
        <v>81.713744611381074</v>
      </c>
      <c r="R123" s="90" t="str">
        <f t="shared" si="47"/>
        <v/>
      </c>
      <c r="S123" s="37" t="str">
        <f t="shared" si="38"/>
        <v/>
      </c>
      <c r="T123" s="176" t="str">
        <f>IF(L123="","",VLOOKUP(L123,classifications!C:K,9,FALSE))</f>
        <v>Sparse</v>
      </c>
      <c r="U123" s="183">
        <f t="shared" si="30"/>
        <v>81.713744611381074</v>
      </c>
      <c r="V123" s="184">
        <f>IF(U123="","",IF($I$8="A",(RANK(U123,U$11:U$368)+COUNTIF(U$11:U123,U123)-1),(RANK(U123,U$11:U$368,1)+COUNTIF(U$11:U123,U123)-1)))</f>
        <v>27</v>
      </c>
      <c r="W123" s="185"/>
      <c r="X123" s="38" t="str">
        <f>IF(L123="","",VLOOKUP($L123,classifications!$C:$J,6,FALSE))</f>
        <v xml:space="preserve">Largely Rural (rural including hub towns 50-79%) </v>
      </c>
      <c r="Y123" s="26" t="str">
        <f t="shared" si="31"/>
        <v/>
      </c>
      <c r="Z123" s="34" t="str">
        <f>IF(Y123="","",IF(I$8="A",(RANK(Y123,Y$11:Y$368,1)+COUNTIF(Y$11:Y123,Y123)-1),(RANK(Y123,Y$11:Y$368)+COUNTIF(Y$11:Y123,Y123)-1)))</f>
        <v/>
      </c>
      <c r="AA123" s="188" t="str">
        <f>IF(L123="","",VLOOKUP($L123,classifications!C:I,7,FALSE))</f>
        <v>Predominantly Rural</v>
      </c>
      <c r="AB123" s="184">
        <f t="shared" si="39"/>
        <v>81.713744611381074</v>
      </c>
      <c r="AC123" s="184">
        <f>IF(AB123="","",IF($I$8="A",(RANK(AB123,AB$11:AB$368)+COUNTIF(AB$11:AB123,AB123)-1),(RANK(AB123,AB$11:AB$368,1)+COUNTIF(AB$11:AB123,AB123)-1)))</f>
        <v>25</v>
      </c>
      <c r="AD123" s="184"/>
      <c r="AE123" s="28" t="str">
        <f t="shared" si="49"/>
        <v/>
      </c>
      <c r="AG123" s="96"/>
      <c r="AH123" s="29"/>
      <c r="AI123" s="38" t="str">
        <f>IF(L123="","",VLOOKUP($L123,classifications!$C:$J,8,FALSE))</f>
        <v>Devon</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South West</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SD114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78.360742506828757</v>
      </c>
      <c r="G124" s="71"/>
      <c r="H124" s="37">
        <f t="shared" si="27"/>
        <v>78.360742506828757</v>
      </c>
      <c r="I124" s="77">
        <f>IF(H124="","",IF($I$8="A",(RANK(H124,H$11:H$368,1)+COUNTIF(H$11:H124,H124)-1),(RANK(H124,H$11:H$368)+COUNTIF(H$11:H124,H124)-1)))</f>
        <v>161</v>
      </c>
      <c r="J124" s="35"/>
      <c r="K124" s="28">
        <f t="shared" si="35"/>
        <v>114</v>
      </c>
      <c r="L124" s="36" t="str">
        <f t="shared" si="28"/>
        <v>East Suffolk</v>
      </c>
      <c r="M124" s="102">
        <f t="shared" si="36"/>
        <v>81.688187142593478</v>
      </c>
      <c r="N124" s="101">
        <f t="shared" si="37"/>
        <v>81.688187142593478</v>
      </c>
      <c r="O124" s="94" t="str">
        <f t="shared" si="29"/>
        <v/>
      </c>
      <c r="P124" s="94" t="str">
        <f t="shared" si="45"/>
        <v/>
      </c>
      <c r="Q124" s="94">
        <f t="shared" si="46"/>
        <v>81.688187142593478</v>
      </c>
      <c r="R124" s="90" t="str">
        <f t="shared" si="47"/>
        <v/>
      </c>
      <c r="S124" s="37" t="str">
        <f t="shared" si="38"/>
        <v/>
      </c>
      <c r="T124" s="176" t="str">
        <f>IF(L124="","",VLOOKUP(L124,classifications!C:K,9,FALSE))</f>
        <v>Sparse</v>
      </c>
      <c r="U124" s="183">
        <f t="shared" si="30"/>
        <v>81.688187142593478</v>
      </c>
      <c r="V124" s="184">
        <f>IF(U124="","",IF($I$8="A",(RANK(U124,U$11:U$368)+COUNTIF(U$11:U124,U124)-1),(RANK(U124,U$11:U$368,1)+COUNTIF(U$11:U124,U124)-1)))</f>
        <v>26</v>
      </c>
      <c r="W124" s="185"/>
      <c r="X124" s="38" t="str">
        <f>IF(L124="","",VLOOKUP($L124,classifications!$C:$J,6,FALSE))</f>
        <v xml:space="preserve">Predominantly Rural </v>
      </c>
      <c r="Y124" s="26" t="str">
        <f t="shared" si="31"/>
        <v/>
      </c>
      <c r="Z124" s="34" t="str">
        <f>IF(Y124="","",IF(I$8="A",(RANK(Y124,Y$11:Y$368,1)+COUNTIF(Y$11:Y124,Y124)-1),(RANK(Y124,Y$11:Y$368)+COUNTIF(Y$11:Y124,Y124)-1)))</f>
        <v/>
      </c>
      <c r="AA124" s="188" t="str">
        <f>IF(L124="","",VLOOKUP($L124,classifications!C:I,7,FALSE))</f>
        <v xml:space="preserve">Predominantly Rural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Suffolk</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East of England</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78.360742506828757</v>
      </c>
      <c r="AY124" s="103"/>
      <c r="AZ124" s="21"/>
    </row>
    <row r="125" spans="1:52">
      <c r="A125" s="56" t="str">
        <f>$D$1&amp;115</f>
        <v>SD115</v>
      </c>
      <c r="B125" s="57">
        <f>IF(ISERROR(VLOOKUP(A125,classifications!A:C,3,FALSE)),0,VLOOKUP(A125,classifications!A:C,3,FALSE))</f>
        <v>0</v>
      </c>
      <c r="C125" s="8" t="s">
        <v>71</v>
      </c>
      <c r="D125" s="26" t="str">
        <f>VLOOKUP($C125,classifications!$C:$J,4,FALSE)</f>
        <v>SD</v>
      </c>
      <c r="E125" s="26">
        <f>VLOOKUP(C125,classifications!C:K,9,FALSE)</f>
        <v>0</v>
      </c>
      <c r="F125" s="36">
        <f t="shared" si="26"/>
        <v>80.353941162409996</v>
      </c>
      <c r="G125" s="71"/>
      <c r="H125" s="37">
        <f t="shared" si="27"/>
        <v>80.353941162409996</v>
      </c>
      <c r="I125" s="77">
        <f>IF(H125="","",IF($I$8="A",(RANK(H125,H$11:H$368,1)+COUNTIF(H$11:H125,H125)-1),(RANK(H125,H$11:H$368)+COUNTIF(H$11:H125,H125)-1)))</f>
        <v>139</v>
      </c>
      <c r="J125" s="35"/>
      <c r="K125" s="28">
        <f t="shared" si="35"/>
        <v>115</v>
      </c>
      <c r="L125" s="36" t="str">
        <f t="shared" si="28"/>
        <v>Lichfield</v>
      </c>
      <c r="M125" s="102">
        <f t="shared" si="36"/>
        <v>81.685036915300657</v>
      </c>
      <c r="N125" s="101">
        <f t="shared" si="37"/>
        <v>81.685036915300657</v>
      </c>
      <c r="O125" s="94" t="str">
        <f t="shared" si="29"/>
        <v/>
      </c>
      <c r="P125" s="94" t="str">
        <f t="shared" si="45"/>
        <v/>
      </c>
      <c r="Q125" s="94">
        <f t="shared" si="46"/>
        <v>81.685036915300657</v>
      </c>
      <c r="R125" s="90" t="str">
        <f t="shared" si="47"/>
        <v/>
      </c>
      <c r="S125" s="37" t="str">
        <f t="shared" si="38"/>
        <v/>
      </c>
      <c r="T125" s="176" t="str">
        <f>IF(L125="","",VLOOKUP(L125,classifications!C:K,9,FALSE))</f>
        <v>Sparse</v>
      </c>
      <c r="U125" s="183">
        <f t="shared" si="30"/>
        <v>81.685036915300657</v>
      </c>
      <c r="V125" s="184">
        <f>IF(U125="","",IF($I$8="A",(RANK(U125,U$11:U$368)+COUNTIF(U$11:U125,U125)-1),(RANK(U125,U$11:U$368,1)+COUNTIF(U$11:U125,U125)-1)))</f>
        <v>25</v>
      </c>
      <c r="W125" s="185"/>
      <c r="X125" s="38" t="str">
        <f>IF(L125="","",VLOOKUP($L125,classifications!$C:$J,6,FALSE))</f>
        <v>Urban with Significant Rural (rural including hub towns 26-49%)</v>
      </c>
      <c r="Y125" s="26" t="str">
        <f t="shared" si="31"/>
        <v/>
      </c>
      <c r="Z125" s="34" t="str">
        <f>IF(Y125="","",IF(I$8="A",(RANK(Y125,Y$11:Y$368,1)+COUNTIF(Y$11:Y125,Y125)-1),(RANK(Y125,Y$11:Y$368)+COUNTIF(Y$11:Y125,Y125)-1)))</f>
        <v/>
      </c>
      <c r="AA125" s="188" t="str">
        <f>IF(L125="","",VLOOKUP($L125,classifications!C:I,7,FALSE))</f>
        <v>Significant Rural</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Staffordshire</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West Midlands</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80.353941162409996</v>
      </c>
      <c r="AY125" s="103"/>
      <c r="AZ125" s="21"/>
    </row>
    <row r="126" spans="1:52">
      <c r="A126" s="56" t="str">
        <f>$D$1&amp;116</f>
        <v>SD116</v>
      </c>
      <c r="B126" s="57">
        <f>IF(ISERROR(VLOOKUP(A126,classifications!A:C,3,FALSE)),0,VLOOKUP(A126,classifications!A:C,3,FALSE))</f>
        <v>0</v>
      </c>
      <c r="C126" s="8" t="s">
        <v>231</v>
      </c>
      <c r="D126" s="26" t="str">
        <f>VLOOKUP($C126,classifications!$C:$J,4,FALSE)</f>
        <v>MD</v>
      </c>
      <c r="E126" s="26">
        <f>VLOOKUP(C126,classifications!C:K,9,FALSE)</f>
        <v>0</v>
      </c>
      <c r="F126" s="36">
        <f t="shared" si="26"/>
        <v>75.050977808893194</v>
      </c>
      <c r="G126" s="71"/>
      <c r="H126" s="37" t="str">
        <f t="shared" si="27"/>
        <v/>
      </c>
      <c r="I126" s="77" t="str">
        <f>IF(H126="","",IF($I$8="A",(RANK(H126,H$11:H$368,1)+COUNTIF(H$11:H126,H126)-1),(RANK(H126,H$11:H$368)+COUNTIF(H$11:H126,H126)-1)))</f>
        <v/>
      </c>
      <c r="J126" s="35"/>
      <c r="K126" s="28">
        <f t="shared" si="35"/>
        <v>116</v>
      </c>
      <c r="L126" s="36" t="str">
        <f t="shared" si="28"/>
        <v>Melton</v>
      </c>
      <c r="M126" s="102">
        <f t="shared" si="36"/>
        <v>81.684854523733151</v>
      </c>
      <c r="N126" s="101">
        <f t="shared" si="37"/>
        <v>81.684854523733151</v>
      </c>
      <c r="O126" s="94" t="str">
        <f t="shared" si="29"/>
        <v/>
      </c>
      <c r="P126" s="94" t="str">
        <f t="shared" si="45"/>
        <v/>
      </c>
      <c r="Q126" s="94">
        <f t="shared" si="46"/>
        <v>81.684854523733151</v>
      </c>
      <c r="R126" s="90" t="str">
        <f t="shared" si="47"/>
        <v/>
      </c>
      <c r="S126" s="37" t="str">
        <f t="shared" si="38"/>
        <v/>
      </c>
      <c r="T126" s="176" t="str">
        <f>IF(L126="","",VLOOKUP(L126,classifications!C:K,9,FALSE))</f>
        <v>Sparse</v>
      </c>
      <c r="U126" s="183">
        <f t="shared" si="30"/>
        <v>81.684854523733151</v>
      </c>
      <c r="V126" s="184">
        <f>IF(U126="","",IF($I$8="A",(RANK(U126,U$11:U$368)+COUNTIF(U$11:U126,U126)-1),(RANK(U126,U$11:U$368,1)+COUNTIF(U$11:U126,U126)-1)))</f>
        <v>24</v>
      </c>
      <c r="W126" s="185"/>
      <c r="X126" s="38" t="str">
        <f>IF(L126="","",VLOOKUP($L126,classifications!$C:$J,6,FALSE))</f>
        <v xml:space="preserve">Mainly Rural (rural including hub towns &gt;=80%) </v>
      </c>
      <c r="Y126" s="26">
        <f t="shared" si="31"/>
        <v>81.684854523733151</v>
      </c>
      <c r="Z126" s="34">
        <f>IF(Y126="","",IF(I$8="A",(RANK(Y126,Y$11:Y$368,1)+COUNTIF(Y$11:Y126,Y126)-1),(RANK(Y126,Y$11:Y$368)+COUNTIF(Y$11:Y126,Y126)-1)))</f>
        <v>29</v>
      </c>
      <c r="AA126" s="188" t="str">
        <f>IF(L126="","",VLOOKUP($L126,classifications!C:I,7,FALSE))</f>
        <v>Predominantly Rural</v>
      </c>
      <c r="AB126" s="184">
        <f>IF(AA126=$J$3,M126,"")</f>
        <v>81.684854523733151</v>
      </c>
      <c r="AC126" s="184">
        <f>IF(AB126="","",IF($I$8="A",(RANK(AB126,AB$11:AB$368)+COUNTIF(AB$11:AB126,AB126)-1),(RANK(AB126,AB$11:AB$368,1)+COUNTIF(AB$11:AB126,AB126)-1)))</f>
        <v>24</v>
      </c>
      <c r="AD126" s="184"/>
      <c r="AE126" s="28" t="str">
        <f t="shared" si="49"/>
        <v/>
      </c>
      <c r="AG126" s="96"/>
      <c r="AH126" s="29"/>
      <c r="AI126" s="38" t="str">
        <f>IF(L126="","",VLOOKUP($L126,classifications!$C:$J,8,FALSE))</f>
        <v>Leicestershire</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East Midlands</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75.050977808893194</v>
      </c>
      <c r="AY126" s="103"/>
      <c r="AZ126" s="21"/>
    </row>
    <row r="127" spans="1:52">
      <c r="A127" s="56" t="str">
        <f>$D$1&amp;117</f>
        <v>SD117</v>
      </c>
      <c r="B127" s="57">
        <f>IF(ISERROR(VLOOKUP(A127,classifications!A:C,3,FALSE)),0,VLOOKUP(A127,classifications!A:C,3,FALSE))</f>
        <v>0</v>
      </c>
      <c r="C127" s="8" t="s">
        <v>72</v>
      </c>
      <c r="D127" s="26" t="str">
        <f>VLOOKUP($C127,classifications!$C:$J,4,FALSE)</f>
        <v>SD</v>
      </c>
      <c r="E127" s="26">
        <f>VLOOKUP(C127,classifications!C:K,9,FALSE)</f>
        <v>0</v>
      </c>
      <c r="F127" s="36">
        <f t="shared" si="26"/>
        <v>83.532113859185614</v>
      </c>
      <c r="G127" s="71"/>
      <c r="H127" s="37">
        <f t="shared" si="27"/>
        <v>83.532113859185614</v>
      </c>
      <c r="I127" s="77">
        <f>IF(H127="","",IF($I$8="A",(RANK(H127,H$11:H$368,1)+COUNTIF(H$11:H127,H127)-1),(RANK(H127,H$11:H$368)+COUNTIF(H$11:H127,H127)-1)))</f>
        <v>82</v>
      </c>
      <c r="J127" s="35"/>
      <c r="K127" s="28">
        <f t="shared" si="35"/>
        <v>117</v>
      </c>
      <c r="L127" s="36" t="str">
        <f t="shared" si="28"/>
        <v>Copeland</v>
      </c>
      <c r="M127" s="102">
        <f t="shared" si="36"/>
        <v>81.67035568373511</v>
      </c>
      <c r="N127" s="101">
        <f t="shared" si="37"/>
        <v>81.67035568373511</v>
      </c>
      <c r="O127" s="94" t="str">
        <f t="shared" si="29"/>
        <v/>
      </c>
      <c r="P127" s="94" t="str">
        <f t="shared" si="45"/>
        <v/>
      </c>
      <c r="Q127" s="94">
        <f t="shared" si="46"/>
        <v>81.67035568373511</v>
      </c>
      <c r="R127" s="90" t="str">
        <f t="shared" si="47"/>
        <v/>
      </c>
      <c r="S127" s="37" t="str">
        <f t="shared" si="38"/>
        <v/>
      </c>
      <c r="T127" s="176" t="str">
        <f>IF(L127="","",VLOOKUP(L127,classifications!C:K,9,FALSE))</f>
        <v>Sparse</v>
      </c>
      <c r="U127" s="183">
        <f t="shared" si="30"/>
        <v>81.67035568373511</v>
      </c>
      <c r="V127" s="184">
        <f>IF(U127="","",IF($I$8="A",(RANK(U127,U$11:U$368)+COUNTIF(U$11:U127,U127)-1),(RANK(U127,U$11:U$368,1)+COUNTIF(U$11:U127,U127)-1)))</f>
        <v>23</v>
      </c>
      <c r="W127" s="185"/>
      <c r="X127" s="38" t="str">
        <f>IF(L127="","",VLOOKUP($L127,classifications!$C:$J,6,FALSE))</f>
        <v xml:space="preserve">Mainly Rural (rural including hub towns &gt;=80%) </v>
      </c>
      <c r="Y127" s="26">
        <f t="shared" si="31"/>
        <v>81.67035568373511</v>
      </c>
      <c r="Z127" s="34">
        <f>IF(Y127="","",IF(I$8="A",(RANK(Y127,Y$11:Y$368,1)+COUNTIF(Y$11:Y127,Y127)-1),(RANK(Y127,Y$11:Y$368)+COUNTIF(Y$11:Y127,Y127)-1)))</f>
        <v>30</v>
      </c>
      <c r="AA127" s="188" t="str">
        <f>IF(L127="","",VLOOKUP($L127,classifications!C:I,7,FALSE))</f>
        <v>Predominantly Rural</v>
      </c>
      <c r="AB127" s="184">
        <f t="shared" si="39"/>
        <v>81.67035568373511</v>
      </c>
      <c r="AC127" s="184">
        <f>IF(AB127="","",IF($I$8="A",(RANK(AB127,AB$11:AB$368)+COUNTIF(AB$11:AB127,AB127)-1),(RANK(AB127,AB$11:AB$368,1)+COUNTIF(AB$11:AB127,AB127)-1)))</f>
        <v>23</v>
      </c>
      <c r="AD127" s="184"/>
      <c r="AE127" s="28" t="str">
        <f t="shared" si="49"/>
        <v/>
      </c>
      <c r="AG127" s="96"/>
      <c r="AH127" s="29"/>
      <c r="AI127" s="38" t="str">
        <f>IF(L127="","",VLOOKUP($L127,classifications!$C:$J,8,FALSE))</f>
        <v>Cumbria</v>
      </c>
      <c r="AJ127" s="39">
        <f t="shared" si="32"/>
        <v>81.67035568373511</v>
      </c>
      <c r="AK127" s="34">
        <f>IF(AJ127="","",IF(I$8="A",(RANK(AJ127,AJ$11:AJ$368,1)+COUNTIF(AJ$11:AJ127,AJ127)-1),(RANK(AJ127,AJ$11:AJ$368)+COUNTIF(AJ$11:AJ127,AJ127)-1)))</f>
        <v>5</v>
      </c>
      <c r="AL127" s="29" t="str">
        <f t="shared" si="40"/>
        <v/>
      </c>
      <c r="AM127" s="8" t="str">
        <f t="shared" si="33"/>
        <v/>
      </c>
      <c r="AN127" s="8" t="str">
        <f t="shared" si="41"/>
        <v/>
      </c>
      <c r="AP127" s="38" t="str">
        <f>IF(L127="","",VLOOKUP($L127,classifications!$C:$E,3,FALSE))</f>
        <v>North West</v>
      </c>
      <c r="AQ127" s="39">
        <f t="shared" si="42"/>
        <v>81.67035568373511</v>
      </c>
      <c r="AR127" s="34">
        <f>IF(AQ127="","",IF(I$8="A",(RANK(AQ127,AQ$11:AQ$368,1)+COUNTIF(AQ$11:AQ127,AQ127)-1),(RANK(AQ127,AQ$11:AQ$368)+COUNTIF(AQ$11:AQ127,AQ127)-1)))</f>
        <v>8</v>
      </c>
      <c r="AS127" s="29" t="str">
        <f t="shared" si="43"/>
        <v/>
      </c>
      <c r="AT127" s="34" t="str">
        <f t="shared" si="34"/>
        <v/>
      </c>
      <c r="AU127" s="39" t="str">
        <f t="shared" si="48"/>
        <v/>
      </c>
      <c r="AX127" s="21">
        <f>HLOOKUP($AX$9&amp;$AX$10,Data!$A$1:$ZZ$2000,(MATCH($C127,Data!$A$1:$A$2000,0)),FALSE)</f>
        <v>83.532113859185614</v>
      </c>
      <c r="AY127" s="103"/>
      <c r="AZ127" s="21"/>
    </row>
    <row r="128" spans="1:52">
      <c r="A128" s="56" t="str">
        <f>$D$1&amp;118</f>
        <v>SD118</v>
      </c>
      <c r="B128" s="57">
        <f>IF(ISERROR(VLOOKUP(A128,classifications!A:C,3,FALSE)),0,VLOOKUP(A128,classifications!A:C,3,FALSE))</f>
        <v>0</v>
      </c>
      <c r="C128" s="8" t="s">
        <v>73</v>
      </c>
      <c r="D128" s="26" t="str">
        <f>VLOOKUP($C128,classifications!$C:$J,4,FALSE)</f>
        <v>SD</v>
      </c>
      <c r="E128" s="26">
        <f>VLOOKUP(C128,classifications!C:K,9,FALSE)</f>
        <v>0</v>
      </c>
      <c r="F128" s="36">
        <f t="shared" si="26"/>
        <v>81.854505504974455</v>
      </c>
      <c r="G128" s="71"/>
      <c r="H128" s="37">
        <f t="shared" si="27"/>
        <v>81.854505504974455</v>
      </c>
      <c r="I128" s="77">
        <f>IF(H128="","",IF($I$8="A",(RANK(H128,H$11:H$368,1)+COUNTIF(H$11:H128,H128)-1),(RANK(H128,H$11:H$368)+COUNTIF(H$11:H128,H128)-1)))</f>
        <v>110</v>
      </c>
      <c r="J128" s="35"/>
      <c r="K128" s="28">
        <f t="shared" si="35"/>
        <v>118</v>
      </c>
      <c r="L128" s="36" t="str">
        <f t="shared" si="28"/>
        <v>Test Valley</v>
      </c>
      <c r="M128" s="102">
        <f t="shared" si="36"/>
        <v>81.629870580627141</v>
      </c>
      <c r="N128" s="101">
        <f t="shared" si="37"/>
        <v>81.629870580627141</v>
      </c>
      <c r="O128" s="94" t="str">
        <f t="shared" si="29"/>
        <v/>
      </c>
      <c r="P128" s="94" t="str">
        <f t="shared" si="45"/>
        <v/>
      </c>
      <c r="Q128" s="94">
        <f t="shared" si="46"/>
        <v>81.629870580627141</v>
      </c>
      <c r="R128" s="90" t="str">
        <f t="shared" si="47"/>
        <v/>
      </c>
      <c r="S128" s="37" t="str">
        <f t="shared" si="38"/>
        <v/>
      </c>
      <c r="T128" s="176">
        <f>IF(L128="","",VLOOKUP(L128,classifications!C:K,9,FALSE))</f>
        <v>0</v>
      </c>
      <c r="U128" s="183" t="str">
        <f t="shared" si="30"/>
        <v/>
      </c>
      <c r="V128" s="184" t="str">
        <f>IF(U128="","",IF($I$8="A",(RANK(U128,U$11:U$368)+COUNTIF(U$11:U128,U128)-1),(RANK(U128,U$11:U$368,1)+COUNTIF(U$11:U128,U128)-1)))</f>
        <v/>
      </c>
      <c r="W128" s="185"/>
      <c r="X128" s="38" t="str">
        <f>IF(L128="","",VLOOKUP($L128,classifications!$C:$J,6,FALSE))</f>
        <v>Urban with Significant Rural (rural including hub towns 26-49%)</v>
      </c>
      <c r="Y128" s="26" t="str">
        <f t="shared" si="31"/>
        <v/>
      </c>
      <c r="Z128" s="34" t="str">
        <f>IF(Y128="","",IF(I$8="A",(RANK(Y128,Y$11:Y$368,1)+COUNTIF(Y$11:Y128,Y128)-1),(RANK(Y128,Y$11:Y$368)+COUNTIF(Y$11:Y128,Y128)-1)))</f>
        <v/>
      </c>
      <c r="AA128" s="188" t="str">
        <f>IF(L128="","",VLOOKUP($L128,classifications!C:I,7,FALSE))</f>
        <v>Significant Rural</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Hampshire</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South East</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81.854505504974455</v>
      </c>
      <c r="AY128" s="103"/>
      <c r="AZ128" s="21"/>
    </row>
    <row r="129" spans="1:52">
      <c r="A129" s="56" t="str">
        <f>$D$1&amp;119</f>
        <v>SD119</v>
      </c>
      <c r="B129" s="57">
        <f>IF(ISERROR(VLOOKUP(A129,classifications!A:C,3,FALSE)),0,VLOOKUP(A129,classifications!A:C,3,FALSE))</f>
        <v>0</v>
      </c>
      <c r="C129" s="8" t="s">
        <v>312</v>
      </c>
      <c r="D129" s="26" t="str">
        <f>VLOOKUP($C129,classifications!$C:$J,4,FALSE)</f>
        <v>SC</v>
      </c>
      <c r="E129" s="26">
        <f>VLOOKUP(C129,classifications!C:K,9,FALSE)</f>
        <v>0</v>
      </c>
      <c r="F129" s="36">
        <f t="shared" si="26"/>
        <v>84.086361451106427</v>
      </c>
      <c r="G129" s="71"/>
      <c r="H129" s="37" t="str">
        <f t="shared" si="27"/>
        <v/>
      </c>
      <c r="I129" s="77" t="str">
        <f>IF(H129="","",IF($I$8="A",(RANK(H129,H$11:H$368,1)+COUNTIF(H$11:H129,H129)-1),(RANK(H129,H$11:H$368)+COUNTIF(H$11:H129,H129)-1)))</f>
        <v/>
      </c>
      <c r="J129" s="35"/>
      <c r="K129" s="28">
        <f t="shared" si="35"/>
        <v>119</v>
      </c>
      <c r="L129" s="36" t="str">
        <f t="shared" si="28"/>
        <v>Stratford-on-Avon</v>
      </c>
      <c r="M129" s="102">
        <f t="shared" si="36"/>
        <v>81.494755210460639</v>
      </c>
      <c r="N129" s="101">
        <f t="shared" si="37"/>
        <v>81.494755210460639</v>
      </c>
      <c r="O129" s="94" t="str">
        <f t="shared" si="29"/>
        <v/>
      </c>
      <c r="P129" s="94" t="str">
        <f t="shared" si="45"/>
        <v/>
      </c>
      <c r="Q129" s="94">
        <f t="shared" si="46"/>
        <v>81.494755210460639</v>
      </c>
      <c r="R129" s="90" t="str">
        <f t="shared" si="47"/>
        <v/>
      </c>
      <c r="S129" s="37" t="str">
        <f t="shared" si="38"/>
        <v/>
      </c>
      <c r="T129" s="176" t="str">
        <f>IF(L129="","",VLOOKUP(L129,classifications!C:K,9,FALSE))</f>
        <v>Sparse</v>
      </c>
      <c r="U129" s="183">
        <f t="shared" si="30"/>
        <v>81.494755210460639</v>
      </c>
      <c r="V129" s="184">
        <f>IF(U129="","",IF($I$8="A",(RANK(U129,U$11:U$368)+COUNTIF(U$11:U129,U129)-1),(RANK(U129,U$11:U$368,1)+COUNTIF(U$11:U129,U129)-1)))</f>
        <v>22</v>
      </c>
      <c r="W129" s="185"/>
      <c r="X129" s="38" t="str">
        <f>IF(L129="","",VLOOKUP($L129,classifications!$C:$J,6,FALSE))</f>
        <v xml:space="preserve">Mainly Rural (rural including hub towns &gt;=80%) </v>
      </c>
      <c r="Y129" s="26">
        <f t="shared" si="31"/>
        <v>81.494755210460639</v>
      </c>
      <c r="Z129" s="34">
        <f>IF(Y129="","",IF(I$8="A",(RANK(Y129,Y$11:Y$368,1)+COUNTIF(Y$11:Y129,Y129)-1),(RANK(Y129,Y$11:Y$368)+COUNTIF(Y$11:Y129,Y129)-1)))</f>
        <v>31</v>
      </c>
      <c r="AA129" s="188" t="str">
        <f>IF(L129="","",VLOOKUP($L129,classifications!C:I,7,FALSE))</f>
        <v>Predominantly Rural</v>
      </c>
      <c r="AB129" s="184">
        <f t="shared" si="39"/>
        <v>81.494755210460639</v>
      </c>
      <c r="AC129" s="184">
        <f>IF(AB129="","",IF($I$8="A",(RANK(AB129,AB$11:AB$368)+COUNTIF(AB$11:AB129,AB129)-1),(RANK(AB129,AB$11:AB$368,1)+COUNTIF(AB$11:AB129,AB129)-1)))</f>
        <v>22</v>
      </c>
      <c r="AD129" s="184"/>
      <c r="AE129" s="28" t="str">
        <f t="shared" si="49"/>
        <v/>
      </c>
      <c r="AG129" s="96"/>
      <c r="AH129" s="29"/>
      <c r="AI129" s="38" t="str">
        <f>IF(L129="","",VLOOKUP($L129,classifications!$C:$J,8,FALSE))</f>
        <v>Warwickshire</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West Midlands</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84.086361451106427</v>
      </c>
      <c r="AY129" s="103"/>
      <c r="AZ129" s="21"/>
    </row>
    <row r="130" spans="1:52">
      <c r="A130" s="56" t="str">
        <f>$D$1&amp;120</f>
        <v>SD120</v>
      </c>
      <c r="B130" s="57">
        <f>IF(ISERROR(VLOOKUP(A130,classifications!A:C,3,FALSE)),0,VLOOKUP(A130,classifications!A:C,3,FALSE))</f>
        <v>0</v>
      </c>
      <c r="C130" s="8" t="s">
        <v>74</v>
      </c>
      <c r="D130" s="26" t="str">
        <f>VLOOKUP($C130,classifications!$C:$J,4,FALSE)</f>
        <v>SD</v>
      </c>
      <c r="E130" s="26">
        <f>VLOOKUP(C130,classifications!C:K,9,FALSE)</f>
        <v>0</v>
      </c>
      <c r="F130" s="36">
        <f t="shared" si="26"/>
        <v>76.413114292483286</v>
      </c>
      <c r="G130" s="71"/>
      <c r="H130" s="37">
        <f t="shared" si="27"/>
        <v>76.413114292483286</v>
      </c>
      <c r="I130" s="77">
        <f>IF(H130="","",IF($I$8="A",(RANK(H130,H$11:H$368,1)+COUNTIF(H$11:H130,H130)-1),(RANK(H130,H$11:H$368)+COUNTIF(H$11:H130,H130)-1)))</f>
        <v>177</v>
      </c>
      <c r="J130" s="35"/>
      <c r="K130" s="28">
        <f t="shared" si="35"/>
        <v>120</v>
      </c>
      <c r="L130" s="36" t="str">
        <f t="shared" si="28"/>
        <v>East Lindsey</v>
      </c>
      <c r="M130" s="102">
        <f t="shared" si="36"/>
        <v>81.439089525575824</v>
      </c>
      <c r="N130" s="101">
        <f t="shared" si="37"/>
        <v>81.439089525575824</v>
      </c>
      <c r="O130" s="94" t="str">
        <f t="shared" si="29"/>
        <v/>
      </c>
      <c r="P130" s="94" t="str">
        <f t="shared" si="45"/>
        <v/>
      </c>
      <c r="Q130" s="94">
        <f t="shared" si="46"/>
        <v>81.439089525575824</v>
      </c>
      <c r="R130" s="90" t="str">
        <f t="shared" si="47"/>
        <v/>
      </c>
      <c r="S130" s="37" t="str">
        <f t="shared" si="38"/>
        <v/>
      </c>
      <c r="T130" s="176" t="str">
        <f>IF(L130="","",VLOOKUP(L130,classifications!C:K,9,FALSE))</f>
        <v>Sparse</v>
      </c>
      <c r="U130" s="183">
        <f t="shared" si="30"/>
        <v>81.439089525575824</v>
      </c>
      <c r="V130" s="184">
        <f>IF(U130="","",IF($I$8="A",(RANK(U130,U$11:U$368)+COUNTIF(U$11:U130,U130)-1),(RANK(U130,U$11:U$368,1)+COUNTIF(U$11:U130,U130)-1)))</f>
        <v>21</v>
      </c>
      <c r="W130" s="185"/>
      <c r="X130" s="38" t="str">
        <f>IF(L130="","",VLOOKUP($L130,classifications!$C:$J,6,FALSE))</f>
        <v xml:space="preserve">Mainly Rural (rural including hub towns &gt;=80%) </v>
      </c>
      <c r="Y130" s="26">
        <f t="shared" si="31"/>
        <v>81.439089525575824</v>
      </c>
      <c r="Z130" s="34">
        <f>IF(Y130="","",IF(I$8="A",(RANK(Y130,Y$11:Y$368,1)+COUNTIF(Y$11:Y130,Y130)-1),(RANK(Y130,Y$11:Y$368)+COUNTIF(Y$11:Y130,Y130)-1)))</f>
        <v>32</v>
      </c>
      <c r="AA130" s="188" t="str">
        <f>IF(L130="","",VLOOKUP($L130,classifications!C:I,7,FALSE))</f>
        <v>Predominantly Rural</v>
      </c>
      <c r="AB130" s="184">
        <f t="shared" si="39"/>
        <v>81.439089525575824</v>
      </c>
      <c r="AC130" s="184">
        <f>IF(AB130="","",IF($I$8="A",(RANK(AB130,AB$11:AB$368)+COUNTIF(AB$11:AB130,AB130)-1),(RANK(AB130,AB$11:AB$368,1)+COUNTIF(AB$11:AB130,AB130)-1)))</f>
        <v>21</v>
      </c>
      <c r="AD130" s="184"/>
      <c r="AE130" s="28" t="str">
        <f t="shared" si="49"/>
        <v/>
      </c>
      <c r="AG130" s="96"/>
      <c r="AH130" s="29"/>
      <c r="AI130" s="38" t="str">
        <f>IF(L130="","",VLOOKUP($L130,classifications!$C:$J,8,FALSE))</f>
        <v>Lincolnshire</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East Midlands</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76.413114292483286</v>
      </c>
      <c r="AY130" s="103"/>
      <c r="AZ130" s="21"/>
    </row>
    <row r="131" spans="1:52">
      <c r="A131" s="56" t="str">
        <f>$D$1&amp;121</f>
        <v>SD121</v>
      </c>
      <c r="B131" s="57">
        <f>IF(ISERROR(VLOOKUP(A131,classifications!A:C,3,FALSE)),0,VLOOKUP(A131,classifications!A:C,3,FALSE))</f>
        <v>0</v>
      </c>
      <c r="C131" s="8" t="s">
        <v>75</v>
      </c>
      <c r="D131" s="26" t="str">
        <f>VLOOKUP($C131,classifications!$C:$J,4,FALSE)</f>
        <v>SD</v>
      </c>
      <c r="E131" s="26">
        <f>VLOOKUP(C131,classifications!C:K,9,FALSE)</f>
        <v>0</v>
      </c>
      <c r="F131" s="36">
        <f t="shared" si="26"/>
        <v>76.535403940595032</v>
      </c>
      <c r="G131" s="71"/>
      <c r="H131" s="37">
        <f t="shared" si="27"/>
        <v>76.535403940595032</v>
      </c>
      <c r="I131" s="77">
        <f>IF(H131="","",IF($I$8="A",(RANK(H131,H$11:H$368,1)+COUNTIF(H$11:H131,H131)-1),(RANK(H131,H$11:H$368)+COUNTIF(H$11:H131,H131)-1)))</f>
        <v>176</v>
      </c>
      <c r="J131" s="35"/>
      <c r="K131" s="28">
        <f t="shared" si="35"/>
        <v>121</v>
      </c>
      <c r="L131" s="36" t="str">
        <f t="shared" si="28"/>
        <v>Basingstoke &amp; Deane</v>
      </c>
      <c r="M131" s="102">
        <f t="shared" si="36"/>
        <v>81.321531256910234</v>
      </c>
      <c r="N131" s="101">
        <f t="shared" si="37"/>
        <v>81.321531256910234</v>
      </c>
      <c r="O131" s="94" t="str">
        <f t="shared" si="29"/>
        <v/>
      </c>
      <c r="P131" s="94" t="str">
        <f t="shared" si="45"/>
        <v/>
      </c>
      <c r="Q131" s="94">
        <f t="shared" si="46"/>
        <v>81.321531256910234</v>
      </c>
      <c r="R131" s="90" t="str">
        <f t="shared" si="47"/>
        <v/>
      </c>
      <c r="S131" s="37" t="str">
        <f t="shared" si="38"/>
        <v/>
      </c>
      <c r="T131" s="176">
        <f>IF(L131="","",VLOOKUP(L131,classifications!C:K,9,FALSE))</f>
        <v>0</v>
      </c>
      <c r="U131" s="183" t="str">
        <f t="shared" si="30"/>
        <v/>
      </c>
      <c r="V131" s="184" t="str">
        <f>IF(U131="","",IF($I$8="A",(RANK(U131,U$11:U$368)+COUNTIF(U$11:U131,U131)-1),(RANK(U131,U$11:U$368,1)+COUNTIF(U$11:U131,U131)-1)))</f>
        <v/>
      </c>
      <c r="W131" s="185"/>
      <c r="X131" s="38" t="str">
        <f>IF(L131="","",VLOOKUP($L131,classifications!$C:$J,6,FALSE))</f>
        <v>Urban with Significant Rural (rural including hub towns 26-49%)</v>
      </c>
      <c r="Y131" s="26" t="str">
        <f t="shared" si="31"/>
        <v/>
      </c>
      <c r="Z131" s="34" t="str">
        <f>IF(Y131="","",IF(I$8="A",(RANK(Y131,Y$11:Y$368,1)+COUNTIF(Y$11:Y131,Y131)-1),(RANK(Y131,Y$11:Y$368)+COUNTIF(Y$11:Y131,Y131)-1)))</f>
        <v/>
      </c>
      <c r="AA131" s="188" t="str">
        <f>IF(L131="","",VLOOKUP($L131,classifications!C:I,7,FALSE))</f>
        <v>Significant Rural</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Hampshire</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South East</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76.535403940595032</v>
      </c>
      <c r="AY131" s="103"/>
      <c r="AZ131" s="21"/>
    </row>
    <row r="132" spans="1:52">
      <c r="A132" s="56" t="str">
        <f>$D$1&amp;122</f>
        <v>SD122</v>
      </c>
      <c r="B132" s="57">
        <f>IF(ISERROR(VLOOKUP(A132,classifications!A:C,3,FALSE)),0,VLOOKUP(A132,classifications!A:C,3,FALSE))</f>
        <v>0</v>
      </c>
      <c r="C132" s="8" t="s">
        <v>76</v>
      </c>
      <c r="D132" s="26" t="str">
        <f>VLOOKUP($C132,classifications!$C:$J,4,FALSE)</f>
        <v>SD</v>
      </c>
      <c r="E132" s="26">
        <f>VLOOKUP(C132,classifications!C:K,9,FALSE)</f>
        <v>0</v>
      </c>
      <c r="F132" s="36">
        <f t="shared" si="26"/>
        <v>78.006482947598514</v>
      </c>
      <c r="G132" s="71"/>
      <c r="H132" s="37">
        <f t="shared" si="27"/>
        <v>78.006482947598514</v>
      </c>
      <c r="I132" s="77">
        <f>IF(H132="","",IF($I$8="A",(RANK(H132,H$11:H$368,1)+COUNTIF(H$11:H132,H132)-1),(RANK(H132,H$11:H$368)+COUNTIF(H$11:H132,H132)-1)))</f>
        <v>163</v>
      </c>
      <c r="J132" s="35"/>
      <c r="K132" s="28">
        <f t="shared" si="35"/>
        <v>122</v>
      </c>
      <c r="L132" s="36" t="str">
        <f t="shared" si="28"/>
        <v>Lincoln</v>
      </c>
      <c r="M132" s="102">
        <f t="shared" si="36"/>
        <v>81.305855513372521</v>
      </c>
      <c r="N132" s="101">
        <f t="shared" si="37"/>
        <v>81.305855513372521</v>
      </c>
      <c r="O132" s="94" t="str">
        <f t="shared" si="29"/>
        <v/>
      </c>
      <c r="P132" s="94" t="str">
        <f t="shared" si="45"/>
        <v/>
      </c>
      <c r="Q132" s="94">
        <f t="shared" si="46"/>
        <v>81.305855513372521</v>
      </c>
      <c r="R132" s="90" t="str">
        <f t="shared" si="47"/>
        <v/>
      </c>
      <c r="S132" s="37" t="str">
        <f t="shared" si="38"/>
        <v/>
      </c>
      <c r="T132" s="176">
        <f>IF(L132="","",VLOOKUP(L132,classifications!C:K,9,FALSE))</f>
        <v>0</v>
      </c>
      <c r="U132" s="183" t="str">
        <f t="shared" si="30"/>
        <v/>
      </c>
      <c r="V132" s="184" t="str">
        <f>IF(U132="","",IF($I$8="A",(RANK(U132,U$11:U$368)+COUNTIF(U$11:U132,U132)-1),(RANK(U132,U$11:U$368,1)+COUNTIF(U$11:U132,U132)-1)))</f>
        <v/>
      </c>
      <c r="W132" s="185"/>
      <c r="X132" s="38" t="str">
        <f>IF(L132="","",VLOOKUP($L132,classifications!$C:$J,6,FALSE))</f>
        <v>Urban with City and Town</v>
      </c>
      <c r="Y132" s="26" t="str">
        <f t="shared" si="31"/>
        <v/>
      </c>
      <c r="Z132" s="34" t="str">
        <f>IF(Y132="","",IF(I$8="A",(RANK(Y132,Y$11:Y$368,1)+COUNTIF(Y$11:Y132,Y132)-1),(RANK(Y132,Y$11:Y$368)+COUNTIF(Y$11:Y132,Y132)-1)))</f>
        <v/>
      </c>
      <c r="AA132" s="188" t="str">
        <f>IF(L132="","",VLOOKUP($L132,classifications!C:I,7,FALSE))</f>
        <v>Predominantly Urban</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Lincolnshire</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East Midlands</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78.006482947598514</v>
      </c>
      <c r="AY132" s="103"/>
      <c r="AZ132" s="21"/>
    </row>
    <row r="133" spans="1:52">
      <c r="A133" s="56" t="str">
        <f>$D$1&amp;123</f>
        <v>SD123</v>
      </c>
      <c r="B133" s="57">
        <f>IF(ISERROR(VLOOKUP(A133,classifications!A:C,3,FALSE)),0,VLOOKUP(A133,classifications!A:C,3,FALSE))</f>
        <v>0</v>
      </c>
      <c r="C133" s="8" t="s">
        <v>204</v>
      </c>
      <c r="D133" s="26" t="str">
        <f>VLOOKUP($C133,classifications!$C:$J,4,FALSE)</f>
        <v>L</v>
      </c>
      <c r="E133" s="26">
        <f>VLOOKUP(C133,classifications!C:K,9,FALSE)</f>
        <v>0</v>
      </c>
      <c r="F133" s="36">
        <f t="shared" si="26"/>
        <v>82.989040271027164</v>
      </c>
      <c r="G133" s="71"/>
      <c r="H133" s="37" t="str">
        <f t="shared" si="27"/>
        <v/>
      </c>
      <c r="I133" s="77" t="str">
        <f>IF(H133="","",IF($I$8="A",(RANK(H133,H$11:H$368,1)+COUNTIF(H$11:H133,H133)-1),(RANK(H133,H$11:H$368)+COUNTIF(H$11:H133,H133)-1)))</f>
        <v/>
      </c>
      <c r="J133" s="35"/>
      <c r="K133" s="28">
        <f t="shared" si="35"/>
        <v>123</v>
      </c>
      <c r="L133" s="36" t="str">
        <f t="shared" si="28"/>
        <v>Broxbourne</v>
      </c>
      <c r="M133" s="102">
        <f t="shared" si="36"/>
        <v>81.262824445002224</v>
      </c>
      <c r="N133" s="101">
        <f t="shared" si="37"/>
        <v>81.262824445002224</v>
      </c>
      <c r="O133" s="94" t="str">
        <f t="shared" si="29"/>
        <v/>
      </c>
      <c r="P133" s="94" t="str">
        <f t="shared" si="45"/>
        <v/>
      </c>
      <c r="Q133" s="94">
        <f t="shared" si="46"/>
        <v>81.262824445002224</v>
      </c>
      <c r="R133" s="90" t="str">
        <f t="shared" si="47"/>
        <v/>
      </c>
      <c r="S133" s="37" t="str">
        <f t="shared" si="38"/>
        <v/>
      </c>
      <c r="T133" s="176">
        <f>IF(L133="","",VLOOKUP(L133,classifications!C:K,9,FALSE))</f>
        <v>0</v>
      </c>
      <c r="U133" s="183" t="str">
        <f t="shared" si="30"/>
        <v/>
      </c>
      <c r="V133" s="184" t="str">
        <f>IF(U133="","",IF($I$8="A",(RANK(U133,U$11:U$368)+COUNTIF(U$11:U133,U133)-1),(RANK(U133,U$11:U$368,1)+COUNTIF(U$11:U133,U133)-1)))</f>
        <v/>
      </c>
      <c r="W133" s="185"/>
      <c r="X133" s="38" t="str">
        <f>IF(L133="","",VLOOKUP($L133,classifications!$C:$J,6,FALSE))</f>
        <v>Urban with Major Conurbation</v>
      </c>
      <c r="Y133" s="26" t="str">
        <f t="shared" si="31"/>
        <v/>
      </c>
      <c r="Z133" s="34" t="str">
        <f>IF(Y133="","",IF(I$8="A",(RANK(Y133,Y$11:Y$368,1)+COUNTIF(Y$11:Y133,Y133)-1),(RANK(Y133,Y$11:Y$368)+COUNTIF(Y$11:Y133,Y133)-1)))</f>
        <v/>
      </c>
      <c r="AA133" s="188" t="str">
        <f>IF(L133="","",VLOOKUP($L133,classifications!C:I,7,FALSE))</f>
        <v>Predominantly Urban</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Hertfordshire</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East of England</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82.989040271027164</v>
      </c>
      <c r="AY133" s="103"/>
      <c r="AZ133" s="21"/>
    </row>
    <row r="134" spans="1:52">
      <c r="A134" s="56" t="str">
        <f>$D$1&amp;124</f>
        <v>SD124</v>
      </c>
      <c r="B134" s="57">
        <f>IF(ISERROR(VLOOKUP(A134,classifications!A:C,3,FALSE)),0,VLOOKUP(A134,classifications!A:C,3,FALSE))</f>
        <v>0</v>
      </c>
      <c r="C134" s="8" t="s">
        <v>77</v>
      </c>
      <c r="D134" s="26" t="str">
        <f>VLOOKUP($C134,classifications!$C:$J,4,FALSE)</f>
        <v>SD</v>
      </c>
      <c r="E134" s="26">
        <f>VLOOKUP(C134,classifications!C:K,9,FALSE)</f>
        <v>0</v>
      </c>
      <c r="F134" s="36">
        <f t="shared" si="26"/>
        <v>83.514650079811418</v>
      </c>
      <c r="G134" s="71"/>
      <c r="H134" s="37">
        <f t="shared" si="27"/>
        <v>83.514650079811418</v>
      </c>
      <c r="I134" s="77">
        <f>IF(H134="","",IF($I$8="A",(RANK(H134,H$11:H$368,1)+COUNTIF(H$11:H134,H134)-1),(RANK(H134,H$11:H$368)+COUNTIF(H$11:H134,H134)-1)))</f>
        <v>83</v>
      </c>
      <c r="J134" s="35"/>
      <c r="K134" s="28">
        <f t="shared" si="35"/>
        <v>124</v>
      </c>
      <c r="L134" s="36" t="str">
        <f t="shared" si="28"/>
        <v>Daventry</v>
      </c>
      <c r="M134" s="102">
        <f t="shared" si="36"/>
        <v>81.156135136736367</v>
      </c>
      <c r="N134" s="101">
        <f t="shared" si="37"/>
        <v>81.156135136736367</v>
      </c>
      <c r="O134" s="94" t="str">
        <f t="shared" si="29"/>
        <v/>
      </c>
      <c r="P134" s="94" t="str">
        <f t="shared" si="45"/>
        <v/>
      </c>
      <c r="Q134" s="94">
        <f t="shared" si="46"/>
        <v>81.156135136736367</v>
      </c>
      <c r="R134" s="90" t="str">
        <f t="shared" si="47"/>
        <v/>
      </c>
      <c r="S134" s="37" t="str">
        <f t="shared" si="38"/>
        <v/>
      </c>
      <c r="T134" s="176" t="str">
        <f>IF(L134="","",VLOOKUP(L134,classifications!C:K,9,FALSE))</f>
        <v>Sparse</v>
      </c>
      <c r="U134" s="183">
        <f t="shared" si="30"/>
        <v>81.156135136736367</v>
      </c>
      <c r="V134" s="184">
        <f>IF(U134="","",IF($I$8="A",(RANK(U134,U$11:U$368)+COUNTIF(U$11:U134,U134)-1),(RANK(U134,U$11:U$368,1)+COUNTIF(U$11:U134,U134)-1)))</f>
        <v>20</v>
      </c>
      <c r="W134" s="185"/>
      <c r="X134" s="38" t="str">
        <f>IF(L134="","",VLOOKUP($L134,classifications!$C:$J,6,FALSE))</f>
        <v xml:space="preserve">Mainly Rural (rural including hub towns &gt;=80%) </v>
      </c>
      <c r="Y134" s="26">
        <f t="shared" si="31"/>
        <v>81.156135136736367</v>
      </c>
      <c r="Z134" s="34">
        <f>IF(Y134="","",IF(I$8="A",(RANK(Y134,Y$11:Y$368,1)+COUNTIF(Y$11:Y134,Y134)-1),(RANK(Y134,Y$11:Y$368)+COUNTIF(Y$11:Y134,Y134)-1)))</f>
        <v>33</v>
      </c>
      <c r="AA134" s="188" t="str">
        <f>IF(L134="","",VLOOKUP($L134,classifications!C:I,7,FALSE))</f>
        <v>Predominantly Rural</v>
      </c>
      <c r="AB134" s="184">
        <f t="shared" si="39"/>
        <v>81.156135136736367</v>
      </c>
      <c r="AC134" s="184">
        <f>IF(AB134="","",IF($I$8="A",(RANK(AB134,AB$11:AB$368)+COUNTIF(AB$11:AB134,AB134)-1),(RANK(AB134,AB$11:AB$368,1)+COUNTIF(AB$11:AB134,AB134)-1)))</f>
        <v>20</v>
      </c>
      <c r="AD134" s="184"/>
      <c r="AE134" s="28" t="str">
        <f t="shared" si="49"/>
        <v/>
      </c>
      <c r="AG134" s="96"/>
      <c r="AH134" s="29"/>
      <c r="AI134" s="38" t="str">
        <f>IF(L134="","",VLOOKUP($L134,classifications!$C:$J,8,FALSE))</f>
        <v>Northamptonshire</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East Midlands</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83.514650079811418</v>
      </c>
      <c r="AY134" s="103"/>
      <c r="AZ134" s="21"/>
    </row>
    <row r="135" spans="1:52">
      <c r="A135" s="56" t="str">
        <f>$D$1&amp;125</f>
        <v>SD125</v>
      </c>
      <c r="B135" s="57">
        <f>IF(ISERROR(VLOOKUP(A135,classifications!A:C,3,FALSE)),0,VLOOKUP(A135,classifications!A:C,3,FALSE))</f>
        <v>0</v>
      </c>
      <c r="C135" s="8" t="s">
        <v>205</v>
      </c>
      <c r="D135" s="26" t="str">
        <f>VLOOKUP($C135,classifications!$C:$J,4,FALSE)</f>
        <v>L</v>
      </c>
      <c r="E135" s="26">
        <f>VLOOKUP(C135,classifications!C:K,9,FALSE)</f>
        <v>0</v>
      </c>
      <c r="F135" s="36">
        <f t="shared" si="26"/>
        <v>83.009652007225228</v>
      </c>
      <c r="G135" s="71"/>
      <c r="H135" s="37" t="str">
        <f t="shared" si="27"/>
        <v/>
      </c>
      <c r="I135" s="77" t="str">
        <f>IF(H135="","",IF($I$8="A",(RANK(H135,H$11:H$368,1)+COUNTIF(H$11:H135,H135)-1),(RANK(H135,H$11:H$368)+COUNTIF(H$11:H135,H135)-1)))</f>
        <v/>
      </c>
      <c r="J135" s="35"/>
      <c r="K135" s="28">
        <f t="shared" si="35"/>
        <v>125</v>
      </c>
      <c r="L135" s="36" t="str">
        <f t="shared" si="28"/>
        <v>Kettering</v>
      </c>
      <c r="M135" s="102">
        <f t="shared" si="36"/>
        <v>81.117393248129574</v>
      </c>
      <c r="N135" s="101">
        <f t="shared" si="37"/>
        <v>81.117393248129574</v>
      </c>
      <c r="O135" s="94" t="str">
        <f t="shared" si="29"/>
        <v/>
      </c>
      <c r="P135" s="94" t="str">
        <f t="shared" si="45"/>
        <v/>
      </c>
      <c r="Q135" s="94">
        <f t="shared" si="46"/>
        <v>81.117393248129574</v>
      </c>
      <c r="R135" s="90" t="str">
        <f t="shared" si="47"/>
        <v/>
      </c>
      <c r="S135" s="37" t="str">
        <f t="shared" si="38"/>
        <v/>
      </c>
      <c r="T135" s="176">
        <f>IF(L135="","",VLOOKUP(L135,classifications!C:K,9,FALSE))</f>
        <v>0</v>
      </c>
      <c r="U135" s="183" t="str">
        <f t="shared" si="30"/>
        <v/>
      </c>
      <c r="V135" s="184" t="str">
        <f>IF(U135="","",IF($I$8="A",(RANK(U135,U$11:U$368)+COUNTIF(U$11:U135,U135)-1),(RANK(U135,U$11:U$368,1)+COUNTIF(U$11:U135,U135)-1)))</f>
        <v/>
      </c>
      <c r="W135" s="185"/>
      <c r="X135" s="38" t="str">
        <f>IF(L135="","",VLOOKUP($L135,classifications!$C:$J,6,FALSE))</f>
        <v>Urban with City and Town</v>
      </c>
      <c r="Y135" s="26" t="str">
        <f t="shared" si="31"/>
        <v/>
      </c>
      <c r="Z135" s="34" t="str">
        <f>IF(Y135="","",IF(I$8="A",(RANK(Y135,Y$11:Y$368,1)+COUNTIF(Y$11:Y135,Y135)-1),(RANK(Y135,Y$11:Y$368)+COUNTIF(Y$11:Y135,Y135)-1)))</f>
        <v/>
      </c>
      <c r="AA135" s="188" t="str">
        <f>IF(L135="","",VLOOKUP($L135,classifications!C:I,7,FALSE))</f>
        <v>Predominantly Urban</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Northamptonshire</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East Midlands</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83.009652007225228</v>
      </c>
      <c r="AY135" s="103"/>
      <c r="AZ135" s="21"/>
    </row>
    <row r="136" spans="1:52">
      <c r="A136" s="56" t="str">
        <f>$D$1&amp;126</f>
        <v>SD126</v>
      </c>
      <c r="B136" s="57">
        <f>IF(ISERROR(VLOOKUP(A136,classifications!A:C,3,FALSE)),0,VLOOKUP(A136,classifications!A:C,3,FALSE))</f>
        <v>0</v>
      </c>
      <c r="C136" s="8" t="s">
        <v>268</v>
      </c>
      <c r="D136" s="26" t="str">
        <f>VLOOKUP($C136,classifications!$C:$J,4,FALSE)</f>
        <v>UA</v>
      </c>
      <c r="E136" s="26">
        <f>VLOOKUP(C136,classifications!C:K,9,FALSE)</f>
        <v>0</v>
      </c>
      <c r="F136" s="36">
        <f t="shared" si="26"/>
        <v>77.184909860063641</v>
      </c>
      <c r="G136" s="71"/>
      <c r="H136" s="37" t="str">
        <f t="shared" si="27"/>
        <v/>
      </c>
      <c r="I136" s="77" t="str">
        <f>IF(H136="","",IF($I$8="A",(RANK(H136,H$11:H$368,1)+COUNTIF(H$11:H136,H136)-1),(RANK(H136,H$11:H$368)+COUNTIF(H$11:H136,H136)-1)))</f>
        <v/>
      </c>
      <c r="J136" s="35"/>
      <c r="K136" s="28">
        <f t="shared" si="35"/>
        <v>126</v>
      </c>
      <c r="L136" s="36" t="str">
        <f t="shared" si="28"/>
        <v>Carlisle</v>
      </c>
      <c r="M136" s="102">
        <f t="shared" si="36"/>
        <v>81.09538839596307</v>
      </c>
      <c r="N136" s="101">
        <f t="shared" si="37"/>
        <v>81.09538839596307</v>
      </c>
      <c r="O136" s="94" t="str">
        <f t="shared" si="29"/>
        <v/>
      </c>
      <c r="P136" s="94" t="str">
        <f t="shared" si="45"/>
        <v/>
      </c>
      <c r="Q136" s="94">
        <f t="shared" si="46"/>
        <v>81.09538839596307</v>
      </c>
      <c r="R136" s="90" t="str">
        <f t="shared" si="47"/>
        <v/>
      </c>
      <c r="S136" s="37" t="str">
        <f t="shared" si="38"/>
        <v/>
      </c>
      <c r="T136" s="176">
        <f>IF(L136="","",VLOOKUP(L136,classifications!C:K,9,FALSE))</f>
        <v>0</v>
      </c>
      <c r="U136" s="183" t="str">
        <f t="shared" si="30"/>
        <v/>
      </c>
      <c r="V136" s="184" t="str">
        <f>IF(U136="","",IF($I$8="A",(RANK(U136,U$11:U$368)+COUNTIF(U$11:U136,U136)-1),(RANK(U136,U$11:U$368,1)+COUNTIF(U$11:U136,U136)-1)))</f>
        <v/>
      </c>
      <c r="W136" s="185"/>
      <c r="X136" s="38" t="str">
        <f>IF(L136="","",VLOOKUP($L136,classifications!$C:$J,6,FALSE))</f>
        <v>Urban with Significant Rural (rural including hub towns 26-49%)</v>
      </c>
      <c r="Y136" s="26" t="str">
        <f t="shared" si="31"/>
        <v/>
      </c>
      <c r="Z136" s="34" t="str">
        <f>IF(Y136="","",IF(I$8="A",(RANK(Y136,Y$11:Y$368,1)+COUNTIF(Y$11:Y136,Y136)-1),(RANK(Y136,Y$11:Y$368)+COUNTIF(Y$11:Y136,Y136)-1)))</f>
        <v/>
      </c>
      <c r="AA136" s="188" t="str">
        <f>IF(L136="","",VLOOKUP($L136,classifications!C:I,7,FALSE))</f>
        <v>Significant Rural</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Cumbria</v>
      </c>
      <c r="AJ136" s="39">
        <f t="shared" si="32"/>
        <v>81.09538839596307</v>
      </c>
      <c r="AK136" s="34">
        <f>IF(AJ136="","",IF(I$8="A",(RANK(AJ136,AJ$11:AJ$368,1)+COUNTIF(AJ$11:AJ136,AJ136)-1),(RANK(AJ136,AJ$11:AJ$368)+COUNTIF(AJ$11:AJ136,AJ136)-1)))</f>
        <v>6</v>
      </c>
      <c r="AL136" s="29" t="str">
        <f t="shared" si="40"/>
        <v/>
      </c>
      <c r="AM136" s="8" t="str">
        <f t="shared" si="33"/>
        <v/>
      </c>
      <c r="AN136" s="8" t="str">
        <f t="shared" si="41"/>
        <v/>
      </c>
      <c r="AP136" s="38" t="str">
        <f>IF(L136="","",VLOOKUP($L136,classifications!$C:$E,3,FALSE))</f>
        <v>North West</v>
      </c>
      <c r="AQ136" s="39">
        <f t="shared" si="42"/>
        <v>81.09538839596307</v>
      </c>
      <c r="AR136" s="34">
        <f>IF(AQ136="","",IF(I$8="A",(RANK(AQ136,AQ$11:AQ$368,1)+COUNTIF(AQ$11:AQ136,AQ136)-1),(RANK(AQ136,AQ$11:AQ$368)+COUNTIF(AQ$11:AQ136,AQ136)-1)))</f>
        <v>9</v>
      </c>
      <c r="AS136" s="29" t="str">
        <f t="shared" si="43"/>
        <v/>
      </c>
      <c r="AT136" s="34" t="str">
        <f t="shared" si="34"/>
        <v/>
      </c>
      <c r="AU136" s="39" t="str">
        <f t="shared" si="48"/>
        <v/>
      </c>
      <c r="AX136" s="21">
        <f>HLOOKUP($AX$9&amp;$AX$10,Data!$A$1:$ZZ$2000,(MATCH($C136,Data!$A$1:$A$2000,0)),FALSE)</f>
        <v>77.184909860063641</v>
      </c>
      <c r="AY136" s="103"/>
      <c r="AZ136" s="21"/>
    </row>
    <row r="137" spans="1:52">
      <c r="A137" s="56" t="str">
        <f>$D$1&amp;127</f>
        <v>SD127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84.789792468125</v>
      </c>
      <c r="G137" s="71"/>
      <c r="H137" s="37">
        <f t="shared" si="27"/>
        <v>84.789792468125</v>
      </c>
      <c r="I137" s="77">
        <f>IF(H137="","",IF($I$8="A",(RANK(H137,H$11:H$368,1)+COUNTIF(H$11:H137,H137)-1),(RANK(H137,H$11:H$368)+COUNTIF(H$11:H137,H137)-1)))</f>
        <v>53</v>
      </c>
      <c r="J137" s="35"/>
      <c r="K137" s="28">
        <f t="shared" si="35"/>
        <v>127</v>
      </c>
      <c r="L137" s="36" t="str">
        <f t="shared" si="28"/>
        <v>Bolsover</v>
      </c>
      <c r="M137" s="102">
        <f t="shared" si="36"/>
        <v>81.08571466065861</v>
      </c>
      <c r="N137" s="101">
        <f t="shared" si="37"/>
        <v>81.08571466065861</v>
      </c>
      <c r="O137" s="94" t="str">
        <f t="shared" si="29"/>
        <v/>
      </c>
      <c r="P137" s="94" t="str">
        <f t="shared" si="45"/>
        <v/>
      </c>
      <c r="Q137" s="94">
        <f t="shared" si="46"/>
        <v>81.08571466065861</v>
      </c>
      <c r="R137" s="90" t="str">
        <f t="shared" si="47"/>
        <v/>
      </c>
      <c r="S137" s="37" t="str">
        <f t="shared" si="38"/>
        <v/>
      </c>
      <c r="T137" s="176">
        <f>IF(L137="","",VLOOKUP(L137,classifications!C:K,9,FALSE))</f>
        <v>0</v>
      </c>
      <c r="U137" s="183" t="str">
        <f t="shared" si="30"/>
        <v/>
      </c>
      <c r="V137" s="184" t="str">
        <f>IF(U137="","",IF($I$8="A",(RANK(U137,U$11:U$368)+COUNTIF(U$11:U137,U137)-1),(RANK(U137,U$11:U$368,1)+COUNTIF(U$11:U137,U137)-1)))</f>
        <v/>
      </c>
      <c r="W137" s="185"/>
      <c r="X137" s="38" t="str">
        <f>IF(L137="","",VLOOKUP($L137,classifications!$C:$J,6,FALSE))</f>
        <v>Urban with Significant Rural (rural including hub towns 26-49%)</v>
      </c>
      <c r="Y137" s="26" t="str">
        <f t="shared" si="31"/>
        <v/>
      </c>
      <c r="Z137" s="34" t="str">
        <f>IF(Y137="","",IF(I$8="A",(RANK(Y137,Y$11:Y$368,1)+COUNTIF(Y$11:Y137,Y137)-1),(RANK(Y137,Y$11:Y$368)+COUNTIF(Y$11:Y137,Y137)-1)))</f>
        <v/>
      </c>
      <c r="AA137" s="188" t="str">
        <f>IF(L137="","",VLOOKUP($L137,classifications!C:I,7,FALSE))</f>
        <v>Significant Rural</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Derbyshire</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East Midlands</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84.789792468125</v>
      </c>
      <c r="AY137" s="103"/>
      <c r="AZ137" s="21"/>
    </row>
    <row r="138" spans="1:52">
      <c r="A138" s="56" t="str">
        <f>$D$1&amp;128</f>
        <v>SD128</v>
      </c>
      <c r="B138" s="57">
        <f>IF(ISERROR(VLOOKUP(A138,classifications!A:C,3,FALSE)),0,VLOOKUP(A138,classifications!A:C,3,FALSE))</f>
        <v>0</v>
      </c>
      <c r="C138" s="8" t="s">
        <v>336</v>
      </c>
      <c r="D138" s="26" t="str">
        <f>VLOOKUP($C138,classifications!$C:$J,4,FALSE)</f>
        <v>L</v>
      </c>
      <c r="E138" s="26">
        <f>VLOOKUP(C138,classifications!C:K,9,FALSE)</f>
        <v>0</v>
      </c>
      <c r="F138" s="36">
        <f t="shared" si="26"/>
        <v>88.483627349049343</v>
      </c>
      <c r="G138" s="71"/>
      <c r="H138" s="37" t="str">
        <f t="shared" si="27"/>
        <v/>
      </c>
      <c r="I138" s="77" t="str">
        <f>IF(H138="","",IF($I$8="A",(RANK(H138,H$11:H$368,1)+COUNTIF(H$11:H138,H138)-1),(RANK(H138,H$11:H$368)+COUNTIF(H$11:H138,H138)-1)))</f>
        <v/>
      </c>
      <c r="J138" s="35"/>
      <c r="K138" s="28">
        <f t="shared" si="35"/>
        <v>128</v>
      </c>
      <c r="L138" s="36" t="str">
        <f t="shared" si="28"/>
        <v>Wellingborough</v>
      </c>
      <c r="M138" s="102">
        <f t="shared" si="36"/>
        <v>81.003820275127808</v>
      </c>
      <c r="N138" s="101">
        <f t="shared" si="37"/>
        <v>81.003820275127808</v>
      </c>
      <c r="O138" s="94" t="str">
        <f t="shared" si="29"/>
        <v/>
      </c>
      <c r="P138" s="94" t="str">
        <f t="shared" si="45"/>
        <v/>
      </c>
      <c r="Q138" s="94">
        <f t="shared" si="46"/>
        <v>81.003820275127808</v>
      </c>
      <c r="R138" s="90" t="str">
        <f t="shared" si="47"/>
        <v/>
      </c>
      <c r="S138" s="37" t="str">
        <f t="shared" si="38"/>
        <v/>
      </c>
      <c r="T138" s="176">
        <f>IF(L138="","",VLOOKUP(L138,classifications!C:K,9,FALSE))</f>
        <v>0</v>
      </c>
      <c r="U138" s="183" t="str">
        <f t="shared" si="30"/>
        <v/>
      </c>
      <c r="V138" s="184" t="str">
        <f>IF(U138="","",IF($I$8="A",(RANK(U138,U$11:U$368)+COUNTIF(U$11:U138,U138)-1),(RANK(U138,U$11:U$368,1)+COUNTIF(U$11:U138,U138)-1)))</f>
        <v/>
      </c>
      <c r="W138" s="185"/>
      <c r="X138" s="38" t="str">
        <f>IF(L138="","",VLOOKUP($L138,classifications!$C:$J,6,FALSE))</f>
        <v>Urban with Significant Rural (rural including hub towns 26-49%)</v>
      </c>
      <c r="Y138" s="26" t="str">
        <f t="shared" si="31"/>
        <v/>
      </c>
      <c r="Z138" s="34" t="str">
        <f>IF(Y138="","",IF(I$8="A",(RANK(Y138,Y$11:Y$368,1)+COUNTIF(Y$11:Y138,Y138)-1),(RANK(Y138,Y$11:Y$368)+COUNTIF(Y$11:Y138,Y138)-1)))</f>
        <v/>
      </c>
      <c r="AA138" s="188" t="str">
        <f>IF(L138="","",VLOOKUP($L138,classifications!C:I,7,FALSE))</f>
        <v>Significant Rural</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Northamptonshire</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East Midlands</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88.483627349049343</v>
      </c>
      <c r="AY138" s="103"/>
      <c r="AZ138" s="21"/>
    </row>
    <row r="139" spans="1:52">
      <c r="A139" s="56" t="str">
        <f>$D$1&amp;129</f>
        <v>SD129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83.09730584074228</v>
      </c>
      <c r="G139" s="71"/>
      <c r="H139" s="37" t="str">
        <f t="shared" ref="H139:H202" si="51">IF(D139=$D$1,HLOOKUP($D$6,$AX$10:$ZZ$368,ROW()-9,FALSE),"")</f>
        <v/>
      </c>
      <c r="I139" s="77" t="str">
        <f>IF(H139="","",IF($I$8="A",(RANK(H139,H$11:H$368,1)+COUNTIF(H$11:H139,H139)-1),(RANK(H139,H$11:H$368)+COUNTIF(H$11:H139,H139)-1)))</f>
        <v/>
      </c>
      <c r="J139" s="35"/>
      <c r="K139" s="28">
        <f t="shared" si="35"/>
        <v>129</v>
      </c>
      <c r="L139" s="36" t="str">
        <f t="shared" ref="L139:L202" si="52">IF(K139="","",INDEX(C$11:C$368,MATCH(K139,I$11:I$368,0)))</f>
        <v>Sedgemoor</v>
      </c>
      <c r="M139" s="102">
        <f t="shared" si="36"/>
        <v>80.987988076128133</v>
      </c>
      <c r="N139" s="101">
        <f t="shared" si="37"/>
        <v>80.987988076128133</v>
      </c>
      <c r="O139" s="94" t="str">
        <f t="shared" ref="O139:O202" si="53">IF(I$8="A",IF(N139&gt;=$P$7,IF(N139&lt;=$O$10,N139,""),""),IF(N139&lt;=$P$7,IF(N139&gt;=$O$10,N139,""),""))</f>
        <v/>
      </c>
      <c r="P139" s="94" t="str">
        <f t="shared" si="45"/>
        <v/>
      </c>
      <c r="Q139" s="94">
        <f t="shared" si="46"/>
        <v>80.987988076128133</v>
      </c>
      <c r="R139" s="90" t="str">
        <f t="shared" si="47"/>
        <v/>
      </c>
      <c r="S139" s="37" t="str">
        <f t="shared" si="38"/>
        <v/>
      </c>
      <c r="T139" s="176" t="str">
        <f>IF(L139="","",VLOOKUP(L139,classifications!C:K,9,FALSE))</f>
        <v>Sparse</v>
      </c>
      <c r="U139" s="183">
        <f t="shared" ref="U139:U202" si="54">IF(T139="Sparse",M139,"")</f>
        <v>80.987988076128133</v>
      </c>
      <c r="V139" s="184">
        <f>IF(U139="","",IF($I$8="A",(RANK(U139,U$11:U$368)+COUNTIF(U$11:U139,U139)-1),(RANK(U139,U$11:U$368,1)+COUNTIF(U$11:U139,U139)-1)))</f>
        <v>19</v>
      </c>
      <c r="W139" s="185"/>
      <c r="X139" s="38" t="str">
        <f>IF(L139="","",VLOOKUP($L139,classifications!$C:$J,6,FALSE))</f>
        <v xml:space="preserve">Largely Rural (rural including hub towns 50-79%) </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Predominantly Rural</v>
      </c>
      <c r="AB139" s="184">
        <f t="shared" si="39"/>
        <v>80.987988076128133</v>
      </c>
      <c r="AC139" s="184">
        <f>IF(AB139="","",IF($I$8="A",(RANK(AB139,AB$11:AB$368)+COUNTIF(AB$11:AB139,AB139)-1),(RANK(AB139,AB$11:AB$368,1)+COUNTIF(AB$11:AB139,AB139)-1)))</f>
        <v>19</v>
      </c>
      <c r="AD139" s="184"/>
      <c r="AE139" s="28" t="str">
        <f t="shared" si="49"/>
        <v/>
      </c>
      <c r="AG139" s="96"/>
      <c r="AH139" s="29"/>
      <c r="AI139" s="38" t="str">
        <f>IF(L139="","",VLOOKUP($L139,classifications!$C:$J,8,FALSE))</f>
        <v>Somerset</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South West</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83.09730584074228</v>
      </c>
      <c r="AY139" s="103"/>
      <c r="AZ139" s="21"/>
    </row>
    <row r="140" spans="1:52">
      <c r="A140" s="56" t="str">
        <f>$D$1&amp;130</f>
        <v>SD130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80.733315578469814</v>
      </c>
      <c r="G140" s="71"/>
      <c r="H140" s="37">
        <f t="shared" si="51"/>
        <v>80.733315578469814</v>
      </c>
      <c r="I140" s="77">
        <f>IF(H140="","",IF($I$8="A",(RANK(H140,H$11:H$368,1)+COUNTIF(H$11:H140,H140)-1),(RANK(H140,H$11:H$368)+COUNTIF(H$11:H140,H140)-1)))</f>
        <v>131</v>
      </c>
      <c r="J140" s="35"/>
      <c r="K140" s="28">
        <f t="shared" ref="K140:K203" si="59">IF(K139="","",IF(K139+1&gt;(COUNT(H$11:H$368)),"",K139+1))</f>
        <v>130</v>
      </c>
      <c r="L140" s="36" t="str">
        <f t="shared" si="52"/>
        <v>Stevenage</v>
      </c>
      <c r="M140" s="102">
        <f t="shared" ref="M140:M203" si="60">IF(L140="","",IF(VLOOKUP(L140,C:D,2,FALSE)=$F$3,VLOOKUP(L140,C:H,6,FALSE),""))</f>
        <v>80.749600024003115</v>
      </c>
      <c r="N140" s="101">
        <f t="shared" ref="N140:N203" si="61">IF(L140="","",IF($H$8="%%",M140*100,M140))</f>
        <v>80.749600024003115</v>
      </c>
      <c r="O140" s="94" t="str">
        <f t="shared" si="53"/>
        <v/>
      </c>
      <c r="P140" s="94" t="str">
        <f t="shared" si="45"/>
        <v/>
      </c>
      <c r="Q140" s="94">
        <f t="shared" si="46"/>
        <v>80.749600024003115</v>
      </c>
      <c r="R140" s="90" t="str">
        <f t="shared" si="47"/>
        <v/>
      </c>
      <c r="S140" s="37" t="str">
        <f t="shared" ref="S140:S203" si="62">IF(L140=D$3,"u","")</f>
        <v/>
      </c>
      <c r="T140" s="176">
        <f>IF(L140="","",VLOOKUP(L140,classifications!C:K,9,FALSE))</f>
        <v>0</v>
      </c>
      <c r="U140" s="183" t="str">
        <f t="shared" si="54"/>
        <v/>
      </c>
      <c r="V140" s="184" t="str">
        <f>IF(U140="","",IF($I$8="A",(RANK(U140,U$11:U$368)+COUNTIF(U$11:U140,U140)-1),(RANK(U140,U$11:U$368,1)+COUNTIF(U$11:U140,U140)-1)))</f>
        <v/>
      </c>
      <c r="W140" s="185"/>
      <c r="X140" s="38" t="str">
        <f>IF(L140="","",VLOOKUP($L140,classifications!$C:$J,6,FALSE))</f>
        <v>Urban with City and Town</v>
      </c>
      <c r="Y140" s="26" t="str">
        <f t="shared" si="55"/>
        <v/>
      </c>
      <c r="Z140" s="34" t="str">
        <f>IF(Y140="","",IF(I$8="A",(RANK(Y140,Y$11:Y$368,1)+COUNTIF(Y$11:Y140,Y140)-1),(RANK(Y140,Y$11:Y$368)+COUNTIF(Y$11:Y140,Y140)-1)))</f>
        <v/>
      </c>
      <c r="AA140" s="188" t="str">
        <f>IF(L140="","",VLOOKUP($L140,classifications!C:I,7,FALSE))</f>
        <v>Predominantly Urban</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Hertfordshire</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East of England</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80.733315578469814</v>
      </c>
      <c r="AY140" s="103"/>
      <c r="AZ140" s="21"/>
    </row>
    <row r="141" spans="1:52">
      <c r="A141" s="56" t="str">
        <f>$D$1&amp;131</f>
        <v>SD131</v>
      </c>
      <c r="B141" s="57">
        <f>IF(ISERROR(VLOOKUP(A141,classifications!A:C,3,FALSE)),0,VLOOKUP(A141,classifications!A:C,3,FALSE))</f>
        <v>0</v>
      </c>
      <c r="C141" s="8" t="s">
        <v>206</v>
      </c>
      <c r="D141" s="26" t="str">
        <f>VLOOKUP($C141,classifications!$C:$J,4,FALSE)</f>
        <v>L</v>
      </c>
      <c r="E141" s="26">
        <f>VLOOKUP(C141,classifications!C:K,9,FALSE)</f>
        <v>0</v>
      </c>
      <c r="F141" s="36">
        <f t="shared" si="50"/>
        <v>84.455801628983579</v>
      </c>
      <c r="G141" s="71"/>
      <c r="H141" s="37" t="str">
        <f t="shared" si="51"/>
        <v/>
      </c>
      <c r="I141" s="77" t="str">
        <f>IF(H141="","",IF($I$8="A",(RANK(H141,H$11:H$368,1)+COUNTIF(H$11:H141,H141)-1),(RANK(H141,H$11:H$368)+COUNTIF(H$11:H141,H141)-1)))</f>
        <v/>
      </c>
      <c r="J141" s="35"/>
      <c r="K141" s="28">
        <f t="shared" si="59"/>
        <v>131</v>
      </c>
      <c r="L141" s="36" t="str">
        <f t="shared" si="52"/>
        <v>Harborough</v>
      </c>
      <c r="M141" s="102">
        <f t="shared" si="60"/>
        <v>80.733315578469814</v>
      </c>
      <c r="N141" s="101">
        <f t="shared" si="61"/>
        <v>80.733315578469814</v>
      </c>
      <c r="O141" s="94" t="str">
        <f t="shared" si="53"/>
        <v/>
      </c>
      <c r="P141" s="94" t="str">
        <f t="shared" ref="P141:P204" si="68">IF(I$8="A",IF(N141&gt;$O$10,IF(N141&lt;=$P$10,N141,""),""),IF(N141&lt;$O$10,IF(N141&gt;=$P$10,N141,""),""))</f>
        <v/>
      </c>
      <c r="Q141" s="94">
        <f t="shared" ref="Q141:Q204" si="69">IF(I$8="A",IF(N141&gt;$P$10,IF(N141&lt;=$Q$10,N141,""),""),IF(N141&lt;$P$10,IF(N141&gt;=$Q$10,N141,""),""))</f>
        <v>80.733315578469814</v>
      </c>
      <c r="R141" s="90" t="str">
        <f t="shared" ref="R141:R204" si="70">IF(I$8="A",IF(N141&gt;$Q$10,N141,""),IF(N141&lt;$Q$10,N141,""))</f>
        <v/>
      </c>
      <c r="S141" s="37" t="str">
        <f t="shared" si="62"/>
        <v/>
      </c>
      <c r="T141" s="176" t="str">
        <f>IF(L141="","",VLOOKUP(L141,classifications!C:K,9,FALSE))</f>
        <v>Sparse</v>
      </c>
      <c r="U141" s="183">
        <f t="shared" si="54"/>
        <v>80.733315578469814</v>
      </c>
      <c r="V141" s="184">
        <f>IF(U141="","",IF($I$8="A",(RANK(U141,U$11:U$368)+COUNTIF(U$11:U141,U141)-1),(RANK(U141,U$11:U$368,1)+COUNTIF(U$11:U141,U141)-1)))</f>
        <v>18</v>
      </c>
      <c r="W141" s="185"/>
      <c r="X141" s="38" t="str">
        <f>IF(L141="","",VLOOKUP($L141,classifications!$C:$J,6,FALSE))</f>
        <v xml:space="preserve">Mainly Rural (rural including hub towns &gt;=80%) </v>
      </c>
      <c r="Y141" s="26">
        <f t="shared" si="55"/>
        <v>80.733315578469814</v>
      </c>
      <c r="Z141" s="34">
        <f>IF(Y141="","",IF(I$8="A",(RANK(Y141,Y$11:Y$368,1)+COUNTIF(Y$11:Y141,Y141)-1),(RANK(Y141,Y$11:Y$368)+COUNTIF(Y$11:Y141,Y141)-1)))</f>
        <v>34</v>
      </c>
      <c r="AA141" s="188" t="str">
        <f>IF(L141="","",VLOOKUP($L141,classifications!C:I,7,FALSE))</f>
        <v>Predominantly Rural</v>
      </c>
      <c r="AB141" s="184">
        <f t="shared" si="63"/>
        <v>80.733315578469814</v>
      </c>
      <c r="AC141" s="184">
        <f>IF(AB141="","",IF($I$8="A",(RANK(AB141,AB$11:AB$368)+COUNTIF(AB$11:AB141,AB141)-1),(RANK(AB141,AB$11:AB$368,1)+COUNTIF(AB$11:AB141,AB141)-1)))</f>
        <v>18</v>
      </c>
      <c r="AD141" s="184"/>
      <c r="AE141" s="28" t="str">
        <f t="shared" si="49"/>
        <v/>
      </c>
      <c r="AG141" s="96"/>
      <c r="AH141" s="29"/>
      <c r="AI141" s="38" t="str">
        <f>IF(L141="","",VLOOKUP($L141,classifications!$C:$J,8,FALSE))</f>
        <v>Leicestershire</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East Midlands</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84.455801628983579</v>
      </c>
      <c r="AY141" s="103"/>
      <c r="AZ141" s="21"/>
    </row>
    <row r="142" spans="1:52">
      <c r="A142" s="56" t="str">
        <f>$D$1&amp;132</f>
        <v>SD132</v>
      </c>
      <c r="B142" s="57">
        <f>IF(ISERROR(VLOOKUP(A142,classifications!A:C,3,FALSE)),0,VLOOKUP(A142,classifications!A:C,3,FALSE))</f>
        <v>0</v>
      </c>
      <c r="C142" s="8" t="s">
        <v>80</v>
      </c>
      <c r="D142" s="26" t="str">
        <f>VLOOKUP($C142,classifications!$C:$J,4,FALSE)</f>
        <v>SD</v>
      </c>
      <c r="E142" s="26">
        <f>VLOOKUP(C142,classifications!C:K,9,FALSE)</f>
        <v>0</v>
      </c>
      <c r="F142" s="36">
        <f t="shared" si="50"/>
        <v>73.035481687795397</v>
      </c>
      <c r="G142" s="71"/>
      <c r="H142" s="37">
        <f t="shared" si="51"/>
        <v>73.035481687795397</v>
      </c>
      <c r="I142" s="77">
        <f>IF(H142="","",IF($I$8="A",(RANK(H142,H$11:H$368,1)+COUNTIF(H$11:H142,H142)-1),(RANK(H142,H$11:H$368)+COUNTIF(H$11:H142,H142)-1)))</f>
        <v>191</v>
      </c>
      <c r="J142" s="35"/>
      <c r="K142" s="28">
        <f t="shared" si="59"/>
        <v>132</v>
      </c>
      <c r="L142" s="36" t="str">
        <f t="shared" si="52"/>
        <v>King's Lynn &amp; West Norfolk</v>
      </c>
      <c r="M142" s="102">
        <f t="shared" si="60"/>
        <v>80.638596603709118</v>
      </c>
      <c r="N142" s="101">
        <f t="shared" si="61"/>
        <v>80.638596603709118</v>
      </c>
      <c r="O142" s="94" t="str">
        <f t="shared" si="53"/>
        <v/>
      </c>
      <c r="P142" s="94" t="str">
        <f t="shared" si="68"/>
        <v/>
      </c>
      <c r="Q142" s="94">
        <f t="shared" si="69"/>
        <v>80.638596603709118</v>
      </c>
      <c r="R142" s="90" t="str">
        <f t="shared" si="70"/>
        <v/>
      </c>
      <c r="S142" s="37" t="str">
        <f t="shared" si="62"/>
        <v/>
      </c>
      <c r="T142" s="176" t="str">
        <f>IF(L142="","",VLOOKUP(L142,classifications!C:K,9,FALSE))</f>
        <v>Sparse</v>
      </c>
      <c r="U142" s="183">
        <f t="shared" si="54"/>
        <v>80.638596603709118</v>
      </c>
      <c r="V142" s="184">
        <f>IF(U142="","",IF($I$8="A",(RANK(U142,U$11:U$368)+COUNTIF(U$11:U142,U142)-1),(RANK(U142,U$11:U$368,1)+COUNTIF(U$11:U142,U142)-1)))</f>
        <v>17</v>
      </c>
      <c r="W142" s="185"/>
      <c r="X142" s="38" t="str">
        <f>IF(L142="","",VLOOKUP($L142,classifications!$C:$J,6,FALSE))</f>
        <v xml:space="preserve">Largely Rural (rural including hub towns 50-79%) </v>
      </c>
      <c r="Y142" s="26" t="str">
        <f t="shared" si="55"/>
        <v/>
      </c>
      <c r="Z142" s="34" t="str">
        <f>IF(Y142="","",IF(I$8="A",(RANK(Y142,Y$11:Y$368,1)+COUNTIF(Y$11:Y142,Y142)-1),(RANK(Y142,Y$11:Y$368)+COUNTIF(Y$11:Y142,Y142)-1)))</f>
        <v/>
      </c>
      <c r="AA142" s="188" t="str">
        <f>IF(L142="","",VLOOKUP($L142,classifications!C:I,7,FALSE))</f>
        <v>Predominantly Rural</v>
      </c>
      <c r="AB142" s="184">
        <f t="shared" si="63"/>
        <v>80.638596603709118</v>
      </c>
      <c r="AC142" s="184">
        <f>IF(AB142="","",IF($I$8="A",(RANK(AB142,AB$11:AB$368)+COUNTIF(AB$11:AB142,AB142)-1),(RANK(AB142,AB$11:AB$368,1)+COUNTIF(AB$11:AB142,AB142)-1)))</f>
        <v>17</v>
      </c>
      <c r="AD142" s="184"/>
      <c r="AE142" s="28" t="str">
        <f t="shared" si="49"/>
        <v/>
      </c>
      <c r="AG142" s="96"/>
      <c r="AH142" s="29"/>
      <c r="AI142" s="38" t="str">
        <f>IF(L142="","",VLOOKUP($L142,classifications!$C:$J,8,FALSE))</f>
        <v>Norfolk</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East of England</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73.035481687795397</v>
      </c>
      <c r="AY142" s="103"/>
      <c r="AZ142" s="21"/>
    </row>
    <row r="143" spans="1:52">
      <c r="A143" s="56" t="str">
        <f>$D$1&amp;133</f>
        <v>SD133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86.368889654737089</v>
      </c>
      <c r="G143" s="71"/>
      <c r="H143" s="37">
        <f t="shared" si="51"/>
        <v>86.368889654737089</v>
      </c>
      <c r="I143" s="77">
        <f>IF(H143="","",IF($I$8="A",(RANK(H143,H$11:H$368,1)+COUNTIF(H$11:H143,H143)-1),(RANK(H143,H$11:H$368)+COUNTIF(H$11:H143,H143)-1)))</f>
        <v>29</v>
      </c>
      <c r="J143" s="35"/>
      <c r="K143" s="28">
        <f t="shared" si="59"/>
        <v>133</v>
      </c>
      <c r="L143" s="36" t="str">
        <f t="shared" si="52"/>
        <v>Stafford</v>
      </c>
      <c r="M143" s="102">
        <f t="shared" si="60"/>
        <v>80.628429131598295</v>
      </c>
      <c r="N143" s="101">
        <f t="shared" si="61"/>
        <v>80.628429131598295</v>
      </c>
      <c r="O143" s="94" t="str">
        <f t="shared" si="53"/>
        <v/>
      </c>
      <c r="P143" s="94" t="str">
        <f t="shared" si="68"/>
        <v/>
      </c>
      <c r="Q143" s="94">
        <f t="shared" si="69"/>
        <v>80.628429131598295</v>
      </c>
      <c r="R143" s="90" t="str">
        <f t="shared" si="70"/>
        <v/>
      </c>
      <c r="S143" s="37" t="str">
        <f t="shared" si="62"/>
        <v/>
      </c>
      <c r="T143" s="176" t="str">
        <f>IF(L143="","",VLOOKUP(L143,classifications!C:K,9,FALSE))</f>
        <v>Sparse</v>
      </c>
      <c r="U143" s="183">
        <f t="shared" si="54"/>
        <v>80.628429131598295</v>
      </c>
      <c r="V143" s="184">
        <f>IF(U143="","",IF($I$8="A",(RANK(U143,U$11:U$368)+COUNTIF(U$11:U143,U143)-1),(RANK(U143,U$11:U$368,1)+COUNTIF(U$11:U143,U143)-1)))</f>
        <v>16</v>
      </c>
      <c r="W143" s="185"/>
      <c r="X143" s="38" t="str">
        <f>IF(L143="","",VLOOKUP($L143,classifications!$C:$J,6,FALSE))</f>
        <v>Urban with Significant Rural (rural including hub towns 26-49%)</v>
      </c>
      <c r="Y143" s="26" t="str">
        <f t="shared" si="55"/>
        <v/>
      </c>
      <c r="Z143" s="34" t="str">
        <f>IF(Y143="","",IF(I$8="A",(RANK(Y143,Y$11:Y$368,1)+COUNTIF(Y$11:Y143,Y143)-1),(RANK(Y143,Y$11:Y$368)+COUNTIF(Y$11:Y143,Y143)-1)))</f>
        <v/>
      </c>
      <c r="AA143" s="188" t="str">
        <f>IF(L143="","",VLOOKUP($L143,classifications!C:I,7,FALSE))</f>
        <v>Significant Rural</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Staffordshire</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West Midlands</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86.368889654737089</v>
      </c>
      <c r="AY143" s="103"/>
      <c r="AZ143" s="21"/>
    </row>
    <row r="144" spans="1:52">
      <c r="A144" s="56" t="str">
        <f>$D$1&amp;134</f>
        <v>SD134</v>
      </c>
      <c r="B144" s="57">
        <f>IF(ISERROR(VLOOKUP(A144,classifications!A:C,3,FALSE)),0,VLOOKUP(A144,classifications!A:C,3,FALSE))</f>
        <v>0</v>
      </c>
      <c r="C144" s="8" t="s">
        <v>207</v>
      </c>
      <c r="D144" s="26" t="str">
        <f>VLOOKUP($C144,classifications!$C:$J,4,FALSE)</f>
        <v>L</v>
      </c>
      <c r="E144" s="26">
        <f>VLOOKUP(C144,classifications!C:K,9,FALSE)</f>
        <v>0</v>
      </c>
      <c r="F144" s="36">
        <f t="shared" si="50"/>
        <v>78.909587787374761</v>
      </c>
      <c r="G144" s="71"/>
      <c r="H144" s="37" t="str">
        <f t="shared" si="51"/>
        <v/>
      </c>
      <c r="I144" s="77" t="str">
        <f>IF(H144="","",IF($I$8="A",(RANK(H144,H$11:H$368,1)+COUNTIF(H$11:H144,H144)-1),(RANK(H144,H$11:H$368)+COUNTIF(H$11:H144,H144)-1)))</f>
        <v/>
      </c>
      <c r="J144" s="35"/>
      <c r="K144" s="28">
        <f t="shared" si="59"/>
        <v>134</v>
      </c>
      <c r="L144" s="36" t="str">
        <f t="shared" si="52"/>
        <v>Blaby</v>
      </c>
      <c r="M144" s="102">
        <f t="shared" si="60"/>
        <v>80.526976949454593</v>
      </c>
      <c r="N144" s="101">
        <f t="shared" si="61"/>
        <v>80.526976949454593</v>
      </c>
      <c r="O144" s="94" t="str">
        <f t="shared" si="53"/>
        <v/>
      </c>
      <c r="P144" s="94" t="str">
        <f t="shared" si="68"/>
        <v/>
      </c>
      <c r="Q144" s="94">
        <f t="shared" si="69"/>
        <v>80.526976949454593</v>
      </c>
      <c r="R144" s="90" t="str">
        <f t="shared" si="70"/>
        <v/>
      </c>
      <c r="S144" s="37" t="str">
        <f t="shared" si="62"/>
        <v/>
      </c>
      <c r="T144" s="176">
        <f>IF(L144="","",VLOOKUP(L144,classifications!C:K,9,FALSE))</f>
        <v>0</v>
      </c>
      <c r="U144" s="183" t="str">
        <f t="shared" si="54"/>
        <v/>
      </c>
      <c r="V144" s="184" t="str">
        <f>IF(U144="","",IF($I$8="A",(RANK(U144,U$11:U$368)+COUNTIF(U$11:U144,U144)-1),(RANK(U144,U$11:U$368,1)+COUNTIF(U$11:U144,U144)-1)))</f>
        <v/>
      </c>
      <c r="W144" s="185"/>
      <c r="X144" s="38" t="str">
        <f>IF(L144="","",VLOOKUP($L144,classifications!$C:$J,6,FALSE))</f>
        <v>Urban with City and Town</v>
      </c>
      <c r="Y144" s="26" t="str">
        <f t="shared" si="55"/>
        <v/>
      </c>
      <c r="Z144" s="34" t="str">
        <f>IF(Y144="","",IF(I$8="A",(RANK(Y144,Y$11:Y$368,1)+COUNTIF(Y$11:Y144,Y144)-1),(RANK(Y144,Y$11:Y$368)+COUNTIF(Y$11:Y144,Y144)-1)))</f>
        <v/>
      </c>
      <c r="AA144" s="188" t="str">
        <f>IF(L144="","",VLOOKUP($L144,classifications!C:I,7,FALSE))</f>
        <v>Predominantly Urban</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Leicestershire</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East Midlands</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78.909587787374761</v>
      </c>
      <c r="AY144" s="103"/>
      <c r="AZ144" s="21"/>
    </row>
    <row r="145" spans="1:52">
      <c r="A145" s="56" t="str">
        <f>$D$1&amp;135</f>
        <v>SD135</v>
      </c>
      <c r="B145" s="57">
        <f>IF(ISERROR(VLOOKUP(A145,classifications!A:C,3,FALSE)),0,VLOOKUP(A145,classifications!A:C,3,FALSE))</f>
        <v>0</v>
      </c>
      <c r="C145" s="8" t="s">
        <v>82</v>
      </c>
      <c r="D145" s="26" t="str">
        <f>VLOOKUP($C145,classifications!$C:$J,4,FALSE)</f>
        <v>SD</v>
      </c>
      <c r="E145" s="26">
        <f>VLOOKUP(C145,classifications!C:K,9,FALSE)</f>
        <v>0</v>
      </c>
      <c r="F145" s="36">
        <f t="shared" si="50"/>
        <v>83.68457648705197</v>
      </c>
      <c r="G145" s="71"/>
      <c r="H145" s="37">
        <f t="shared" si="51"/>
        <v>83.68457648705197</v>
      </c>
      <c r="I145" s="77">
        <f>IF(H145="","",IF($I$8="A",(RANK(H145,H$11:H$368,1)+COUNTIF(H$11:H145,H145)-1),(RANK(H145,H$11:H$368)+COUNTIF(H$11:H145,H145)-1)))</f>
        <v>76</v>
      </c>
      <c r="J145" s="35"/>
      <c r="K145" s="28">
        <f t="shared" si="59"/>
        <v>135</v>
      </c>
      <c r="L145" s="36" t="str">
        <f t="shared" si="52"/>
        <v>Tamworth</v>
      </c>
      <c r="M145" s="102">
        <f t="shared" si="60"/>
        <v>80.519686940843357</v>
      </c>
      <c r="N145" s="101">
        <f t="shared" si="61"/>
        <v>80.519686940843357</v>
      </c>
      <c r="O145" s="94" t="str">
        <f t="shared" si="53"/>
        <v/>
      </c>
      <c r="P145" s="94" t="str">
        <f t="shared" si="68"/>
        <v/>
      </c>
      <c r="Q145" s="94">
        <f t="shared" si="69"/>
        <v>80.519686940843357</v>
      </c>
      <c r="R145" s="90" t="str">
        <f t="shared" si="70"/>
        <v/>
      </c>
      <c r="S145" s="37" t="str">
        <f t="shared" si="62"/>
        <v/>
      </c>
      <c r="T145" s="176">
        <f>IF(L145="","",VLOOKUP(L145,classifications!C:K,9,FALSE))</f>
        <v>0</v>
      </c>
      <c r="U145" s="183" t="str">
        <f t="shared" si="54"/>
        <v/>
      </c>
      <c r="V145" s="184" t="str">
        <f>IF(U145="","",IF($I$8="A",(RANK(U145,U$11:U$368)+COUNTIF(U$11:U145,U145)-1),(RANK(U145,U$11:U$368,1)+COUNTIF(U$11:U145,U145)-1)))</f>
        <v/>
      </c>
      <c r="W145" s="185"/>
      <c r="X145" s="38" t="str">
        <f>IF(L145="","",VLOOKUP($L145,classifications!$C:$J,6,FALSE))</f>
        <v>Urban with City and Town</v>
      </c>
      <c r="Y145" s="26" t="str">
        <f t="shared" si="55"/>
        <v/>
      </c>
      <c r="Z145" s="34" t="str">
        <f>IF(Y145="","",IF(I$8="A",(RANK(Y145,Y$11:Y$368,1)+COUNTIF(Y$11:Y145,Y145)-1),(RANK(Y145,Y$11:Y$368)+COUNTIF(Y$11:Y145,Y145)-1)))</f>
        <v/>
      </c>
      <c r="AA145" s="188" t="str">
        <f>IF(L145="","",VLOOKUP($L145,classifications!C:I,7,FALSE))</f>
        <v>Predominantly Urban</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Staffordshire</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West Midlands</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83.68457648705197</v>
      </c>
      <c r="AY145" s="103"/>
      <c r="AZ145" s="21"/>
    </row>
    <row r="146" spans="1:52">
      <c r="A146" s="56" t="str">
        <f>$D$1&amp;136</f>
        <v>SD136</v>
      </c>
      <c r="B146" s="57">
        <f>IF(ISERROR(VLOOKUP(A146,classifications!A:C,3,FALSE)),0,VLOOKUP(A146,classifications!A:C,3,FALSE))</f>
        <v>0</v>
      </c>
      <c r="C146" s="8" t="s">
        <v>269</v>
      </c>
      <c r="D146" s="26" t="str">
        <f>VLOOKUP($C146,classifications!$C:$J,4,FALSE)</f>
        <v>UA</v>
      </c>
      <c r="E146" s="26">
        <f>VLOOKUP(C146,classifications!C:K,9,FALSE)</f>
        <v>0</v>
      </c>
      <c r="F146" s="36">
        <f t="shared" si="50"/>
        <v>73.311168097946918</v>
      </c>
      <c r="G146" s="71"/>
      <c r="H146" s="37" t="str">
        <f t="shared" si="51"/>
        <v/>
      </c>
      <c r="I146" s="77" t="str">
        <f>IF(H146="","",IF($I$8="A",(RANK(H146,H$11:H$368,1)+COUNTIF(H$11:H146,H146)-1),(RANK(H146,H$11:H$368)+COUNTIF(H$11:H146,H146)-1)))</f>
        <v/>
      </c>
      <c r="J146" s="35"/>
      <c r="K146" s="28">
        <f t="shared" si="59"/>
        <v>136</v>
      </c>
      <c r="L146" s="36" t="str">
        <f t="shared" si="52"/>
        <v>Huntingdonshire</v>
      </c>
      <c r="M146" s="102">
        <f t="shared" si="60"/>
        <v>80.452729669141519</v>
      </c>
      <c r="N146" s="101">
        <f t="shared" si="61"/>
        <v>80.452729669141519</v>
      </c>
      <c r="O146" s="94" t="str">
        <f t="shared" si="53"/>
        <v/>
      </c>
      <c r="P146" s="94" t="str">
        <f t="shared" si="68"/>
        <v/>
      </c>
      <c r="Q146" s="94">
        <f t="shared" si="69"/>
        <v>80.452729669141519</v>
      </c>
      <c r="R146" s="90" t="str">
        <f t="shared" si="70"/>
        <v/>
      </c>
      <c r="S146" s="37" t="str">
        <f t="shared" si="62"/>
        <v/>
      </c>
      <c r="T146" s="176" t="str">
        <f>IF(L146="","",VLOOKUP(L146,classifications!C:K,9,FALSE))</f>
        <v>Sparse</v>
      </c>
      <c r="U146" s="183">
        <f t="shared" si="54"/>
        <v>80.452729669141519</v>
      </c>
      <c r="V146" s="184">
        <f>IF(U146="","",IF($I$8="A",(RANK(U146,U$11:U$368)+COUNTIF(U$11:U146,U146)-1),(RANK(U146,U$11:U$368,1)+COUNTIF(U$11:U146,U146)-1)))</f>
        <v>15</v>
      </c>
      <c r="W146" s="185"/>
      <c r="X146" s="38" t="str">
        <f>IF(L146="","",VLOOKUP($L146,classifications!$C:$J,6,FALSE))</f>
        <v xml:space="preserve">Mainly Rural (rural including hub towns &gt;=80%) </v>
      </c>
      <c r="Y146" s="26">
        <f t="shared" si="55"/>
        <v>80.452729669141519</v>
      </c>
      <c r="Z146" s="34">
        <f>IF(Y146="","",IF(I$8="A",(RANK(Y146,Y$11:Y$368,1)+COUNTIF(Y$11:Y146,Y146)-1),(RANK(Y146,Y$11:Y$368)+COUNTIF(Y$11:Y146,Y146)-1)))</f>
        <v>35</v>
      </c>
      <c r="AA146" s="188" t="str">
        <f>IF(L146="","",VLOOKUP($L146,classifications!C:I,7,FALSE))</f>
        <v>Predominantly Rural</v>
      </c>
      <c r="AB146" s="184">
        <f t="shared" si="63"/>
        <v>80.452729669141519</v>
      </c>
      <c r="AC146" s="184">
        <f>IF(AB146="","",IF($I$8="A",(RANK(AB146,AB$11:AB$368)+COUNTIF(AB$11:AB146,AB146)-1),(RANK(AB146,AB$11:AB$368,1)+COUNTIF(AB$11:AB146,AB146)-1)))</f>
        <v>16</v>
      </c>
      <c r="AD146" s="184"/>
      <c r="AE146" s="28" t="str">
        <f t="shared" si="49"/>
        <v/>
      </c>
      <c r="AG146" s="96"/>
      <c r="AH146" s="29"/>
      <c r="AI146" s="38" t="str">
        <f>IF(L146="","",VLOOKUP($L146,classifications!$C:$J,8,FALSE))</f>
        <v>Cambridgeshire</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East of England</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73.311168097946918</v>
      </c>
      <c r="AY146" s="103"/>
      <c r="AZ146" s="21"/>
    </row>
    <row r="147" spans="1:52">
      <c r="A147" s="56" t="str">
        <f>$D$1&amp;137</f>
        <v>SD137</v>
      </c>
      <c r="B147" s="57">
        <f>IF(ISERROR(VLOOKUP(A147,classifications!A:C,3,FALSE)),0,VLOOKUP(A147,classifications!A:C,3,FALSE))</f>
        <v>0</v>
      </c>
      <c r="C147" s="8" t="s">
        <v>83</v>
      </c>
      <c r="D147" s="26" t="str">
        <f>VLOOKUP($C147,classifications!$C:$J,4,FALSE)</f>
        <v>SD</v>
      </c>
      <c r="E147" s="26">
        <f>VLOOKUP(C147,classifications!C:K,9,FALSE)</f>
        <v>0</v>
      </c>
      <c r="F147" s="36">
        <f t="shared" si="50"/>
        <v>80.295471478328167</v>
      </c>
      <c r="G147" s="71"/>
      <c r="H147" s="37">
        <f t="shared" si="51"/>
        <v>80.295471478328167</v>
      </c>
      <c r="I147" s="77">
        <f>IF(H147="","",IF($I$8="A",(RANK(H147,H$11:H$368,1)+COUNTIF(H$11:H147,H147)-1),(RANK(H147,H$11:H$368)+COUNTIF(H$11:H147,H147)-1)))</f>
        <v>141</v>
      </c>
      <c r="J147" s="35"/>
      <c r="K147" s="28">
        <f t="shared" si="59"/>
        <v>137</v>
      </c>
      <c r="L147" s="36" t="str">
        <f t="shared" si="52"/>
        <v>Chorley</v>
      </c>
      <c r="M147" s="102">
        <f t="shared" si="60"/>
        <v>80.404348716541534</v>
      </c>
      <c r="N147" s="101">
        <f t="shared" si="61"/>
        <v>80.404348716541534</v>
      </c>
      <c r="O147" s="94" t="str">
        <f t="shared" si="53"/>
        <v/>
      </c>
      <c r="P147" s="94" t="str">
        <f t="shared" si="68"/>
        <v/>
      </c>
      <c r="Q147" s="94">
        <f t="shared" si="69"/>
        <v>80.404348716541534</v>
      </c>
      <c r="R147" s="90" t="str">
        <f t="shared" si="70"/>
        <v/>
      </c>
      <c r="S147" s="37" t="str">
        <f t="shared" si="62"/>
        <v/>
      </c>
      <c r="T147" s="176">
        <f>IF(L147="","",VLOOKUP(L147,classifications!C:K,9,FALSE))</f>
        <v>0</v>
      </c>
      <c r="U147" s="183" t="str">
        <f t="shared" si="54"/>
        <v/>
      </c>
      <c r="V147" s="184" t="str">
        <f>IF(U147="","",IF($I$8="A",(RANK(U147,U$11:U$368)+COUNTIF(U$11:U147,U147)-1),(RANK(U147,U$11:U$368,1)+COUNTIF(U$11:U147,U147)-1)))</f>
        <v/>
      </c>
      <c r="W147" s="185"/>
      <c r="X147" s="38" t="str">
        <f>IF(L147="","",VLOOKUP($L147,classifications!$C:$J,6,FALSE))</f>
        <v>Urban with Significant Rural (rural including hub towns 26-49%)</v>
      </c>
      <c r="Y147" s="26" t="str">
        <f t="shared" si="55"/>
        <v/>
      </c>
      <c r="Z147" s="34" t="str">
        <f>IF(Y147="","",IF(I$8="A",(RANK(Y147,Y$11:Y$368,1)+COUNTIF(Y$11:Y147,Y147)-1),(RANK(Y147,Y$11:Y$368)+COUNTIF(Y$11:Y147,Y147)-1)))</f>
        <v/>
      </c>
      <c r="AA147" s="188" t="str">
        <f>IF(L147="","",VLOOKUP($L147,classifications!C:I,7,FALSE))</f>
        <v>Significant Rural</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Lancashire</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North West</v>
      </c>
      <c r="AQ147" s="39">
        <f t="shared" si="66"/>
        <v>80.404348716541534</v>
      </c>
      <c r="AR147" s="34">
        <f>IF(AQ147="","",IF(I$8="A",(RANK(AQ147,AQ$11:AQ$368,1)+COUNTIF(AQ$11:AQ147,AQ147)-1),(RANK(AQ147,AQ$11:AQ$368)+COUNTIF(AQ$11:AQ147,AQ147)-1)))</f>
        <v>10</v>
      </c>
      <c r="AS147" s="29" t="str">
        <f t="shared" si="67"/>
        <v/>
      </c>
      <c r="AT147" s="34" t="str">
        <f t="shared" si="58"/>
        <v/>
      </c>
      <c r="AU147" s="39" t="str">
        <f t="shared" si="71"/>
        <v/>
      </c>
      <c r="AX147" s="21">
        <f>HLOOKUP($AX$9&amp;$AX$10,Data!$A$1:$ZZ$2000,(MATCH($C147,Data!$A$1:$A$2000,0)),FALSE)</f>
        <v>80.295471478328167</v>
      </c>
      <c r="AY147" s="103"/>
      <c r="AZ147" s="21"/>
    </row>
    <row r="148" spans="1:52">
      <c r="A148" s="56" t="str">
        <f>$D$1&amp;138</f>
        <v>SD138</v>
      </c>
      <c r="B148" s="57">
        <f>IF(ISERROR(VLOOKUP(A148,classifications!A:C,3,FALSE)),0,VLOOKUP(A148,classifications!A:C,3,FALSE))</f>
        <v>0</v>
      </c>
      <c r="C148" s="8" t="s">
        <v>84</v>
      </c>
      <c r="D148" s="26" t="str">
        <f>VLOOKUP($C148,classifications!$C:$J,4,FALSE)</f>
        <v>SD</v>
      </c>
      <c r="E148" s="26">
        <f>VLOOKUP(C148,classifications!C:K,9,FALSE)</f>
        <v>0</v>
      </c>
      <c r="F148" s="36">
        <f t="shared" si="50"/>
        <v>83.64737913261456</v>
      </c>
      <c r="G148" s="71"/>
      <c r="H148" s="37">
        <f t="shared" si="51"/>
        <v>83.64737913261456</v>
      </c>
      <c r="I148" s="77">
        <f>IF(H148="","",IF($I$8="A",(RANK(H148,H$11:H$368,1)+COUNTIF(H$11:H148,H148)-1),(RANK(H148,H$11:H$368)+COUNTIF(H$11:H148,H148)-1)))</f>
        <v>78</v>
      </c>
      <c r="J148" s="35"/>
      <c r="K148" s="28">
        <f t="shared" si="59"/>
        <v>138</v>
      </c>
      <c r="L148" s="36" t="str">
        <f t="shared" si="52"/>
        <v>Ipswich</v>
      </c>
      <c r="M148" s="102">
        <f t="shared" si="60"/>
        <v>80.378583310933735</v>
      </c>
      <c r="N148" s="101">
        <f t="shared" si="61"/>
        <v>80.378583310933735</v>
      </c>
      <c r="O148" s="94" t="str">
        <f t="shared" si="53"/>
        <v/>
      </c>
      <c r="P148" s="94" t="str">
        <f t="shared" si="68"/>
        <v/>
      </c>
      <c r="Q148" s="94">
        <f t="shared" si="69"/>
        <v>80.378583310933735</v>
      </c>
      <c r="R148" s="90" t="str">
        <f t="shared" si="70"/>
        <v/>
      </c>
      <c r="S148" s="37" t="str">
        <f t="shared" si="62"/>
        <v/>
      </c>
      <c r="T148" s="176">
        <f>IF(L148="","",VLOOKUP(L148,classifications!C:K,9,FALSE))</f>
        <v>0</v>
      </c>
      <c r="U148" s="183" t="str">
        <f t="shared" si="54"/>
        <v/>
      </c>
      <c r="V148" s="184" t="str">
        <f>IF(U148="","",IF($I$8="A",(RANK(U148,U$11:U$368)+COUNTIF(U$11:U148,U148)-1),(RANK(U148,U$11:U$368,1)+COUNTIF(U$11:U148,U148)-1)))</f>
        <v/>
      </c>
      <c r="W148" s="185"/>
      <c r="X148" s="38" t="str">
        <f>IF(L148="","",VLOOKUP($L148,classifications!$C:$J,6,FALSE))</f>
        <v>Urban with City and Town</v>
      </c>
      <c r="Y148" s="26" t="str">
        <f t="shared" si="55"/>
        <v/>
      </c>
      <c r="Z148" s="34" t="str">
        <f>IF(Y148="","",IF(I$8="A",(RANK(Y148,Y$11:Y$368,1)+COUNTIF(Y$11:Y148,Y148)-1),(RANK(Y148,Y$11:Y$368)+COUNTIF(Y$11:Y148,Y148)-1)))</f>
        <v/>
      </c>
      <c r="AA148" s="188" t="str">
        <f>IF(L148="","",VLOOKUP($L148,classifications!C:I,7,FALSE))</f>
        <v>Predominantly Urban</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Suffolk</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East of England</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83.64737913261456</v>
      </c>
      <c r="AY148" s="103"/>
      <c r="AZ148" s="21"/>
    </row>
    <row r="149" spans="1:52">
      <c r="A149" s="56" t="str">
        <f>$D$1&amp;139</f>
        <v>SD139</v>
      </c>
      <c r="B149" s="57">
        <f>IF(ISERROR(VLOOKUP(A149,classifications!A:C,3,FALSE)),0,VLOOKUP(A149,classifications!A:C,3,FALSE))</f>
        <v>0</v>
      </c>
      <c r="C149" s="8" t="s">
        <v>208</v>
      </c>
      <c r="D149" s="26" t="str">
        <f>VLOOKUP($C149,classifications!$C:$J,4,FALSE)</f>
        <v>L</v>
      </c>
      <c r="E149" s="26">
        <f>VLOOKUP(C149,classifications!C:K,9,FALSE)</f>
        <v>0</v>
      </c>
      <c r="F149" s="36">
        <f t="shared" si="50"/>
        <v>82.356060430728292</v>
      </c>
      <c r="G149" s="71"/>
      <c r="H149" s="37" t="str">
        <f t="shared" si="51"/>
        <v/>
      </c>
      <c r="I149" s="77" t="str">
        <f>IF(H149="","",IF($I$8="A",(RANK(H149,H$11:H$368,1)+COUNTIF(H$11:H149,H149)-1),(RANK(H149,H$11:H$368)+COUNTIF(H$11:H149,H149)-1)))</f>
        <v/>
      </c>
      <c r="J149" s="35"/>
      <c r="K149" s="28">
        <f t="shared" si="59"/>
        <v>139</v>
      </c>
      <c r="L149" s="36" t="str">
        <f t="shared" si="52"/>
        <v>Fylde</v>
      </c>
      <c r="M149" s="102">
        <f t="shared" si="60"/>
        <v>80.353941162409996</v>
      </c>
      <c r="N149" s="101">
        <f t="shared" si="61"/>
        <v>80.353941162409996</v>
      </c>
      <c r="O149" s="94" t="str">
        <f t="shared" si="53"/>
        <v/>
      </c>
      <c r="P149" s="94" t="str">
        <f t="shared" si="68"/>
        <v/>
      </c>
      <c r="Q149" s="94">
        <f t="shared" si="69"/>
        <v>80.353941162409996</v>
      </c>
      <c r="R149" s="90" t="str">
        <f t="shared" si="70"/>
        <v/>
      </c>
      <c r="S149" s="37" t="str">
        <f t="shared" si="62"/>
        <v/>
      </c>
      <c r="T149" s="176">
        <f>IF(L149="","",VLOOKUP(L149,classifications!C:K,9,FALSE))</f>
        <v>0</v>
      </c>
      <c r="U149" s="183" t="str">
        <f t="shared" si="54"/>
        <v/>
      </c>
      <c r="V149" s="184" t="str">
        <f>IF(U149="","",IF($I$8="A",(RANK(U149,U$11:U$368)+COUNTIF(U$11:U149,U149)-1),(RANK(U149,U$11:U$368,1)+COUNTIF(U$11:U149,U149)-1)))</f>
        <v/>
      </c>
      <c r="W149" s="185"/>
      <c r="X149" s="38" t="str">
        <f>IF(L149="","",VLOOKUP($L149,classifications!$C:$J,6,FALSE))</f>
        <v>Urban with City and Town</v>
      </c>
      <c r="Y149" s="26" t="str">
        <f t="shared" si="55"/>
        <v/>
      </c>
      <c r="Z149" s="34" t="str">
        <f>IF(Y149="","",IF(I$8="A",(RANK(Y149,Y$11:Y$368,1)+COUNTIF(Y$11:Y149,Y149)-1),(RANK(Y149,Y$11:Y$368)+COUNTIF(Y$11:Y149,Y149)-1)))</f>
        <v/>
      </c>
      <c r="AA149" s="188" t="str">
        <f>IF(L149="","",VLOOKUP($L149,classifications!C:I,7,FALSE))</f>
        <v>Predominantly Urban</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Lancashire</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North West</v>
      </c>
      <c r="AQ149" s="39">
        <f t="shared" si="66"/>
        <v>80.353941162409996</v>
      </c>
      <c r="AR149" s="34">
        <f>IF(AQ149="","",IF(I$8="A",(RANK(AQ149,AQ$11:AQ$368,1)+COUNTIF(AQ$11:AQ149,AQ149)-1),(RANK(AQ149,AQ$11:AQ$368)+COUNTIF(AQ$11:AQ149,AQ149)-1)))</f>
        <v>11</v>
      </c>
      <c r="AS149" s="29" t="str">
        <f t="shared" si="67"/>
        <v/>
      </c>
      <c r="AT149" s="34" t="str">
        <f t="shared" si="58"/>
        <v/>
      </c>
      <c r="AU149" s="39" t="str">
        <f t="shared" si="71"/>
        <v/>
      </c>
      <c r="AX149" s="21">
        <f>HLOOKUP($AX$9&amp;$AX$10,Data!$A$1:$ZZ$2000,(MATCH($C149,Data!$A$1:$A$2000,0)),FALSE)</f>
        <v>82.356060430728292</v>
      </c>
      <c r="AY149" s="103"/>
      <c r="AZ149" s="21"/>
    </row>
    <row r="150" spans="1:52">
      <c r="A150" s="56" t="str">
        <f>$D$1&amp;140</f>
        <v>SD140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79.906297385362919</v>
      </c>
      <c r="G150" s="71"/>
      <c r="H150" s="37" t="str">
        <f t="shared" si="51"/>
        <v/>
      </c>
      <c r="I150" s="77" t="str">
        <f>IF(H150="","",IF($I$8="A",(RANK(H150,H$11:H$368,1)+COUNTIF(H$11:H150,H150)-1),(RANK(H150,H$11:H$368)+COUNTIF(H$11:H150,H150)-1)))</f>
        <v/>
      </c>
      <c r="J150" s="35"/>
      <c r="K150" s="28">
        <f t="shared" si="59"/>
        <v>140</v>
      </c>
      <c r="L150" s="36" t="str">
        <f t="shared" si="52"/>
        <v>Welwyn Hatfield</v>
      </c>
      <c r="M150" s="102">
        <f t="shared" si="60"/>
        <v>80.306839481483934</v>
      </c>
      <c r="N150" s="101">
        <f t="shared" si="61"/>
        <v>80.306839481483934</v>
      </c>
      <c r="O150" s="94" t="str">
        <f t="shared" si="53"/>
        <v/>
      </c>
      <c r="P150" s="94" t="str">
        <f t="shared" si="68"/>
        <v/>
      </c>
      <c r="Q150" s="94">
        <f t="shared" si="69"/>
        <v>80.306839481483934</v>
      </c>
      <c r="R150" s="90" t="str">
        <f t="shared" si="70"/>
        <v/>
      </c>
      <c r="S150" s="37" t="str">
        <f t="shared" si="62"/>
        <v/>
      </c>
      <c r="T150" s="176">
        <f>IF(L150="","",VLOOKUP(L150,classifications!C:K,9,FALSE))</f>
        <v>0</v>
      </c>
      <c r="U150" s="183" t="str">
        <f t="shared" si="54"/>
        <v/>
      </c>
      <c r="V150" s="184" t="str">
        <f>IF(U150="","",IF($I$8="A",(RANK(U150,U$11:U$368)+COUNTIF(U$11:U150,U150)-1),(RANK(U150,U$11:U$368,1)+COUNTIF(U$11:U150,U150)-1)))</f>
        <v/>
      </c>
      <c r="W150" s="185"/>
      <c r="X150" s="38" t="str">
        <f>IF(L150="","",VLOOKUP($L150,classifications!$C:$J,6,FALSE))</f>
        <v>Urban with City and Town</v>
      </c>
      <c r="Y150" s="26" t="str">
        <f t="shared" si="55"/>
        <v/>
      </c>
      <c r="Z150" s="34" t="str">
        <f>IF(Y150="","",IF(I$8="A",(RANK(Y150,Y$11:Y$368,1)+COUNTIF(Y$11:Y150,Y150)-1),(RANK(Y150,Y$11:Y$368)+COUNTIF(Y$11:Y150,Y150)-1)))</f>
        <v/>
      </c>
      <c r="AA150" s="188" t="str">
        <f>IF(L150="","",VLOOKUP($L150,classifications!C:I,7,FALSE))</f>
        <v>Predominantly Urban</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Hertfordshire</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East of England</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79.906297385362919</v>
      </c>
      <c r="AY150" s="103"/>
      <c r="AZ150" s="21"/>
    </row>
    <row r="151" spans="1:52">
      <c r="A151" s="56" t="str">
        <f>$D$1&amp;141</f>
        <v>SD141</v>
      </c>
      <c r="B151" s="57">
        <f>IF(ISERROR(VLOOKUP(A151,classifications!A:C,3,FALSE)),0,VLOOKUP(A151,classifications!A:C,3,FALSE))</f>
        <v>0</v>
      </c>
      <c r="C151" s="8" t="s">
        <v>314</v>
      </c>
      <c r="D151" s="26" t="str">
        <f>VLOOKUP($C151,classifications!$C:$J,4,FALSE)</f>
        <v>SC</v>
      </c>
      <c r="E151" s="26">
        <f>VLOOKUP(C151,classifications!C:K,9,FALSE)</f>
        <v>0</v>
      </c>
      <c r="F151" s="36">
        <f t="shared" si="50"/>
        <v>84.546740883384402</v>
      </c>
      <c r="G151" s="71"/>
      <c r="H151" s="37" t="str">
        <f t="shared" si="51"/>
        <v/>
      </c>
      <c r="I151" s="77" t="str">
        <f>IF(H151="","",IF($I$8="A",(RANK(H151,H$11:H$368,1)+COUNTIF(H$11:H151,H151)-1),(RANK(H151,H$11:H$368)+COUNTIF(H$11:H151,H151)-1)))</f>
        <v/>
      </c>
      <c r="J151" s="35"/>
      <c r="K151" s="28">
        <f t="shared" si="59"/>
        <v>141</v>
      </c>
      <c r="L151" s="36" t="str">
        <f t="shared" si="52"/>
        <v>Hastings</v>
      </c>
      <c r="M151" s="102">
        <f t="shared" si="60"/>
        <v>80.295471478328167</v>
      </c>
      <c r="N151" s="101">
        <f t="shared" si="61"/>
        <v>80.295471478328167</v>
      </c>
      <c r="O151" s="94" t="str">
        <f t="shared" si="53"/>
        <v/>
      </c>
      <c r="P151" s="94" t="str">
        <f t="shared" si="68"/>
        <v/>
      </c>
      <c r="Q151" s="94">
        <f t="shared" si="69"/>
        <v>80.295471478328167</v>
      </c>
      <c r="R151" s="90" t="str">
        <f t="shared" si="70"/>
        <v/>
      </c>
      <c r="S151" s="37" t="str">
        <f t="shared" si="62"/>
        <v/>
      </c>
      <c r="T151" s="176">
        <f>IF(L151="","",VLOOKUP(L151,classifications!C:K,9,FALSE))</f>
        <v>0</v>
      </c>
      <c r="U151" s="183" t="str">
        <f t="shared" si="54"/>
        <v/>
      </c>
      <c r="V151" s="184" t="str">
        <f>IF(U151="","",IF($I$8="A",(RANK(U151,U$11:U$368)+COUNTIF(U$11:U151,U151)-1),(RANK(U151,U$11:U$368,1)+COUNTIF(U$11:U151,U151)-1)))</f>
        <v/>
      </c>
      <c r="W151" s="185"/>
      <c r="X151" s="38" t="str">
        <f>IF(L151="","",VLOOKUP($L151,classifications!$C:$J,6,FALSE))</f>
        <v>Urban with City and Town</v>
      </c>
      <c r="Y151" s="26" t="str">
        <f t="shared" si="55"/>
        <v/>
      </c>
      <c r="Z151" s="34" t="str">
        <f>IF(Y151="","",IF(I$8="A",(RANK(Y151,Y$11:Y$368,1)+COUNTIF(Y$11:Y151,Y151)-1),(RANK(Y151,Y$11:Y$368)+COUNTIF(Y$11:Y151,Y151)-1)))</f>
        <v/>
      </c>
      <c r="AA151" s="188" t="str">
        <f>IF(L151="","",VLOOKUP($L151,classifications!C:I,7,FALSE))</f>
        <v>Predominantly Urban</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East Sussex</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South East</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84.546740883384402</v>
      </c>
      <c r="AY151" s="103"/>
      <c r="AZ151" s="21"/>
    </row>
    <row r="152" spans="1:52">
      <c r="A152" s="56" t="str">
        <f>$D$1&amp;142</f>
        <v>SD142</v>
      </c>
      <c r="B152" s="57">
        <f>IF(ISERROR(VLOOKUP(A152,classifications!A:C,3,FALSE)),0,VLOOKUP(A152,classifications!A:C,3,FALSE))</f>
        <v>0</v>
      </c>
      <c r="C152" s="8" t="s">
        <v>85</v>
      </c>
      <c r="D152" s="26" t="str">
        <f>VLOOKUP($C152,classifications!$C:$J,4,FALSE)</f>
        <v>SD</v>
      </c>
      <c r="E152" s="26">
        <f>VLOOKUP(C152,classifications!C:K,9,FALSE)</f>
        <v>0</v>
      </c>
      <c r="F152" s="36">
        <f t="shared" si="50"/>
        <v>86.767004660693942</v>
      </c>
      <c r="G152" s="71"/>
      <c r="H152" s="37">
        <f t="shared" si="51"/>
        <v>86.767004660693942</v>
      </c>
      <c r="I152" s="77">
        <f>IF(H152="","",IF($I$8="A",(RANK(H152,H$11:H$368,1)+COUNTIF(H$11:H152,H152)-1),(RANK(H152,H$11:H$368)+COUNTIF(H$11:H152,H152)-1)))</f>
        <v>22</v>
      </c>
      <c r="J152" s="35"/>
      <c r="K152" s="28">
        <f t="shared" si="59"/>
        <v>142</v>
      </c>
      <c r="L152" s="36" t="str">
        <f t="shared" si="52"/>
        <v>Tandridge</v>
      </c>
      <c r="M152" s="102">
        <f t="shared" si="60"/>
        <v>80.236066546602927</v>
      </c>
      <c r="N152" s="101">
        <f t="shared" si="61"/>
        <v>80.236066546602927</v>
      </c>
      <c r="O152" s="94" t="str">
        <f t="shared" si="53"/>
        <v/>
      </c>
      <c r="P152" s="94" t="str">
        <f t="shared" si="68"/>
        <v/>
      </c>
      <c r="Q152" s="94">
        <f t="shared" si="69"/>
        <v>80.236066546602927</v>
      </c>
      <c r="R152" s="90" t="str">
        <f t="shared" si="70"/>
        <v/>
      </c>
      <c r="S152" s="37" t="str">
        <f t="shared" si="62"/>
        <v/>
      </c>
      <c r="T152" s="176" t="str">
        <f>IF(L152="","",VLOOKUP(L152,classifications!C:K,9,FALSE))</f>
        <v>Sparse</v>
      </c>
      <c r="U152" s="183">
        <f t="shared" si="54"/>
        <v>80.236066546602927</v>
      </c>
      <c r="V152" s="184">
        <f>IF(U152="","",IF($I$8="A",(RANK(U152,U$11:U$368)+COUNTIF(U$11:U152,U152)-1),(RANK(U152,U$11:U$368,1)+COUNTIF(U$11:U152,U152)-1)))</f>
        <v>14</v>
      </c>
      <c r="W152" s="185"/>
      <c r="X152" s="38" t="str">
        <f>IF(L152="","",VLOOKUP($L152,classifications!$C:$J,6,FALSE))</f>
        <v>Urban with Significant Rural (rural including hub towns 26-49%)</v>
      </c>
      <c r="Y152" s="26" t="str">
        <f t="shared" si="55"/>
        <v/>
      </c>
      <c r="Z152" s="34" t="str">
        <f>IF(Y152="","",IF(I$8="A",(RANK(Y152,Y$11:Y$368,1)+COUNTIF(Y$11:Y152,Y152)-1),(RANK(Y152,Y$11:Y$368)+COUNTIF(Y$11:Y152,Y152)-1)))</f>
        <v/>
      </c>
      <c r="AA152" s="188" t="str">
        <f>IF(L152="","",VLOOKUP($L152,classifications!C:I,7,FALSE))</f>
        <v>Significant Rural</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Surrey</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South East</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86.767004660693942</v>
      </c>
      <c r="AY152" s="103"/>
      <c r="AZ152" s="21"/>
    </row>
    <row r="153" spans="1:52">
      <c r="A153" s="56" t="str">
        <f>$D$1&amp;143</f>
        <v>SD143</v>
      </c>
      <c r="B153" s="57">
        <f>IF(ISERROR(VLOOKUP(A153,classifications!A:C,3,FALSE)),0,VLOOKUP(A153,classifications!A:C,3,FALSE))</f>
        <v>0</v>
      </c>
      <c r="C153" s="8" t="s">
        <v>86</v>
      </c>
      <c r="D153" s="26" t="str">
        <f>VLOOKUP($C153,classifications!$C:$J,4,FALSE)</f>
        <v>SD</v>
      </c>
      <c r="E153" s="26">
        <f>VLOOKUP(C153,classifications!C:K,9,FALSE)</f>
        <v>0</v>
      </c>
      <c r="F153" s="36">
        <f t="shared" si="50"/>
        <v>86.790958981324778</v>
      </c>
      <c r="G153" s="71"/>
      <c r="H153" s="37">
        <f t="shared" si="51"/>
        <v>86.790958981324778</v>
      </c>
      <c r="I153" s="77">
        <f>IF(H153="","",IF($I$8="A",(RANK(H153,H$11:H$368,1)+COUNTIF(H$11:H153,H153)-1),(RANK(H153,H$11:H$368)+COUNTIF(H$11:H153,H153)-1)))</f>
        <v>21</v>
      </c>
      <c r="J153" s="35"/>
      <c r="K153" s="28">
        <f t="shared" si="59"/>
        <v>143</v>
      </c>
      <c r="L153" s="36" t="str">
        <f t="shared" si="52"/>
        <v>Newark &amp; Sherwood</v>
      </c>
      <c r="M153" s="102">
        <f t="shared" si="60"/>
        <v>80.124545311152787</v>
      </c>
      <c r="N153" s="101">
        <f t="shared" si="61"/>
        <v>80.124545311152787</v>
      </c>
      <c r="O153" s="94" t="str">
        <f t="shared" si="53"/>
        <v/>
      </c>
      <c r="P153" s="94" t="str">
        <f t="shared" si="68"/>
        <v/>
      </c>
      <c r="Q153" s="94">
        <f t="shared" si="69"/>
        <v>80.124545311152787</v>
      </c>
      <c r="R153" s="90" t="str">
        <f t="shared" si="70"/>
        <v/>
      </c>
      <c r="S153" s="37" t="str">
        <f t="shared" si="62"/>
        <v/>
      </c>
      <c r="T153" s="176" t="str">
        <f>IF(L153="","",VLOOKUP(L153,classifications!C:K,9,FALSE))</f>
        <v>Sparse</v>
      </c>
      <c r="U153" s="183">
        <f t="shared" si="54"/>
        <v>80.124545311152787</v>
      </c>
      <c r="V153" s="184">
        <f>IF(U153="","",IF($I$8="A",(RANK(U153,U$11:U$368)+COUNTIF(U$11:U153,U153)-1),(RANK(U153,U$11:U$368,1)+COUNTIF(U$11:U153,U153)-1)))</f>
        <v>13</v>
      </c>
      <c r="W153" s="185"/>
      <c r="X153" s="38" t="str">
        <f>IF(L153="","",VLOOKUP($L153,classifications!$C:$J,6,FALSE))</f>
        <v xml:space="preserve">Largely Rural (rural including hub towns 50-79%) </v>
      </c>
      <c r="Y153" s="26" t="str">
        <f t="shared" si="55"/>
        <v/>
      </c>
      <c r="Z153" s="34" t="str">
        <f>IF(Y153="","",IF(I$8="A",(RANK(Y153,Y$11:Y$368,1)+COUNTIF(Y$11:Y153,Y153)-1),(RANK(Y153,Y$11:Y$368)+COUNTIF(Y$11:Y153,Y153)-1)))</f>
        <v/>
      </c>
      <c r="AA153" s="188" t="str">
        <f>IF(L153="","",VLOOKUP($L153,classifications!C:I,7,FALSE))</f>
        <v>Predominantly Rural</v>
      </c>
      <c r="AB153" s="184">
        <f t="shared" si="63"/>
        <v>80.124545311152787</v>
      </c>
      <c r="AC153" s="184">
        <f>IF(AB153="","",IF($I$8="A",(RANK(AB153,AB$11:AB$368)+COUNTIF(AB$11:AB153,AB153)-1),(RANK(AB153,AB$11:AB$368,1)+COUNTIF(AB$11:AB153,AB153)-1)))</f>
        <v>15</v>
      </c>
      <c r="AD153" s="184"/>
      <c r="AE153" s="28" t="str">
        <f t="shared" si="49"/>
        <v/>
      </c>
      <c r="AG153" s="96"/>
      <c r="AH153" s="29"/>
      <c r="AI153" s="38" t="str">
        <f>IF(L153="","",VLOOKUP($L153,classifications!$C:$J,8,FALSE))</f>
        <v>Nottinghamshire</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East Midlands</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86.790958981324778</v>
      </c>
      <c r="AY153" s="103"/>
      <c r="AZ153" s="21"/>
    </row>
    <row r="154" spans="1:52">
      <c r="A154" s="56" t="str">
        <f>$D$1&amp;144</f>
        <v>SD144</v>
      </c>
      <c r="B154" s="57">
        <f>IF(ISERROR(VLOOKUP(A154,classifications!A:C,3,FALSE)),0,VLOOKUP(A154,classifications!A:C,3,FALSE))</f>
        <v>0</v>
      </c>
      <c r="C154" s="8" t="s">
        <v>209</v>
      </c>
      <c r="D154" s="26" t="str">
        <f>VLOOKUP($C154,classifications!$C:$J,4,FALSE)</f>
        <v>L</v>
      </c>
      <c r="E154" s="26">
        <f>VLOOKUP(C154,classifications!C:K,9,FALSE)</f>
        <v>0</v>
      </c>
      <c r="F154" s="36">
        <f t="shared" si="50"/>
        <v>78.753158747871865</v>
      </c>
      <c r="G154" s="71"/>
      <c r="H154" s="37" t="str">
        <f t="shared" si="51"/>
        <v/>
      </c>
      <c r="I154" s="77" t="str">
        <f>IF(H154="","",IF($I$8="A",(RANK(H154,H$11:H$368,1)+COUNTIF(H$11:H154,H154)-1),(RANK(H154,H$11:H$368)+COUNTIF(H$11:H154,H154)-1)))</f>
        <v/>
      </c>
      <c r="J154" s="35"/>
      <c r="K154" s="28">
        <f t="shared" si="59"/>
        <v>144</v>
      </c>
      <c r="L154" s="36" t="str">
        <f t="shared" si="52"/>
        <v>South Bucks</v>
      </c>
      <c r="M154" s="102">
        <f t="shared" si="60"/>
        <v>80.06415858676192</v>
      </c>
      <c r="N154" s="101">
        <f t="shared" si="61"/>
        <v>80.06415858676192</v>
      </c>
      <c r="O154" s="94" t="str">
        <f t="shared" si="53"/>
        <v/>
      </c>
      <c r="P154" s="94" t="str">
        <f t="shared" si="68"/>
        <v/>
      </c>
      <c r="Q154" s="94">
        <f t="shared" si="69"/>
        <v>80.06415858676192</v>
      </c>
      <c r="R154" s="90" t="str">
        <f t="shared" si="70"/>
        <v/>
      </c>
      <c r="S154" s="37" t="str">
        <f t="shared" si="62"/>
        <v/>
      </c>
      <c r="T154" s="176">
        <f>IF(L154="","",VLOOKUP(L154,classifications!C:K,9,FALSE))</f>
        <v>0</v>
      </c>
      <c r="U154" s="183" t="str">
        <f t="shared" si="54"/>
        <v/>
      </c>
      <c r="V154" s="184" t="str">
        <f>IF(U154="","",IF($I$8="A",(RANK(U154,U$11:U$368)+COUNTIF(U$11:U154,U154)-1),(RANK(U154,U$11:U$368,1)+COUNTIF(U$11:U154,U154)-1)))</f>
        <v/>
      </c>
      <c r="W154" s="185"/>
      <c r="X154" s="38" t="str">
        <f>IF(L154="","",VLOOKUP($L154,classifications!$C:$J,6,FALSE))</f>
        <v>Urban with Significant Rural (rural including hub towns 26-49%)</v>
      </c>
      <c r="Y154" s="26" t="str">
        <f t="shared" si="55"/>
        <v/>
      </c>
      <c r="Z154" s="34" t="str">
        <f>IF(Y154="","",IF(I$8="A",(RANK(Y154,Y$11:Y$368,1)+COUNTIF(Y$11:Y154,Y154)-1),(RANK(Y154,Y$11:Y$368)+COUNTIF(Y$11:Y154,Y154)-1)))</f>
        <v/>
      </c>
      <c r="AA154" s="188" t="str">
        <f>IF(L154="","",VLOOKUP($L154,classifications!C:I,7,FALSE))</f>
        <v>Significant Rural</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Buckinghamshire</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South East</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78.753158747871865</v>
      </c>
      <c r="AY154" s="103"/>
      <c r="AZ154" s="21"/>
    </row>
    <row r="155" spans="1:52">
      <c r="A155" s="56" t="str">
        <f>$D$1&amp;145</f>
        <v>SD145</v>
      </c>
      <c r="B155" s="57">
        <f>IF(ISERROR(VLOOKUP(A155,classifications!A:C,3,FALSE)),0,VLOOKUP(A155,classifications!A:C,3,FALSE))</f>
        <v>0</v>
      </c>
      <c r="C155" s="8" t="s">
        <v>344</v>
      </c>
      <c r="D155" s="26" t="str">
        <f>VLOOKUP($C155,classifications!$C:$J,4,FALSE)</f>
        <v>SD</v>
      </c>
      <c r="E155" s="26">
        <f>VLOOKUP(C155,classifications!C:K,9,FALSE)</f>
        <v>0</v>
      </c>
      <c r="F155" s="36">
        <f t="shared" si="50"/>
        <v>83.662806862085901</v>
      </c>
      <c r="G155" s="71"/>
      <c r="H155" s="37">
        <f t="shared" si="51"/>
        <v>83.662806862085901</v>
      </c>
      <c r="I155" s="77">
        <f>IF(H155="","",IF($I$8="A",(RANK(H155,H$11:H$368,1)+COUNTIF(H$11:H155,H155)-1),(RANK(H155,H$11:H$368)+COUNTIF(H$11:H155,H155)-1)))</f>
        <v>77</v>
      </c>
      <c r="J155" s="35"/>
      <c r="K155" s="28">
        <f t="shared" si="59"/>
        <v>145</v>
      </c>
      <c r="L155" s="36" t="str">
        <f t="shared" si="52"/>
        <v>Oadby &amp; Wigston</v>
      </c>
      <c r="M155" s="102">
        <f t="shared" si="60"/>
        <v>79.971389270307597</v>
      </c>
      <c r="N155" s="101">
        <f t="shared" si="61"/>
        <v>79.971389270307597</v>
      </c>
      <c r="O155" s="94" t="str">
        <f t="shared" si="53"/>
        <v/>
      </c>
      <c r="P155" s="94" t="str">
        <f t="shared" si="68"/>
        <v/>
      </c>
      <c r="Q155" s="94" t="str">
        <f t="shared" si="69"/>
        <v/>
      </c>
      <c r="R155" s="90">
        <f t="shared" si="70"/>
        <v>79.971389270307597</v>
      </c>
      <c r="S155" s="37" t="str">
        <f t="shared" si="62"/>
        <v/>
      </c>
      <c r="T155" s="176">
        <f>IF(L155="","",VLOOKUP(L155,classifications!C:K,9,FALSE))</f>
        <v>0</v>
      </c>
      <c r="U155" s="183" t="str">
        <f t="shared" si="54"/>
        <v/>
      </c>
      <c r="V155" s="184" t="str">
        <f>IF(U155="","",IF($I$8="A",(RANK(U155,U$11:U$368)+COUNTIF(U$11:U155,U155)-1),(RANK(U155,U$11:U$368,1)+COUNTIF(U$11:U155,U155)-1)))</f>
        <v/>
      </c>
      <c r="W155" s="185"/>
      <c r="X155" s="38" t="str">
        <f>IF(L155="","",VLOOKUP($L155,classifications!$C:$J,6,FALSE))</f>
        <v>Urban with City and Town</v>
      </c>
      <c r="Y155" s="26" t="str">
        <f t="shared" si="55"/>
        <v/>
      </c>
      <c r="Z155" s="34" t="str">
        <f>IF(Y155="","",IF(I$8="A",(RANK(Y155,Y$11:Y$368,1)+COUNTIF(Y$11:Y155,Y155)-1),(RANK(Y155,Y$11:Y$368)+COUNTIF(Y$11:Y155,Y155)-1)))</f>
        <v/>
      </c>
      <c r="AA155" s="188" t="str">
        <f>IF(L155="","",VLOOKUP($L155,classifications!C:I,7,FALSE))</f>
        <v>Predominantly Urban</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Leicestershire</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East Midlands</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83.662806862085901</v>
      </c>
      <c r="AY155" s="103"/>
      <c r="AZ155" s="21"/>
    </row>
    <row r="156" spans="1:52">
      <c r="A156" s="56" t="str">
        <f>$D$1&amp;146</f>
        <v>SD146</v>
      </c>
      <c r="B156" s="57">
        <f>IF(ISERROR(VLOOKUP(A156,classifications!A:C,3,FALSE)),0,VLOOKUP(A156,classifications!A:C,3,FALSE))</f>
        <v>0</v>
      </c>
      <c r="C156" s="8" t="s">
        <v>87</v>
      </c>
      <c r="D156" s="26" t="str">
        <f>VLOOKUP($C156,classifications!$C:$J,4,FALSE)</f>
        <v>SD</v>
      </c>
      <c r="E156" s="26">
        <f>VLOOKUP(C156,classifications!C:K,9,FALSE)</f>
        <v>0</v>
      </c>
      <c r="F156" s="36">
        <f t="shared" si="50"/>
        <v>85.215066128773415</v>
      </c>
      <c r="G156" s="71"/>
      <c r="H156" s="37">
        <f t="shared" si="51"/>
        <v>85.215066128773415</v>
      </c>
      <c r="I156" s="77">
        <f>IF(H156="","",IF($I$8="A",(RANK(H156,H$11:H$368,1)+COUNTIF(H$11:H156,H156)-1),(RANK(H156,H$11:H$368)+COUNTIF(H$11:H156,H156)-1)))</f>
        <v>46</v>
      </c>
      <c r="J156" s="35"/>
      <c r="K156" s="28">
        <f t="shared" si="59"/>
        <v>146</v>
      </c>
      <c r="L156" s="36" t="str">
        <f t="shared" si="52"/>
        <v>Warwick</v>
      </c>
      <c r="M156" s="102">
        <f t="shared" si="60"/>
        <v>79.937146240817597</v>
      </c>
      <c r="N156" s="101">
        <f t="shared" si="61"/>
        <v>79.937146240817597</v>
      </c>
      <c r="O156" s="94" t="str">
        <f t="shared" si="53"/>
        <v/>
      </c>
      <c r="P156" s="94" t="str">
        <f t="shared" si="68"/>
        <v/>
      </c>
      <c r="Q156" s="94" t="str">
        <f t="shared" si="69"/>
        <v/>
      </c>
      <c r="R156" s="90">
        <f t="shared" si="70"/>
        <v>79.937146240817597</v>
      </c>
      <c r="S156" s="37" t="str">
        <f t="shared" si="62"/>
        <v/>
      </c>
      <c r="T156" s="176">
        <f>IF(L156="","",VLOOKUP(L156,classifications!C:K,9,FALSE))</f>
        <v>0</v>
      </c>
      <c r="U156" s="183" t="str">
        <f t="shared" si="54"/>
        <v/>
      </c>
      <c r="V156" s="184" t="str">
        <f>IF(U156="","",IF($I$8="A",(RANK(U156,U$11:U$368)+COUNTIF(U$11:U156,U156)-1),(RANK(U156,U$11:U$368,1)+COUNTIF(U$11:U156,U156)-1)))</f>
        <v/>
      </c>
      <c r="W156" s="185"/>
      <c r="X156" s="38" t="str">
        <f>IF(L156="","",VLOOKUP($L156,classifications!$C:$J,6,FALSE))</f>
        <v>Urban with City and Town</v>
      </c>
      <c r="Y156" s="26" t="str">
        <f t="shared" si="55"/>
        <v/>
      </c>
      <c r="Z156" s="34" t="str">
        <f>IF(Y156="","",IF(I$8="A",(RANK(Y156,Y$11:Y$368,1)+COUNTIF(Y$11:Y156,Y156)-1),(RANK(Y156,Y$11:Y$368)+COUNTIF(Y$11:Y156,Y156)-1)))</f>
        <v/>
      </c>
      <c r="AA156" s="188" t="str">
        <f>IF(L156="","",VLOOKUP($L156,classifications!C:I,7,FALSE))</f>
        <v>Predominantly Urban</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Warwickshire</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West Midlands</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85.215066128773415</v>
      </c>
      <c r="AY156" s="103"/>
      <c r="AZ156" s="21"/>
    </row>
    <row r="157" spans="1:52">
      <c r="A157" s="56" t="str">
        <f>$D$1&amp;147</f>
        <v>SD147</v>
      </c>
      <c r="B157" s="57">
        <f>IF(ISERROR(VLOOKUP(A157,classifications!A:C,3,FALSE)),0,VLOOKUP(A157,classifications!A:C,3,FALSE))</f>
        <v>0</v>
      </c>
      <c r="C157" s="8" t="s">
        <v>210</v>
      </c>
      <c r="D157" s="26" t="str">
        <f>VLOOKUP($C157,classifications!$C:$J,4,FALSE)</f>
        <v>L</v>
      </c>
      <c r="E157" s="26">
        <f>VLOOKUP(C157,classifications!C:K,9,FALSE)</f>
        <v>0</v>
      </c>
      <c r="F157" s="36">
        <f t="shared" si="50"/>
        <v>77.019316613640257</v>
      </c>
      <c r="G157" s="71"/>
      <c r="H157" s="37" t="str">
        <f t="shared" si="51"/>
        <v/>
      </c>
      <c r="I157" s="77" t="str">
        <f>IF(H157="","",IF($I$8="A",(RANK(H157,H$11:H$368,1)+COUNTIF(H$11:H157,H157)-1),(RANK(H157,H$11:H$368)+COUNTIF(H$11:H157,H157)-1)))</f>
        <v/>
      </c>
      <c r="J157" s="35"/>
      <c r="K157" s="28">
        <f t="shared" si="59"/>
        <v>147</v>
      </c>
      <c r="L157" s="36" t="str">
        <f t="shared" si="52"/>
        <v>Preston</v>
      </c>
      <c r="M157" s="102">
        <f t="shared" si="60"/>
        <v>79.710929981788055</v>
      </c>
      <c r="N157" s="101">
        <f t="shared" si="61"/>
        <v>79.710929981788055</v>
      </c>
      <c r="O157" s="94" t="str">
        <f t="shared" si="53"/>
        <v/>
      </c>
      <c r="P157" s="94" t="str">
        <f t="shared" si="68"/>
        <v/>
      </c>
      <c r="Q157" s="94" t="str">
        <f t="shared" si="69"/>
        <v/>
      </c>
      <c r="R157" s="90">
        <f t="shared" si="70"/>
        <v>79.710929981788055</v>
      </c>
      <c r="S157" s="37" t="str">
        <f t="shared" si="62"/>
        <v/>
      </c>
      <c r="T157" s="176">
        <f>IF(L157="","",VLOOKUP(L157,classifications!C:K,9,FALSE))</f>
        <v>0</v>
      </c>
      <c r="U157" s="183" t="str">
        <f t="shared" si="54"/>
        <v/>
      </c>
      <c r="V157" s="184" t="str">
        <f>IF(U157="","",IF($I$8="A",(RANK(U157,U$11:U$368)+COUNTIF(U$11:U157,U157)-1),(RANK(U157,U$11:U$368,1)+COUNTIF(U$11:U157,U157)-1)))</f>
        <v/>
      </c>
      <c r="W157" s="185"/>
      <c r="X157" s="38" t="str">
        <f>IF(L157="","",VLOOKUP($L157,classifications!$C:$J,6,FALSE))</f>
        <v>Urban with City and Town</v>
      </c>
      <c r="Y157" s="26" t="str">
        <f t="shared" si="55"/>
        <v/>
      </c>
      <c r="Z157" s="34" t="str">
        <f>IF(Y157="","",IF(I$8="A",(RANK(Y157,Y$11:Y$368,1)+COUNTIF(Y$11:Y157,Y157)-1),(RANK(Y157,Y$11:Y$368)+COUNTIF(Y$11:Y157,Y157)-1)))</f>
        <v/>
      </c>
      <c r="AA157" s="188" t="str">
        <f>IF(L157="","",VLOOKUP($L157,classifications!C:I,7,FALSE))</f>
        <v>Predominantly Urban</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Lancashire</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North West</v>
      </c>
      <c r="AQ157" s="39">
        <f t="shared" si="66"/>
        <v>79.710929981788055</v>
      </c>
      <c r="AR157" s="34">
        <f>IF(AQ157="","",IF(I$8="A",(RANK(AQ157,AQ$11:AQ$368,1)+COUNTIF(AQ$11:AQ157,AQ157)-1),(RANK(AQ157,AQ$11:AQ$368)+COUNTIF(AQ$11:AQ157,AQ157)-1)))</f>
        <v>12</v>
      </c>
      <c r="AS157" s="29" t="str">
        <f t="shared" si="67"/>
        <v/>
      </c>
      <c r="AT157" s="34" t="str">
        <f t="shared" si="58"/>
        <v/>
      </c>
      <c r="AU157" s="39" t="str">
        <f t="shared" si="71"/>
        <v/>
      </c>
      <c r="AX157" s="21">
        <f>HLOOKUP($AX$9&amp;$AX$10,Data!$A$1:$ZZ$2000,(MATCH($C157,Data!$A$1:$A$2000,0)),FALSE)</f>
        <v>77.019316613640257</v>
      </c>
      <c r="AY157" s="103"/>
      <c r="AZ157" s="21"/>
    </row>
    <row r="158" spans="1:52">
      <c r="A158" s="56" t="str">
        <f>$D$1&amp;148</f>
        <v>SD148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80.452729669141519</v>
      </c>
      <c r="G158" s="71"/>
      <c r="H158" s="37">
        <f t="shared" si="51"/>
        <v>80.452729669141519</v>
      </c>
      <c r="I158" s="77">
        <f>IF(H158="","",IF($I$8="A",(RANK(H158,H$11:H$368,1)+COUNTIF(H$11:H158,H158)-1),(RANK(H158,H$11:H$368)+COUNTIF(H$11:H158,H158)-1)))</f>
        <v>136</v>
      </c>
      <c r="J158" s="35"/>
      <c r="K158" s="28">
        <f t="shared" si="59"/>
        <v>148</v>
      </c>
      <c r="L158" s="36" t="str">
        <f t="shared" si="52"/>
        <v>Ashford</v>
      </c>
      <c r="M158" s="102">
        <f t="shared" si="60"/>
        <v>79.637339452150854</v>
      </c>
      <c r="N158" s="101">
        <f t="shared" si="61"/>
        <v>79.637339452150854</v>
      </c>
      <c r="O158" s="94" t="str">
        <f t="shared" si="53"/>
        <v/>
      </c>
      <c r="P158" s="94" t="str">
        <f t="shared" si="68"/>
        <v/>
      </c>
      <c r="Q158" s="94" t="str">
        <f t="shared" si="69"/>
        <v/>
      </c>
      <c r="R158" s="90">
        <f t="shared" si="70"/>
        <v>79.637339452150854</v>
      </c>
      <c r="S158" s="37" t="str">
        <f t="shared" si="62"/>
        <v/>
      </c>
      <c r="T158" s="176" t="str">
        <f>IF(L158="","",VLOOKUP(L158,classifications!C:K,9,FALSE))</f>
        <v>Sparse</v>
      </c>
      <c r="U158" s="183">
        <f t="shared" si="54"/>
        <v>79.637339452150854</v>
      </c>
      <c r="V158" s="184">
        <f>IF(U158="","",IF($I$8="A",(RANK(U158,U$11:U$368)+COUNTIF(U$11:U158,U158)-1),(RANK(U158,U$11:U$368,1)+COUNTIF(U$11:U158,U158)-1)))</f>
        <v>12</v>
      </c>
      <c r="W158" s="185"/>
      <c r="X158" s="38" t="str">
        <f>IF(L158="","",VLOOKUP($L158,classifications!$C:$J,6,FALSE))</f>
        <v>Urban with Significant Rural (rural including hub towns 26-49%)</v>
      </c>
      <c r="Y158" s="26" t="str">
        <f t="shared" si="55"/>
        <v/>
      </c>
      <c r="Z158" s="34" t="str">
        <f>IF(Y158="","",IF(I$8="A",(RANK(Y158,Y$11:Y$368,1)+COUNTIF(Y$11:Y158,Y158)-1),(RANK(Y158,Y$11:Y$368)+COUNTIF(Y$11:Y158,Y158)-1)))</f>
        <v/>
      </c>
      <c r="AA158" s="188" t="str">
        <f>IF(L158="","",VLOOKUP($L158,classifications!C:I,7,FALSE))</f>
        <v>Significant Rural</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Kent</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South East</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80.452729669141519</v>
      </c>
      <c r="AY158" s="103"/>
      <c r="AZ158" s="21"/>
    </row>
    <row r="159" spans="1:52">
      <c r="A159" s="56" t="str">
        <f>$D$1&amp;149</f>
        <v>SD149</v>
      </c>
      <c r="B159" s="57">
        <f>IF(ISERROR(VLOOKUP(A159,classifications!A:C,3,FALSE)),0,VLOOKUP(A159,classifications!A:C,3,FALSE))</f>
        <v>0</v>
      </c>
      <c r="C159" s="8" t="s">
        <v>89</v>
      </c>
      <c r="D159" s="26" t="str">
        <f>VLOOKUP($C159,classifications!$C:$J,4,FALSE)</f>
        <v>SD</v>
      </c>
      <c r="E159" s="26">
        <f>VLOOKUP(C159,classifications!C:K,9,FALSE)</f>
        <v>0</v>
      </c>
      <c r="F159" s="36">
        <f t="shared" si="50"/>
        <v>77.551421506656155</v>
      </c>
      <c r="G159" s="71"/>
      <c r="H159" s="37">
        <f t="shared" si="51"/>
        <v>77.551421506656155</v>
      </c>
      <c r="I159" s="77">
        <f>IF(H159="","",IF($I$8="A",(RANK(H159,H$11:H$368,1)+COUNTIF(H$11:H159,H159)-1),(RANK(H159,H$11:H$368)+COUNTIF(H$11:H159,H159)-1)))</f>
        <v>169</v>
      </c>
      <c r="J159" s="35"/>
      <c r="K159" s="28">
        <f t="shared" si="59"/>
        <v>149</v>
      </c>
      <c r="L159" s="36" t="str">
        <f t="shared" si="52"/>
        <v>Maidstone</v>
      </c>
      <c r="M159" s="102">
        <f t="shared" si="60"/>
        <v>79.493690785563018</v>
      </c>
      <c r="N159" s="101">
        <f t="shared" si="61"/>
        <v>79.493690785563018</v>
      </c>
      <c r="O159" s="94" t="str">
        <f t="shared" si="53"/>
        <v/>
      </c>
      <c r="P159" s="94" t="str">
        <f t="shared" si="68"/>
        <v/>
      </c>
      <c r="Q159" s="94" t="str">
        <f t="shared" si="69"/>
        <v/>
      </c>
      <c r="R159" s="90">
        <f t="shared" si="70"/>
        <v>79.493690785563018</v>
      </c>
      <c r="S159" s="37" t="str">
        <f t="shared" si="62"/>
        <v/>
      </c>
      <c r="T159" s="176">
        <f>IF(L159="","",VLOOKUP(L159,classifications!C:K,9,FALSE))</f>
        <v>0</v>
      </c>
      <c r="U159" s="183" t="str">
        <f t="shared" si="54"/>
        <v/>
      </c>
      <c r="V159" s="184" t="str">
        <f>IF(U159="","",IF($I$8="A",(RANK(U159,U$11:U$368)+COUNTIF(U$11:U159,U159)-1),(RANK(U159,U$11:U$368,1)+COUNTIF(U$11:U159,U159)-1)))</f>
        <v/>
      </c>
      <c r="W159" s="185"/>
      <c r="X159" s="38" t="str">
        <f>IF(L159="","",VLOOKUP($L159,classifications!$C:$J,6,FALSE))</f>
        <v>Urban with Significant Rural (rural including hub towns 26-49%)</v>
      </c>
      <c r="Y159" s="26" t="str">
        <f t="shared" si="55"/>
        <v/>
      </c>
      <c r="Z159" s="34" t="str">
        <f>IF(Y159="","",IF(I$8="A",(RANK(Y159,Y$11:Y$368,1)+COUNTIF(Y$11:Y159,Y159)-1),(RANK(Y159,Y$11:Y$368)+COUNTIF(Y$11:Y159,Y159)-1)))</f>
        <v/>
      </c>
      <c r="AA159" s="188" t="str">
        <f>IF(L159="","",VLOOKUP($L159,classifications!C:I,7,FALSE))</f>
        <v>Significant Rural</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Kent</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South East</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77.551421506656155</v>
      </c>
      <c r="AY159" s="103"/>
      <c r="AZ159" s="21"/>
    </row>
    <row r="160" spans="1:52">
      <c r="A160" s="56" t="str">
        <f>$D$1&amp;150</f>
        <v>SD150</v>
      </c>
      <c r="B160" s="57">
        <f>IF(ISERROR(VLOOKUP(A160,classifications!A:C,3,FALSE)),0,VLOOKUP(A160,classifications!A:C,3,FALSE))</f>
        <v>0</v>
      </c>
      <c r="C160" s="8" t="s">
        <v>90</v>
      </c>
      <c r="D160" s="26" t="str">
        <f>VLOOKUP($C160,classifications!$C:$J,4,FALSE)</f>
        <v>SD</v>
      </c>
      <c r="E160" s="26">
        <f>VLOOKUP(C160,classifications!C:K,9,FALSE)</f>
        <v>0</v>
      </c>
      <c r="F160" s="36">
        <f t="shared" si="50"/>
        <v>80.378583310933735</v>
      </c>
      <c r="G160" s="71"/>
      <c r="H160" s="37">
        <f t="shared" si="51"/>
        <v>80.378583310933735</v>
      </c>
      <c r="I160" s="77">
        <f>IF(H160="","",IF($I$8="A",(RANK(H160,H$11:H$368,1)+COUNTIF(H$11:H160,H160)-1),(RANK(H160,H$11:H$368)+COUNTIF(H$11:H160,H160)-1)))</f>
        <v>138</v>
      </c>
      <c r="J160" s="35"/>
      <c r="K160" s="28">
        <f t="shared" si="59"/>
        <v>150</v>
      </c>
      <c r="L160" s="36" t="str">
        <f t="shared" si="52"/>
        <v>Tendring</v>
      </c>
      <c r="M160" s="102">
        <f t="shared" si="60"/>
        <v>79.378053689378845</v>
      </c>
      <c r="N160" s="101">
        <f t="shared" si="61"/>
        <v>79.378053689378845</v>
      </c>
      <c r="O160" s="94" t="str">
        <f t="shared" si="53"/>
        <v/>
      </c>
      <c r="P160" s="94" t="str">
        <f t="shared" si="68"/>
        <v/>
      </c>
      <c r="Q160" s="94" t="str">
        <f t="shared" si="69"/>
        <v/>
      </c>
      <c r="R160" s="90">
        <f t="shared" si="70"/>
        <v>79.378053689378845</v>
      </c>
      <c r="S160" s="37" t="str">
        <f t="shared" si="62"/>
        <v/>
      </c>
      <c r="T160" s="176">
        <f>IF(L160="","",VLOOKUP(L160,classifications!C:K,9,FALSE))</f>
        <v>0</v>
      </c>
      <c r="U160" s="183" t="str">
        <f t="shared" si="54"/>
        <v/>
      </c>
      <c r="V160" s="184" t="str">
        <f>IF(U160="","",IF($I$8="A",(RANK(U160,U$11:U$368)+COUNTIF(U$11:U160,U160)-1),(RANK(U160,U$11:U$368,1)+COUNTIF(U$11:U160,U160)-1)))</f>
        <v/>
      </c>
      <c r="W160" s="185"/>
      <c r="X160" s="38" t="str">
        <f>IF(L160="","",VLOOKUP($L160,classifications!$C:$J,6,FALSE))</f>
        <v xml:space="preserve">Largely Rural (rural including hub towns 50-79%) </v>
      </c>
      <c r="Y160" s="26" t="str">
        <f t="shared" si="55"/>
        <v/>
      </c>
      <c r="Z160" s="34" t="str">
        <f>IF(Y160="","",IF(I$8="A",(RANK(Y160,Y$11:Y$368,1)+COUNTIF(Y$11:Y160,Y160)-1),(RANK(Y160,Y$11:Y$368)+COUNTIF(Y$11:Y160,Y160)-1)))</f>
        <v/>
      </c>
      <c r="AA160" s="188" t="str">
        <f>IF(L160="","",VLOOKUP($L160,classifications!C:I,7,FALSE))</f>
        <v>Predominantly Rural</v>
      </c>
      <c r="AB160" s="184">
        <f t="shared" si="63"/>
        <v>79.378053689378845</v>
      </c>
      <c r="AC160" s="184">
        <f>IF(AB160="","",IF($I$8="A",(RANK(AB160,AB$11:AB$368)+COUNTIF(AB$11:AB160,AB160)-1),(RANK(AB160,AB$11:AB$368,1)+COUNTIF(AB$11:AB160,AB160)-1)))</f>
        <v>14</v>
      </c>
      <c r="AD160" s="184"/>
      <c r="AE160" s="28" t="str">
        <f t="shared" si="49"/>
        <v/>
      </c>
      <c r="AG160" s="96"/>
      <c r="AH160" s="29"/>
      <c r="AI160" s="38" t="str">
        <f>IF(L160="","",VLOOKUP($L160,classifications!$C:$J,8,FALSE))</f>
        <v>Essex</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East of England</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80.378583310933735</v>
      </c>
      <c r="AY160" s="103"/>
      <c r="AZ160" s="21"/>
    </row>
    <row r="161" spans="1:52">
      <c r="A161" s="56" t="str">
        <f>$D$1&amp;151</f>
        <v>SD151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83.833558960633951</v>
      </c>
      <c r="G161" s="71"/>
      <c r="H161" s="37" t="str">
        <f t="shared" si="51"/>
        <v/>
      </c>
      <c r="I161" s="77" t="str">
        <f>IF(H161="","",IF($I$8="A",(RANK(H161,H$11:H$368,1)+COUNTIF(H$11:H161,H161)-1),(RANK(H161,H$11:H$368)+COUNTIF(H$11:H161,H161)-1)))</f>
        <v/>
      </c>
      <c r="J161" s="35"/>
      <c r="K161" s="28">
        <f t="shared" si="59"/>
        <v>151</v>
      </c>
      <c r="L161" s="36" t="str">
        <f t="shared" si="52"/>
        <v>Bassetlaw</v>
      </c>
      <c r="M161" s="102">
        <f t="shared" si="60"/>
        <v>79.150372986211494</v>
      </c>
      <c r="N161" s="101">
        <f t="shared" si="61"/>
        <v>79.150372986211494</v>
      </c>
      <c r="O161" s="94" t="str">
        <f t="shared" si="53"/>
        <v/>
      </c>
      <c r="P161" s="94" t="str">
        <f t="shared" si="68"/>
        <v/>
      </c>
      <c r="Q161" s="94" t="str">
        <f t="shared" si="69"/>
        <v/>
      </c>
      <c r="R161" s="90">
        <f t="shared" si="70"/>
        <v>79.150372986211494</v>
      </c>
      <c r="S161" s="37" t="str">
        <f t="shared" si="62"/>
        <v/>
      </c>
      <c r="T161" s="176">
        <f>IF(L161="","",VLOOKUP(L161,classifications!C:K,9,FALSE))</f>
        <v>0</v>
      </c>
      <c r="U161" s="183" t="str">
        <f t="shared" si="54"/>
        <v/>
      </c>
      <c r="V161" s="184" t="str">
        <f>IF(U161="","",IF($I$8="A",(RANK(U161,U$11:U$368)+COUNTIF(U$11:U161,U161)-1),(RANK(U161,U$11:U$368,1)+COUNTIF(U$11:U161,U161)-1)))</f>
        <v/>
      </c>
      <c r="W161" s="185"/>
      <c r="X161" s="38" t="str">
        <f>IF(L161="","",VLOOKUP($L161,classifications!$C:$J,6,FALSE))</f>
        <v xml:space="preserve">Largely Rural (rural including hub towns 50-79%) </v>
      </c>
      <c r="Y161" s="26" t="str">
        <f t="shared" si="55"/>
        <v/>
      </c>
      <c r="Z161" s="34" t="str">
        <f>IF(Y161="","",IF(I$8="A",(RANK(Y161,Y$11:Y$368,1)+COUNTIF(Y$11:Y161,Y161)-1),(RANK(Y161,Y$11:Y$368)+COUNTIF(Y$11:Y161,Y161)-1)))</f>
        <v/>
      </c>
      <c r="AA161" s="188" t="str">
        <f>IF(L161="","",VLOOKUP($L161,classifications!C:I,7,FALSE))</f>
        <v>Predominantly Rural</v>
      </c>
      <c r="AB161" s="184">
        <f t="shared" si="63"/>
        <v>79.150372986211494</v>
      </c>
      <c r="AC161" s="184">
        <f>IF(AB161="","",IF($I$8="A",(RANK(AB161,AB$11:AB$368)+COUNTIF(AB$11:AB161,AB161)-1),(RANK(AB161,AB$11:AB$368,1)+COUNTIF(AB$11:AB161,AB161)-1)))</f>
        <v>13</v>
      </c>
      <c r="AD161" s="184"/>
      <c r="AE161" s="28" t="str">
        <f t="shared" si="49"/>
        <v/>
      </c>
      <c r="AG161" s="96"/>
      <c r="AH161" s="29"/>
      <c r="AI161" s="38" t="str">
        <f>IF(L161="","",VLOOKUP($L161,classifications!$C:$J,8,FALSE))</f>
        <v>Nottinghamshire</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East Midlands</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83.833558960633951</v>
      </c>
      <c r="AY161" s="103"/>
      <c r="AZ161" s="21"/>
    </row>
    <row r="162" spans="1:52">
      <c r="A162" s="56" t="str">
        <f>$D$1&amp;152</f>
        <v>SD152</v>
      </c>
      <c r="B162" s="57">
        <f>IF(ISERROR(VLOOKUP(A162,classifications!A:C,3,FALSE)),0,VLOOKUP(A162,classifications!A:C,3,FALSE))</f>
        <v>0</v>
      </c>
      <c r="C162" s="8" t="s">
        <v>2</v>
      </c>
      <c r="D162" s="26">
        <f>VLOOKUP($C162,classifications!$C:$J,4,FALSE)</f>
        <v>0</v>
      </c>
      <c r="E162" s="26">
        <f>VLOOKUP(C162,classifications!C:K,9,FALSE)</f>
        <v>0</v>
      </c>
      <c r="F162" s="36">
        <f t="shared" si="50"/>
        <v>88.756613242205489</v>
      </c>
      <c r="G162" s="71"/>
      <c r="H162" s="37" t="str">
        <f t="shared" si="51"/>
        <v/>
      </c>
      <c r="I162" s="77" t="str">
        <f>IF(H162="","",IF($I$8="A",(RANK(H162,H$11:H$368,1)+COUNTIF(H$11:H162,H162)-1),(RANK(H162,H$11:H$368)+COUNTIF(H$11:H162,H162)-1)))</f>
        <v/>
      </c>
      <c r="J162" s="35"/>
      <c r="K162" s="28">
        <f t="shared" si="59"/>
        <v>152</v>
      </c>
      <c r="L162" s="36" t="str">
        <f t="shared" si="52"/>
        <v>Wyre</v>
      </c>
      <c r="M162" s="102">
        <f t="shared" si="60"/>
        <v>79.146909289786848</v>
      </c>
      <c r="N162" s="101">
        <f t="shared" si="61"/>
        <v>79.146909289786848</v>
      </c>
      <c r="O162" s="94" t="str">
        <f t="shared" si="53"/>
        <v/>
      </c>
      <c r="P162" s="94" t="str">
        <f t="shared" si="68"/>
        <v/>
      </c>
      <c r="Q162" s="94" t="str">
        <f t="shared" si="69"/>
        <v/>
      </c>
      <c r="R162" s="90">
        <f t="shared" si="70"/>
        <v>79.146909289786848</v>
      </c>
      <c r="S162" s="37" t="str">
        <f t="shared" si="62"/>
        <v/>
      </c>
      <c r="T162" s="176">
        <f>IF(L162="","",VLOOKUP(L162,classifications!C:K,9,FALSE))</f>
        <v>0</v>
      </c>
      <c r="U162" s="183" t="str">
        <f t="shared" si="54"/>
        <v/>
      </c>
      <c r="V162" s="184" t="str">
        <f>IF(U162="","",IF($I$8="A",(RANK(U162,U$11:U$368)+COUNTIF(U$11:U162,U162)-1),(RANK(U162,U$11:U$368,1)+COUNTIF(U$11:U162,U162)-1)))</f>
        <v/>
      </c>
      <c r="W162" s="185"/>
      <c r="X162" s="38" t="str">
        <f>IF(L162="","",VLOOKUP($L162,classifications!$C:$J,6,FALSE))</f>
        <v xml:space="preserve">Largely Rural (rural including hub towns 50-79%) </v>
      </c>
      <c r="Y162" s="26" t="str">
        <f t="shared" si="55"/>
        <v/>
      </c>
      <c r="Z162" s="34" t="str">
        <f>IF(Y162="","",IF(I$8="A",(RANK(Y162,Y$11:Y$368,1)+COUNTIF(Y$11:Y162,Y162)-1),(RANK(Y162,Y$11:Y$368)+COUNTIF(Y$11:Y162,Y162)-1)))</f>
        <v/>
      </c>
      <c r="AA162" s="188" t="str">
        <f>IF(L162="","",VLOOKUP($L162,classifications!C:I,7,FALSE))</f>
        <v>Predominantly Rural</v>
      </c>
      <c r="AB162" s="184">
        <f t="shared" si="63"/>
        <v>79.146909289786848</v>
      </c>
      <c r="AC162" s="184">
        <f>IF(AB162="","",IF($I$8="A",(RANK(AB162,AB$11:AB$368)+COUNTIF(AB$11:AB162,AB162)-1),(RANK(AB162,AB$11:AB$368,1)+COUNTIF(AB$11:AB162,AB162)-1)))</f>
        <v>12</v>
      </c>
      <c r="AD162" s="184"/>
      <c r="AE162" s="28" t="str">
        <f t="shared" si="49"/>
        <v/>
      </c>
      <c r="AG162" s="96"/>
      <c r="AH162" s="29"/>
      <c r="AI162" s="38" t="str">
        <f>IF(L162="","",VLOOKUP($L162,classifications!$C:$J,8,FALSE))</f>
        <v>Lancashire</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North West</v>
      </c>
      <c r="AQ162" s="39">
        <f t="shared" si="66"/>
        <v>79.146909289786848</v>
      </c>
      <c r="AR162" s="34">
        <f>IF(AQ162="","",IF(I$8="A",(RANK(AQ162,AQ$11:AQ$368,1)+COUNTIF(AQ$11:AQ162,AQ162)-1),(RANK(AQ162,AQ$11:AQ$368)+COUNTIF(AQ$11:AQ162,AQ162)-1)))</f>
        <v>13</v>
      </c>
      <c r="AS162" s="29" t="str">
        <f t="shared" si="67"/>
        <v/>
      </c>
      <c r="AT162" s="34" t="str">
        <f t="shared" si="58"/>
        <v/>
      </c>
      <c r="AU162" s="39" t="str">
        <f t="shared" si="71"/>
        <v/>
      </c>
      <c r="AX162" s="21">
        <f>HLOOKUP($AX$9&amp;$AX$10,Data!$A$1:$ZZ$2000,(MATCH($C162,Data!$A$1:$A$2000,0)),FALSE)</f>
        <v>88.756613242205489</v>
      </c>
      <c r="AY162" s="103"/>
      <c r="AZ162" s="21"/>
    </row>
    <row r="163" spans="1:52">
      <c r="A163" s="56" t="str">
        <f>$D$1&amp;153</f>
        <v>SD153</v>
      </c>
      <c r="B163" s="57">
        <f>IF(ISERROR(VLOOKUP(A163,classifications!A:C,3,FALSE)),0,VLOOKUP(A163,classifications!A:C,3,FALSE))</f>
        <v>0</v>
      </c>
      <c r="C163" s="8" t="s">
        <v>211</v>
      </c>
      <c r="D163" s="26" t="str">
        <f>VLOOKUP($C163,classifications!$C:$J,4,FALSE)</f>
        <v>L</v>
      </c>
      <c r="E163" s="26">
        <f>VLOOKUP(C163,classifications!C:K,9,FALSE)</f>
        <v>0</v>
      </c>
      <c r="F163" s="36">
        <f t="shared" si="50"/>
        <v>86.484786413352055</v>
      </c>
      <c r="G163" s="71"/>
      <c r="H163" s="37" t="str">
        <f t="shared" si="51"/>
        <v/>
      </c>
      <c r="I163" s="77" t="str">
        <f>IF(H163="","",IF($I$8="A",(RANK(H163,H$11:H$368,1)+COUNTIF(H$11:H163,H163)-1),(RANK(H163,H$11:H$368)+COUNTIF(H$11:H163,H163)-1)))</f>
        <v/>
      </c>
      <c r="J163" s="35"/>
      <c r="K163" s="28">
        <f t="shared" si="59"/>
        <v>153</v>
      </c>
      <c r="L163" s="36" t="str">
        <f t="shared" si="52"/>
        <v>Broadland</v>
      </c>
      <c r="M163" s="102">
        <f t="shared" si="60"/>
        <v>79.033513267818861</v>
      </c>
      <c r="N163" s="101">
        <f t="shared" si="61"/>
        <v>79.033513267818861</v>
      </c>
      <c r="O163" s="94" t="str">
        <f t="shared" si="53"/>
        <v/>
      </c>
      <c r="P163" s="94" t="str">
        <f t="shared" si="68"/>
        <v/>
      </c>
      <c r="Q163" s="94" t="str">
        <f t="shared" si="69"/>
        <v/>
      </c>
      <c r="R163" s="90">
        <f t="shared" si="70"/>
        <v>79.033513267818861</v>
      </c>
      <c r="S163" s="37" t="str">
        <f t="shared" si="62"/>
        <v/>
      </c>
      <c r="T163" s="176">
        <f>IF(L163="","",VLOOKUP(L163,classifications!C:K,9,FALSE))</f>
        <v>0</v>
      </c>
      <c r="U163" s="183" t="str">
        <f t="shared" si="54"/>
        <v/>
      </c>
      <c r="V163" s="184" t="str">
        <f>IF(U163="","",IF($I$8="A",(RANK(U163,U$11:U$368)+COUNTIF(U$11:U163,U163)-1),(RANK(U163,U$11:U$368,1)+COUNTIF(U$11:U163,U163)-1)))</f>
        <v/>
      </c>
      <c r="W163" s="185"/>
      <c r="X163" s="38" t="str">
        <f>IF(L163="","",VLOOKUP($L163,classifications!$C:$J,6,FALSE))</f>
        <v>Urban with Significant Rural (rural including hub towns 26-49%)</v>
      </c>
      <c r="Y163" s="26" t="str">
        <f t="shared" si="55"/>
        <v/>
      </c>
      <c r="Z163" s="34" t="str">
        <f>IF(Y163="","",IF(I$8="A",(RANK(Y163,Y$11:Y$368,1)+COUNTIF(Y$11:Y163,Y163)-1),(RANK(Y163,Y$11:Y$368)+COUNTIF(Y$11:Y163,Y163)-1)))</f>
        <v/>
      </c>
      <c r="AA163" s="188" t="str">
        <f>IF(L163="","",VLOOKUP($L163,classifications!C:I,7,FALSE))</f>
        <v>Significant Rural</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Norfolk</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East of England</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86.484786413352055</v>
      </c>
      <c r="AY163" s="103"/>
      <c r="AZ163" s="21"/>
    </row>
    <row r="164" spans="1:52">
      <c r="A164" s="56" t="str">
        <f>$D$1&amp;154</f>
        <v>SD154</v>
      </c>
      <c r="B164" s="57">
        <f>IF(ISERROR(VLOOKUP(A164,classifications!A:C,3,FALSE)),0,VLOOKUP(A164,classifications!A:C,3,FALSE))</f>
        <v>0</v>
      </c>
      <c r="C164" s="8" t="s">
        <v>337</v>
      </c>
      <c r="D164" s="26" t="str">
        <f>VLOOKUP($C164,classifications!$C:$J,4,FALSE)</f>
        <v>L</v>
      </c>
      <c r="E164" s="26">
        <f>VLOOKUP(C164,classifications!C:K,9,FALSE)</f>
        <v>0</v>
      </c>
      <c r="F164" s="36">
        <f t="shared" si="50"/>
        <v>86.928464667885976</v>
      </c>
      <c r="G164" s="71"/>
      <c r="H164" s="37" t="str">
        <f t="shared" si="51"/>
        <v/>
      </c>
      <c r="I164" s="77" t="str">
        <f>IF(H164="","",IF($I$8="A",(RANK(H164,H$11:H$368,1)+COUNTIF(H$11:H164,H164)-1),(RANK(H164,H$11:H$368)+COUNTIF(H$11:H164,H164)-1)))</f>
        <v/>
      </c>
      <c r="J164" s="35"/>
      <c r="K164" s="28">
        <f t="shared" si="59"/>
        <v>154</v>
      </c>
      <c r="L164" s="36" t="str">
        <f t="shared" si="52"/>
        <v>Torridge</v>
      </c>
      <c r="M164" s="102">
        <f t="shared" si="60"/>
        <v>78.94026222564095</v>
      </c>
      <c r="N164" s="101">
        <f t="shared" si="61"/>
        <v>78.94026222564095</v>
      </c>
      <c r="O164" s="94" t="str">
        <f t="shared" si="53"/>
        <v/>
      </c>
      <c r="P164" s="94" t="str">
        <f t="shared" si="68"/>
        <v/>
      </c>
      <c r="Q164" s="94" t="str">
        <f t="shared" si="69"/>
        <v/>
      </c>
      <c r="R164" s="90">
        <f t="shared" si="70"/>
        <v>78.94026222564095</v>
      </c>
      <c r="S164" s="37" t="str">
        <f t="shared" si="62"/>
        <v/>
      </c>
      <c r="T164" s="176" t="str">
        <f>IF(L164="","",VLOOKUP(L164,classifications!C:K,9,FALSE))</f>
        <v>Sparse</v>
      </c>
      <c r="U164" s="183">
        <f t="shared" si="54"/>
        <v>78.94026222564095</v>
      </c>
      <c r="V164" s="184">
        <f>IF(U164="","",IF($I$8="A",(RANK(U164,U$11:U$368)+COUNTIF(U$11:U164,U164)-1),(RANK(U164,U$11:U$368,1)+COUNTIF(U$11:U164,U164)-1)))</f>
        <v>11</v>
      </c>
      <c r="W164" s="185"/>
      <c r="X164" s="38" t="str">
        <f>IF(L164="","",VLOOKUP($L164,classifications!$C:$J,6,FALSE))</f>
        <v xml:space="preserve">Mainly Rural (rural including hub towns &gt;=80%) </v>
      </c>
      <c r="Y164" s="26">
        <f t="shared" si="55"/>
        <v>78.94026222564095</v>
      </c>
      <c r="Z164" s="34">
        <f>IF(Y164="","",IF(I$8="A",(RANK(Y164,Y$11:Y$368,1)+COUNTIF(Y$11:Y164,Y164)-1),(RANK(Y164,Y$11:Y$368)+COUNTIF(Y$11:Y164,Y164)-1)))</f>
        <v>36</v>
      </c>
      <c r="AA164" s="188" t="str">
        <f>IF(L164="","",VLOOKUP($L164,classifications!C:I,7,FALSE))</f>
        <v>Predominantly Rural</v>
      </c>
      <c r="AB164" s="184">
        <f t="shared" si="63"/>
        <v>78.94026222564095</v>
      </c>
      <c r="AC164" s="184">
        <f>IF(AB164="","",IF($I$8="A",(RANK(AB164,AB$11:AB$368)+COUNTIF(AB$11:AB164,AB164)-1),(RANK(AB164,AB$11:AB$368,1)+COUNTIF(AB$11:AB164,AB164)-1)))</f>
        <v>11</v>
      </c>
      <c r="AD164" s="184"/>
      <c r="AE164" s="28" t="str">
        <f t="shared" si="72"/>
        <v/>
      </c>
      <c r="AG164" s="96"/>
      <c r="AH164" s="29"/>
      <c r="AI164" s="38" t="str">
        <f>IF(L164="","",VLOOKUP($L164,classifications!$C:$J,8,FALSE))</f>
        <v>Devon</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South West</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86.928464667885976</v>
      </c>
      <c r="AY164" s="103"/>
      <c r="AZ164" s="21"/>
    </row>
    <row r="165" spans="1:52">
      <c r="A165" s="56" t="str">
        <f>$D$1&amp;155</f>
        <v>SD155</v>
      </c>
      <c r="B165" s="57">
        <f>IF(ISERROR(VLOOKUP(A165,classifications!A:C,3,FALSE)),0,VLOOKUP(A165,classifications!A:C,3,FALSE))</f>
        <v>0</v>
      </c>
      <c r="C165" s="8" t="s">
        <v>315</v>
      </c>
      <c r="D165" s="26" t="str">
        <f>VLOOKUP($C165,classifications!$C:$J,4,FALSE)</f>
        <v>SC</v>
      </c>
      <c r="E165" s="26">
        <f>VLOOKUP(C165,classifications!C:K,9,FALSE)</f>
        <v>0</v>
      </c>
      <c r="F165" s="36">
        <f t="shared" si="50"/>
        <v>81.97475543901848</v>
      </c>
      <c r="G165" s="71"/>
      <c r="H165" s="37" t="str">
        <f t="shared" si="51"/>
        <v/>
      </c>
      <c r="I165" s="77" t="str">
        <f>IF(H165="","",IF($I$8="A",(RANK(H165,H$11:H$368,1)+COUNTIF(H$11:H165,H165)-1),(RANK(H165,H$11:H$368)+COUNTIF(H$11:H165,H165)-1)))</f>
        <v/>
      </c>
      <c r="J165" s="35"/>
      <c r="K165" s="28">
        <f t="shared" si="59"/>
        <v>155</v>
      </c>
      <c r="L165" s="36" t="str">
        <f t="shared" si="52"/>
        <v>Babergh</v>
      </c>
      <c r="M165" s="102">
        <f t="shared" si="60"/>
        <v>78.89244691922211</v>
      </c>
      <c r="N165" s="101">
        <f t="shared" si="61"/>
        <v>78.89244691922211</v>
      </c>
      <c r="O165" s="94" t="str">
        <f t="shared" si="53"/>
        <v/>
      </c>
      <c r="P165" s="94" t="str">
        <f t="shared" si="68"/>
        <v/>
      </c>
      <c r="Q165" s="94" t="str">
        <f t="shared" si="69"/>
        <v/>
      </c>
      <c r="R165" s="90">
        <f t="shared" si="70"/>
        <v>78.89244691922211</v>
      </c>
      <c r="S165" s="37" t="str">
        <f t="shared" si="62"/>
        <v/>
      </c>
      <c r="T165" s="176" t="str">
        <f>IF(L165="","",VLOOKUP(L165,classifications!C:K,9,FALSE))</f>
        <v>Sparse</v>
      </c>
      <c r="U165" s="183">
        <f t="shared" si="54"/>
        <v>78.89244691922211</v>
      </c>
      <c r="V165" s="184">
        <f>IF(U165="","",IF($I$8="A",(RANK(U165,U$11:U$368)+COUNTIF(U$11:U165,U165)-1),(RANK(U165,U$11:U$368,1)+COUNTIF(U$11:U165,U165)-1)))</f>
        <v>10</v>
      </c>
      <c r="W165" s="185"/>
      <c r="X165" s="38" t="str">
        <f>IF(L165="","",VLOOKUP($L165,classifications!$C:$J,6,FALSE))</f>
        <v xml:space="preserve">Mainly Rural (rural including hub towns &gt;=80%) </v>
      </c>
      <c r="Y165" s="26">
        <f t="shared" si="55"/>
        <v>78.89244691922211</v>
      </c>
      <c r="Z165" s="34">
        <f>IF(Y165="","",IF(I$8="A",(RANK(Y165,Y$11:Y$368,1)+COUNTIF(Y$11:Y165,Y165)-1),(RANK(Y165,Y$11:Y$368)+COUNTIF(Y$11:Y165,Y165)-1)))</f>
        <v>37</v>
      </c>
      <c r="AA165" s="188" t="str">
        <f>IF(L165="","",VLOOKUP($L165,classifications!C:I,7,FALSE))</f>
        <v>Predominantly Rural</v>
      </c>
      <c r="AB165" s="184">
        <f t="shared" si="63"/>
        <v>78.89244691922211</v>
      </c>
      <c r="AC165" s="184">
        <f>IF(AB165="","",IF($I$8="A",(RANK(AB165,AB$11:AB$368)+COUNTIF(AB$11:AB165,AB165)-1),(RANK(AB165,AB$11:AB$368,1)+COUNTIF(AB$11:AB165,AB165)-1)))</f>
        <v>10</v>
      </c>
      <c r="AD165" s="184"/>
      <c r="AE165" s="28" t="str">
        <f t="shared" si="72"/>
        <v/>
      </c>
      <c r="AG165" s="96"/>
      <c r="AH165" s="29"/>
      <c r="AI165" s="38" t="str">
        <f>IF(L165="","",VLOOKUP($L165,classifications!$C:$J,8,FALSE))</f>
        <v>Suffolk</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East of England</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81.97475543901848</v>
      </c>
      <c r="AY165" s="103"/>
      <c r="AZ165" s="21"/>
    </row>
    <row r="166" spans="1:52">
      <c r="A166" s="56" t="str">
        <f>$D$1&amp;156</f>
        <v>SD156</v>
      </c>
      <c r="B166" s="57">
        <f>IF(ISERROR(VLOOKUP(A166,classifications!A:C,3,FALSE)),0,VLOOKUP(A166,classifications!A:C,3,FALSE))</f>
        <v>0</v>
      </c>
      <c r="C166" s="8" t="s">
        <v>91</v>
      </c>
      <c r="D166" s="26" t="str">
        <f>VLOOKUP($C166,classifications!$C:$J,4,FALSE)</f>
        <v>SD</v>
      </c>
      <c r="E166" s="26">
        <f>VLOOKUP(C166,classifications!C:K,9,FALSE)</f>
        <v>0</v>
      </c>
      <c r="F166" s="36">
        <f t="shared" si="50"/>
        <v>81.117393248129574</v>
      </c>
      <c r="G166" s="71"/>
      <c r="H166" s="37">
        <f t="shared" si="51"/>
        <v>81.117393248129574</v>
      </c>
      <c r="I166" s="77">
        <f>IF(H166="","",IF($I$8="A",(RANK(H166,H$11:H$368,1)+COUNTIF(H$11:H166,H166)-1),(RANK(H166,H$11:H$368)+COUNTIF(H$11:H166,H166)-1)))</f>
        <v>125</v>
      </c>
      <c r="J166" s="35"/>
      <c r="K166" s="28">
        <f t="shared" si="59"/>
        <v>156</v>
      </c>
      <c r="L166" s="36" t="str">
        <f t="shared" si="52"/>
        <v>Folkestone &amp; Hythe</v>
      </c>
      <c r="M166" s="102">
        <f t="shared" si="60"/>
        <v>78.87145783625418</v>
      </c>
      <c r="N166" s="101">
        <f t="shared" si="61"/>
        <v>78.87145783625418</v>
      </c>
      <c r="O166" s="94" t="str">
        <f t="shared" si="53"/>
        <v/>
      </c>
      <c r="P166" s="94" t="str">
        <f t="shared" si="68"/>
        <v/>
      </c>
      <c r="Q166" s="94" t="str">
        <f t="shared" si="69"/>
        <v/>
      </c>
      <c r="R166" s="90">
        <f t="shared" si="70"/>
        <v>78.87145783625418</v>
      </c>
      <c r="S166" s="37" t="str">
        <f t="shared" si="62"/>
        <v/>
      </c>
      <c r="T166" s="176">
        <f>IF(L166="","",VLOOKUP(L166,classifications!C:K,9,FALSE))</f>
        <v>0</v>
      </c>
      <c r="U166" s="183" t="str">
        <f t="shared" si="54"/>
        <v/>
      </c>
      <c r="V166" s="184" t="str">
        <f>IF(U166="","",IF($I$8="A",(RANK(U166,U$11:U$368)+COUNTIF(U$11:U166,U166)-1),(RANK(U166,U$11:U$368,1)+COUNTIF(U$11:U166,U166)-1)))</f>
        <v/>
      </c>
      <c r="W166" s="185"/>
      <c r="X166" s="38" t="str">
        <f>IF(L166="","",VLOOKUP($L166,classifications!$C:$J,6,FALSE))</f>
        <v>Urban with Significant Rural (rural including hub towns 26-49%)</v>
      </c>
      <c r="Y166" s="26" t="str">
        <f t="shared" si="55"/>
        <v/>
      </c>
      <c r="Z166" s="34" t="str">
        <f>IF(Y166="","",IF(I$8="A",(RANK(Y166,Y$11:Y$368,1)+COUNTIF(Y$11:Y166,Y166)-1),(RANK(Y166,Y$11:Y$368)+COUNTIF(Y$11:Y166,Y166)-1)))</f>
        <v/>
      </c>
      <c r="AA166" s="188" t="str">
        <f>IF(L166="","",VLOOKUP($L166,classifications!C:I,7,FALSE))</f>
        <v>Significant Rural</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Kent</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South East</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81.117393248129574</v>
      </c>
      <c r="AY166" s="103"/>
      <c r="AZ166" s="21"/>
    </row>
    <row r="167" spans="1:52">
      <c r="A167" s="56" t="str">
        <f>$D$1&amp;157</f>
        <v>SD157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80.638596603709118</v>
      </c>
      <c r="G167" s="71"/>
      <c r="H167" s="37">
        <f t="shared" si="51"/>
        <v>80.638596603709118</v>
      </c>
      <c r="I167" s="77">
        <f>IF(H167="","",IF($I$8="A",(RANK(H167,H$11:H$368,1)+COUNTIF(H$11:H167,H167)-1),(RANK(H167,H$11:H$368)+COUNTIF(H$11:H167,H167)-1)))</f>
        <v>132</v>
      </c>
      <c r="J167" s="35"/>
      <c r="K167" s="28">
        <f t="shared" si="59"/>
        <v>157</v>
      </c>
      <c r="L167" s="36" t="str">
        <f t="shared" si="52"/>
        <v>Staffordshire Moorlands</v>
      </c>
      <c r="M167" s="102">
        <f t="shared" si="60"/>
        <v>78.783205335978252</v>
      </c>
      <c r="N167" s="101">
        <f t="shared" si="61"/>
        <v>78.783205335978252</v>
      </c>
      <c r="O167" s="94" t="str">
        <f t="shared" si="53"/>
        <v/>
      </c>
      <c r="P167" s="94" t="str">
        <f t="shared" si="68"/>
        <v/>
      </c>
      <c r="Q167" s="94" t="str">
        <f t="shared" si="69"/>
        <v/>
      </c>
      <c r="R167" s="90">
        <f t="shared" si="70"/>
        <v>78.783205335978252</v>
      </c>
      <c r="S167" s="37" t="str">
        <f t="shared" si="62"/>
        <v/>
      </c>
      <c r="T167" s="176">
        <f>IF(L167="","",VLOOKUP(L167,classifications!C:K,9,FALSE))</f>
        <v>0</v>
      </c>
      <c r="U167" s="183" t="str">
        <f t="shared" si="54"/>
        <v/>
      </c>
      <c r="V167" s="184" t="str">
        <f>IF(U167="","",IF($I$8="A",(RANK(U167,U$11:U$368)+COUNTIF(U$11:U167,U167)-1),(RANK(U167,U$11:U$368,1)+COUNTIF(U$11:U167,U167)-1)))</f>
        <v/>
      </c>
      <c r="W167" s="185"/>
      <c r="X167" s="38" t="str">
        <f>IF(L167="","",VLOOKUP($L167,classifications!$C:$J,6,FALSE))</f>
        <v xml:space="preserve">Largely Rural (rural including hub towns 50-79%) </v>
      </c>
      <c r="Y167" s="26" t="str">
        <f t="shared" si="55"/>
        <v/>
      </c>
      <c r="Z167" s="34" t="str">
        <f>IF(Y167="","",IF(I$8="A",(RANK(Y167,Y$11:Y$368,1)+COUNTIF(Y$11:Y167,Y167)-1),(RANK(Y167,Y$11:Y$368)+COUNTIF(Y$11:Y167,Y167)-1)))</f>
        <v/>
      </c>
      <c r="AA167" s="188" t="str">
        <f>IF(L167="","",VLOOKUP($L167,classifications!C:I,7,FALSE))</f>
        <v>Predominantly Rural</v>
      </c>
      <c r="AB167" s="184">
        <f t="shared" si="63"/>
        <v>78.783205335978252</v>
      </c>
      <c r="AC167" s="184">
        <f>IF(AB167="","",IF($I$8="A",(RANK(AB167,AB$11:AB$368)+COUNTIF(AB$11:AB167,AB167)-1),(RANK(AB167,AB$11:AB$368,1)+COUNTIF(AB$11:AB167,AB167)-1)))</f>
        <v>9</v>
      </c>
      <c r="AD167" s="184"/>
      <c r="AE167" s="28" t="str">
        <f t="shared" si="72"/>
        <v/>
      </c>
      <c r="AG167" s="96"/>
      <c r="AH167" s="29"/>
      <c r="AI167" s="38" t="str">
        <f>IF(L167="","",VLOOKUP($L167,classifications!$C:$J,8,FALSE))</f>
        <v>Staffordshire</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West Midlands</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80.638596603709118</v>
      </c>
      <c r="AY167" s="103"/>
      <c r="AZ167" s="21"/>
    </row>
    <row r="168" spans="1:52">
      <c r="A168" s="56" t="str">
        <f>$D$1&amp;158</f>
        <v>SD158</v>
      </c>
      <c r="B168" s="57">
        <f>IF(ISERROR(VLOOKUP(A168,classifications!A:C,3,FALSE)),0,VLOOKUP(A168,classifications!A:C,3,FALSE))</f>
        <v>0</v>
      </c>
      <c r="C168" s="8" t="s">
        <v>817</v>
      </c>
      <c r="D168" s="26" t="str">
        <f>VLOOKUP($C168,classifications!$C:$J,4,FALSE)</f>
        <v>UA</v>
      </c>
      <c r="E168" s="26">
        <f>VLOOKUP(C168,classifications!C:K,9,FALSE)</f>
        <v>0</v>
      </c>
      <c r="F168" s="36">
        <f t="shared" si="50"/>
        <v>77.043167515294073</v>
      </c>
      <c r="G168" s="71"/>
      <c r="H168" s="37" t="str">
        <f t="shared" si="51"/>
        <v/>
      </c>
      <c r="I168" s="77" t="str">
        <f>IF(H168="","",IF($I$8="A",(RANK(H168,H$11:H$368,1)+COUNTIF(H$11:H168,H168)-1),(RANK(H168,H$11:H$368)+COUNTIF(H$11:H168,H168)-1)))</f>
        <v/>
      </c>
      <c r="J168" s="35"/>
      <c r="K168" s="28">
        <f t="shared" si="59"/>
        <v>158</v>
      </c>
      <c r="L168" s="36" t="str">
        <f t="shared" si="52"/>
        <v>Basildon</v>
      </c>
      <c r="M168" s="102">
        <f t="shared" si="60"/>
        <v>78.582258343408768</v>
      </c>
      <c r="N168" s="101">
        <f t="shared" si="61"/>
        <v>78.582258343408768</v>
      </c>
      <c r="O168" s="94" t="str">
        <f t="shared" si="53"/>
        <v/>
      </c>
      <c r="P168" s="94" t="str">
        <f t="shared" si="68"/>
        <v/>
      </c>
      <c r="Q168" s="94" t="str">
        <f t="shared" si="69"/>
        <v/>
      </c>
      <c r="R168" s="90">
        <f t="shared" si="70"/>
        <v>78.582258343408768</v>
      </c>
      <c r="S168" s="37" t="str">
        <f t="shared" si="62"/>
        <v/>
      </c>
      <c r="T168" s="176">
        <f>IF(L168="","",VLOOKUP(L168,classifications!C:K,9,FALSE))</f>
        <v>0</v>
      </c>
      <c r="U168" s="183" t="str">
        <f t="shared" si="54"/>
        <v/>
      </c>
      <c r="V168" s="184" t="str">
        <f>IF(U168="","",IF($I$8="A",(RANK(U168,U$11:U$368)+COUNTIF(U$11:U168,U168)-1),(RANK(U168,U$11:U$368,1)+COUNTIF(U$11:U168,U168)-1)))</f>
        <v/>
      </c>
      <c r="W168" s="185"/>
      <c r="X168" s="38" t="str">
        <f>IF(L168="","",VLOOKUP($L168,classifications!$C:$J,6,FALSE))</f>
        <v>Urban with City and Town</v>
      </c>
      <c r="Y168" s="26" t="str">
        <f t="shared" si="55"/>
        <v/>
      </c>
      <c r="Z168" s="34" t="str">
        <f>IF(Y168="","",IF(I$8="A",(RANK(Y168,Y$11:Y$368,1)+COUNTIF(Y$11:Y168,Y168)-1),(RANK(Y168,Y$11:Y$368)+COUNTIF(Y$11:Y168,Y168)-1)))</f>
        <v/>
      </c>
      <c r="AA168" s="188" t="str">
        <f>IF(L168="","",VLOOKUP($L168,classifications!C:I,7,FALSE))</f>
        <v>Predominantly Urban</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Essex</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East of England</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77.043167515294073</v>
      </c>
      <c r="AY168" s="103"/>
      <c r="AZ168" s="21"/>
    </row>
    <row r="169" spans="1:52">
      <c r="A169" s="56" t="str">
        <f>$D$1&amp;159</f>
        <v>SD159</v>
      </c>
      <c r="B169" s="57">
        <f>IF(ISERROR(VLOOKUP(A169,classifications!A:C,3,FALSE)),0,VLOOKUP(A169,classifications!A:C,3,FALSE))</f>
        <v>0</v>
      </c>
      <c r="C169" s="8" t="s">
        <v>392</v>
      </c>
      <c r="D169" s="26" t="str">
        <f>VLOOKUP($C169,classifications!$C:$J,4,FALSE)</f>
        <v>L</v>
      </c>
      <c r="E169" s="26">
        <f>VLOOKUP(C169,classifications!C:K,9,FALSE)</f>
        <v>0</v>
      </c>
      <c r="F169" s="36">
        <f t="shared" si="50"/>
        <v>87.731085674074009</v>
      </c>
      <c r="G169" s="71"/>
      <c r="H169" s="37" t="str">
        <f t="shared" si="51"/>
        <v/>
      </c>
      <c r="I169" s="77" t="str">
        <f>IF(H169="","",IF($I$8="A",(RANK(H169,H$11:H$368,1)+COUNTIF(H$11:H169,H169)-1),(RANK(H169,H$11:H$368)+COUNTIF(H$11:H169,H169)-1)))</f>
        <v/>
      </c>
      <c r="J169" s="35"/>
      <c r="K169" s="28">
        <f t="shared" si="59"/>
        <v>159</v>
      </c>
      <c r="L169" s="36" t="str">
        <f t="shared" si="52"/>
        <v>Breckland</v>
      </c>
      <c r="M169" s="102">
        <f t="shared" si="60"/>
        <v>78.495439019773201</v>
      </c>
      <c r="N169" s="101">
        <f t="shared" si="61"/>
        <v>78.495439019773201</v>
      </c>
      <c r="O169" s="94" t="str">
        <f t="shared" si="53"/>
        <v/>
      </c>
      <c r="P169" s="94" t="str">
        <f t="shared" si="68"/>
        <v/>
      </c>
      <c r="Q169" s="94" t="str">
        <f t="shared" si="69"/>
        <v/>
      </c>
      <c r="R169" s="90">
        <f t="shared" si="70"/>
        <v>78.495439019773201</v>
      </c>
      <c r="S169" s="37" t="str">
        <f t="shared" si="62"/>
        <v/>
      </c>
      <c r="T169" s="176" t="str">
        <f>IF(L169="","",VLOOKUP(L169,classifications!C:K,9,FALSE))</f>
        <v>Sparse</v>
      </c>
      <c r="U169" s="183">
        <f t="shared" si="54"/>
        <v>78.495439019773201</v>
      </c>
      <c r="V169" s="184">
        <f>IF(U169="","",IF($I$8="A",(RANK(U169,U$11:U$368)+COUNTIF(U$11:U169,U169)-1),(RANK(U169,U$11:U$368,1)+COUNTIF(U$11:U169,U169)-1)))</f>
        <v>9</v>
      </c>
      <c r="W169" s="185"/>
      <c r="X169" s="38" t="str">
        <f>IF(L169="","",VLOOKUP($L169,classifications!$C:$J,6,FALSE))</f>
        <v xml:space="preserve">Mainly Rural (rural including hub towns &gt;=80%) </v>
      </c>
      <c r="Y169" s="26">
        <f t="shared" si="55"/>
        <v>78.495439019773201</v>
      </c>
      <c r="Z169" s="34">
        <f>IF(Y169="","",IF(I$8="A",(RANK(Y169,Y$11:Y$368,1)+COUNTIF(Y$11:Y169,Y169)-1),(RANK(Y169,Y$11:Y$368)+COUNTIF(Y$11:Y169,Y169)-1)))</f>
        <v>38</v>
      </c>
      <c r="AA169" s="188" t="str">
        <f>IF(L169="","",VLOOKUP($L169,classifications!C:I,7,FALSE))</f>
        <v>Predominantly Rural</v>
      </c>
      <c r="AB169" s="184">
        <f t="shared" si="63"/>
        <v>78.495439019773201</v>
      </c>
      <c r="AC169" s="184">
        <f>IF(AB169="","",IF($I$8="A",(RANK(AB169,AB$11:AB$368)+COUNTIF(AB$11:AB169,AB169)-1),(RANK(AB169,AB$11:AB$368,1)+COUNTIF(AB$11:AB169,AB169)-1)))</f>
        <v>8</v>
      </c>
      <c r="AD169" s="184"/>
      <c r="AE169" s="28" t="str">
        <f t="shared" si="72"/>
        <v/>
      </c>
      <c r="AG169" s="96"/>
      <c r="AH169" s="29"/>
      <c r="AI169" s="38" t="str">
        <f>IF(L169="","",VLOOKUP($L169,classifications!$C:$J,8,FALSE))</f>
        <v>Norfolk</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East of England</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87.731085674074009</v>
      </c>
      <c r="AY169" s="103"/>
      <c r="AZ169" s="21"/>
    </row>
    <row r="170" spans="1:52">
      <c r="A170" s="56" t="str">
        <f>$D$1&amp;160</f>
        <v>SD160</v>
      </c>
      <c r="B170" s="57">
        <f>IF(ISERROR(VLOOKUP(A170,classifications!A:C,3,FALSE)),0,VLOOKUP(A170,classifications!A:C,3,FALSE))</f>
        <v>0</v>
      </c>
      <c r="C170" s="8" t="s">
        <v>232</v>
      </c>
      <c r="D170" s="26" t="str">
        <f>VLOOKUP($C170,classifications!$C:$J,4,FALSE)</f>
        <v>MD</v>
      </c>
      <c r="E170" s="26">
        <f>VLOOKUP(C170,classifications!C:K,9,FALSE)</f>
        <v>0</v>
      </c>
      <c r="F170" s="36">
        <f t="shared" si="50"/>
        <v>75.564248442620439</v>
      </c>
      <c r="G170" s="71"/>
      <c r="H170" s="37" t="str">
        <f t="shared" si="51"/>
        <v/>
      </c>
      <c r="I170" s="77" t="str">
        <f>IF(H170="","",IF($I$8="A",(RANK(H170,H$11:H$368,1)+COUNTIF(H$11:H170,H170)-1),(RANK(H170,H$11:H$368)+COUNTIF(H$11:H170,H170)-1)))</f>
        <v/>
      </c>
      <c r="J170" s="35"/>
      <c r="K170" s="28">
        <f t="shared" si="59"/>
        <v>160</v>
      </c>
      <c r="L170" s="36" t="str">
        <f t="shared" si="52"/>
        <v>Erewash</v>
      </c>
      <c r="M170" s="102">
        <f t="shared" si="60"/>
        <v>78.473297784856797</v>
      </c>
      <c r="N170" s="101">
        <f t="shared" si="61"/>
        <v>78.473297784856797</v>
      </c>
      <c r="O170" s="94" t="str">
        <f t="shared" si="53"/>
        <v/>
      </c>
      <c r="P170" s="94" t="str">
        <f t="shared" si="68"/>
        <v/>
      </c>
      <c r="Q170" s="94" t="str">
        <f t="shared" si="69"/>
        <v/>
      </c>
      <c r="R170" s="90">
        <f t="shared" si="70"/>
        <v>78.473297784856797</v>
      </c>
      <c r="S170" s="37" t="str">
        <f t="shared" si="62"/>
        <v/>
      </c>
      <c r="T170" s="176">
        <f>IF(L170="","",VLOOKUP(L170,classifications!C:K,9,FALSE))</f>
        <v>0</v>
      </c>
      <c r="U170" s="183" t="str">
        <f t="shared" si="54"/>
        <v/>
      </c>
      <c r="V170" s="184" t="str">
        <f>IF(U170="","",IF($I$8="A",(RANK(U170,U$11:U$368)+COUNTIF(U$11:U170,U170)-1),(RANK(U170,U$11:U$368,1)+COUNTIF(U$11:U170,U170)-1)))</f>
        <v/>
      </c>
      <c r="W170" s="185"/>
      <c r="X170" s="38" t="str">
        <f>IF(L170="","",VLOOKUP($L170,classifications!$C:$J,6,FALSE))</f>
        <v>Urban with Minor Conurbation</v>
      </c>
      <c r="Y170" s="26" t="str">
        <f t="shared" si="55"/>
        <v/>
      </c>
      <c r="Z170" s="34" t="str">
        <f>IF(Y170="","",IF(I$8="A",(RANK(Y170,Y$11:Y$368,1)+COUNTIF(Y$11:Y170,Y170)-1),(RANK(Y170,Y$11:Y$368)+COUNTIF(Y$11:Y170,Y170)-1)))</f>
        <v/>
      </c>
      <c r="AA170" s="188" t="str">
        <f>IF(L170="","",VLOOKUP($L170,classifications!C:I,7,FALSE))</f>
        <v>Predominantly Urban</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Derbyshire</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East Midlands</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75.564248442620439</v>
      </c>
      <c r="AY170" s="103"/>
      <c r="AZ170" s="21"/>
    </row>
    <row r="171" spans="1:52">
      <c r="A171" s="56" t="str">
        <f>$D$1&amp;161</f>
        <v>SD161</v>
      </c>
      <c r="B171" s="57">
        <f>IF(ISERROR(VLOOKUP(A171,classifications!A:C,3,FALSE)),0,VLOOKUP(A171,classifications!A:C,3,FALSE))</f>
        <v>0</v>
      </c>
      <c r="C171" s="8" t="s">
        <v>233</v>
      </c>
      <c r="D171" s="26" t="str">
        <f>VLOOKUP($C171,classifications!$C:$J,4,FALSE)</f>
        <v>MD</v>
      </c>
      <c r="E171" s="26">
        <f>VLOOKUP(C171,classifications!C:K,9,FALSE)</f>
        <v>0</v>
      </c>
      <c r="F171" s="36">
        <f t="shared" si="50"/>
        <v>75.725846653917898</v>
      </c>
      <c r="G171" s="71"/>
      <c r="H171" s="37" t="str">
        <f t="shared" si="51"/>
        <v/>
      </c>
      <c r="I171" s="77" t="str">
        <f>IF(H171="","",IF($I$8="A",(RANK(H171,H$11:H$368,1)+COUNTIF(H$11:H171,H171)-1),(RANK(H171,H$11:H$368)+COUNTIF(H$11:H171,H171)-1)))</f>
        <v/>
      </c>
      <c r="J171" s="35"/>
      <c r="K171" s="28">
        <f t="shared" si="59"/>
        <v>161</v>
      </c>
      <c r="L171" s="36" t="str">
        <f t="shared" si="52"/>
        <v>Forest of Dean</v>
      </c>
      <c r="M171" s="102">
        <f t="shared" si="60"/>
        <v>78.360742506828757</v>
      </c>
      <c r="N171" s="101">
        <f t="shared" si="61"/>
        <v>78.360742506828757</v>
      </c>
      <c r="O171" s="94" t="str">
        <f t="shared" si="53"/>
        <v/>
      </c>
      <c r="P171" s="94" t="str">
        <f t="shared" si="68"/>
        <v/>
      </c>
      <c r="Q171" s="94" t="str">
        <f t="shared" si="69"/>
        <v/>
      </c>
      <c r="R171" s="90">
        <f t="shared" si="70"/>
        <v>78.360742506828757</v>
      </c>
      <c r="S171" s="37" t="str">
        <f t="shared" si="62"/>
        <v/>
      </c>
      <c r="T171" s="176" t="str">
        <f>IF(L171="","",VLOOKUP(L171,classifications!C:K,9,FALSE))</f>
        <v>Sparse</v>
      </c>
      <c r="U171" s="183">
        <f t="shared" si="54"/>
        <v>78.360742506828757</v>
      </c>
      <c r="V171" s="184">
        <f>IF(U171="","",IF($I$8="A",(RANK(U171,U$11:U$368)+COUNTIF(U$11:U171,U171)-1),(RANK(U171,U$11:U$368,1)+COUNTIF(U$11:U171,U171)-1)))</f>
        <v>8</v>
      </c>
      <c r="W171" s="185"/>
      <c r="X171" s="38" t="str">
        <f>IF(L171="","",VLOOKUP($L171,classifications!$C:$J,6,FALSE))</f>
        <v xml:space="preserve">Mainly Rural (rural including hub towns &gt;=80%) </v>
      </c>
      <c r="Y171" s="26">
        <f t="shared" si="55"/>
        <v>78.360742506828757</v>
      </c>
      <c r="Z171" s="34">
        <f>IF(Y171="","",IF(I$8="A",(RANK(Y171,Y$11:Y$368,1)+COUNTIF(Y$11:Y171,Y171)-1),(RANK(Y171,Y$11:Y$368)+COUNTIF(Y$11:Y171,Y171)-1)))</f>
        <v>39</v>
      </c>
      <c r="AA171" s="188" t="str">
        <f>IF(L171="","",VLOOKUP($L171,classifications!C:I,7,FALSE))</f>
        <v>Predominantly Rural</v>
      </c>
      <c r="AB171" s="184">
        <f t="shared" si="63"/>
        <v>78.360742506828757</v>
      </c>
      <c r="AC171" s="184">
        <f>IF(AB171="","",IF($I$8="A",(RANK(AB171,AB$11:AB$368)+COUNTIF(AB$11:AB171,AB171)-1),(RANK(AB171,AB$11:AB$368,1)+COUNTIF(AB$11:AB171,AB171)-1)))</f>
        <v>7</v>
      </c>
      <c r="AD171" s="184"/>
      <c r="AE171" s="28" t="str">
        <f t="shared" si="72"/>
        <v/>
      </c>
      <c r="AG171" s="96"/>
      <c r="AH171" s="29"/>
      <c r="AI171" s="38" t="str">
        <f>IF(L171="","",VLOOKUP($L171,classifications!$C:$J,8,FALSE))</f>
        <v>Gloucestershire</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South West</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75.725846653917898</v>
      </c>
      <c r="AY171" s="103"/>
      <c r="AZ171" s="21"/>
    </row>
    <row r="172" spans="1:52">
      <c r="A172" s="56" t="str">
        <f>$D$1&amp;162</f>
        <v>SD162</v>
      </c>
      <c r="B172" s="57">
        <f>IF(ISERROR(VLOOKUP(A172,classifications!A:C,3,FALSE)),0,VLOOKUP(A172,classifications!A:C,3,FALSE))</f>
        <v>0</v>
      </c>
      <c r="C172" s="8" t="s">
        <v>212</v>
      </c>
      <c r="D172" s="26" t="str">
        <f>VLOOKUP($C172,classifications!$C:$J,4,FALSE)</f>
        <v>L</v>
      </c>
      <c r="E172" s="26">
        <f>VLOOKUP(C172,classifications!C:K,9,FALSE)</f>
        <v>0</v>
      </c>
      <c r="F172" s="36">
        <f t="shared" si="50"/>
        <v>86.413932687990538</v>
      </c>
      <c r="G172" s="71"/>
      <c r="H172" s="37" t="str">
        <f t="shared" si="51"/>
        <v/>
      </c>
      <c r="I172" s="77" t="str">
        <f>IF(H172="","",IF($I$8="A",(RANK(H172,H$11:H$368,1)+COUNTIF(H$11:H172,H172)-1),(RANK(H172,H$11:H$368)+COUNTIF(H$11:H172,H172)-1)))</f>
        <v/>
      </c>
      <c r="J172" s="35"/>
      <c r="K172" s="28">
        <f t="shared" si="59"/>
        <v>162</v>
      </c>
      <c r="L172" s="36" t="str">
        <f t="shared" si="52"/>
        <v>Rushmoor</v>
      </c>
      <c r="M172" s="102">
        <f t="shared" si="60"/>
        <v>78.312667209779903</v>
      </c>
      <c r="N172" s="101">
        <f t="shared" si="61"/>
        <v>78.312667209779903</v>
      </c>
      <c r="O172" s="94" t="str">
        <f t="shared" si="53"/>
        <v/>
      </c>
      <c r="P172" s="94" t="str">
        <f t="shared" si="68"/>
        <v/>
      </c>
      <c r="Q172" s="94" t="str">
        <f t="shared" si="69"/>
        <v/>
      </c>
      <c r="R172" s="90">
        <f t="shared" si="70"/>
        <v>78.312667209779903</v>
      </c>
      <c r="S172" s="37" t="str">
        <f t="shared" si="62"/>
        <v/>
      </c>
      <c r="T172" s="176">
        <f>IF(L172="","",VLOOKUP(L172,classifications!C:K,9,FALSE))</f>
        <v>0</v>
      </c>
      <c r="U172" s="183" t="str">
        <f t="shared" si="54"/>
        <v/>
      </c>
      <c r="V172" s="184" t="str">
        <f>IF(U172="","",IF($I$8="A",(RANK(U172,U$11:U$368)+COUNTIF(U$11:U172,U172)-1),(RANK(U172,U$11:U$368,1)+COUNTIF(U$11:U172,U172)-1)))</f>
        <v/>
      </c>
      <c r="W172" s="185"/>
      <c r="X172" s="38" t="str">
        <f>IF(L172="","",VLOOKUP($L172,classifications!$C:$J,6,FALSE))</f>
        <v>Urban with City and Town</v>
      </c>
      <c r="Y172" s="26" t="str">
        <f t="shared" si="55"/>
        <v/>
      </c>
      <c r="Z172" s="34" t="str">
        <f>IF(Y172="","",IF(I$8="A",(RANK(Y172,Y$11:Y$368,1)+COUNTIF(Y$11:Y172,Y172)-1),(RANK(Y172,Y$11:Y$368)+COUNTIF(Y$11:Y172,Y172)-1)))</f>
        <v/>
      </c>
      <c r="AA172" s="188" t="str">
        <f>IF(L172="","",VLOOKUP($L172,classifications!C:I,7,FALSE))</f>
        <v>Predominantly Urban</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Hampshire</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South East</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86.413932687990538</v>
      </c>
      <c r="AY172" s="103"/>
      <c r="AZ172" s="21"/>
    </row>
    <row r="173" spans="1:52">
      <c r="A173" s="56" t="str">
        <f>$D$1&amp;163</f>
        <v>SD163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80.040045724221116</v>
      </c>
      <c r="G173" s="71"/>
      <c r="H173" s="37" t="str">
        <f t="shared" si="51"/>
        <v/>
      </c>
      <c r="I173" s="77" t="str">
        <f>IF(H173="","",IF($I$8="A",(RANK(H173,H$11:H$368,1)+COUNTIF(H$11:H173,H173)-1),(RANK(H173,H$11:H$368)+COUNTIF(H$11:H173,H173)-1)))</f>
        <v/>
      </c>
      <c r="J173" s="35"/>
      <c r="K173" s="28">
        <f t="shared" si="59"/>
        <v>163</v>
      </c>
      <c r="L173" s="36" t="str">
        <f t="shared" si="52"/>
        <v>Great Yarmouth</v>
      </c>
      <c r="M173" s="102">
        <f t="shared" si="60"/>
        <v>78.006482947598514</v>
      </c>
      <c r="N173" s="101">
        <f t="shared" si="61"/>
        <v>78.006482947598514</v>
      </c>
      <c r="O173" s="94" t="str">
        <f t="shared" si="53"/>
        <v/>
      </c>
      <c r="P173" s="94" t="str">
        <f t="shared" si="68"/>
        <v/>
      </c>
      <c r="Q173" s="94" t="str">
        <f t="shared" si="69"/>
        <v/>
      </c>
      <c r="R173" s="90">
        <f t="shared" si="70"/>
        <v>78.006482947598514</v>
      </c>
      <c r="S173" s="37" t="str">
        <f t="shared" si="62"/>
        <v/>
      </c>
      <c r="T173" s="176">
        <f>IF(L173="","",VLOOKUP(L173,classifications!C:K,9,FALSE))</f>
        <v>0</v>
      </c>
      <c r="U173" s="183" t="str">
        <f t="shared" si="54"/>
        <v/>
      </c>
      <c r="V173" s="184" t="str">
        <f>IF(U173="","",IF($I$8="A",(RANK(U173,U$11:U$368)+COUNTIF(U$11:U173,U173)-1),(RANK(U173,U$11:U$368,1)+COUNTIF(U$11:U173,U173)-1)))</f>
        <v/>
      </c>
      <c r="W173" s="185"/>
      <c r="X173" s="38" t="str">
        <f>IF(L173="","",VLOOKUP($L173,classifications!$C:$J,6,FALSE))</f>
        <v>Urban with Significant Rural (rural including hub towns 26-49%)</v>
      </c>
      <c r="Y173" s="26" t="str">
        <f t="shared" si="55"/>
        <v/>
      </c>
      <c r="Z173" s="34" t="str">
        <f>IF(Y173="","",IF(I$8="A",(RANK(Y173,Y$11:Y$368,1)+COUNTIF(Y$11:Y173,Y173)-1),(RANK(Y173,Y$11:Y$368)+COUNTIF(Y$11:Y173,Y173)-1)))</f>
        <v/>
      </c>
      <c r="AA173" s="188" t="str">
        <f>IF(L173="","",VLOOKUP($L173,classifications!C:I,7,FALSE))</f>
        <v>Significant Rural</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Norfolk</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East of England</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80.040045724221116</v>
      </c>
      <c r="AY173" s="103"/>
      <c r="AZ173" s="21"/>
    </row>
    <row r="174" spans="1:52">
      <c r="A174" s="56" t="str">
        <f>$D$1&amp;164</f>
        <v>SD164</v>
      </c>
      <c r="B174" s="57">
        <f>IF(ISERROR(VLOOKUP(A174,classifications!A:C,3,FALSE)),0,VLOOKUP(A174,classifications!A:C,3,FALSE))</f>
        <v>0</v>
      </c>
      <c r="C174" s="8" t="s">
        <v>92</v>
      </c>
      <c r="D174" s="26" t="str">
        <f>VLOOKUP($C174,classifications!$C:$J,4,FALSE)</f>
        <v>SD</v>
      </c>
      <c r="E174" s="26">
        <f>VLOOKUP(C174,classifications!C:K,9,FALSE)</f>
        <v>0</v>
      </c>
      <c r="F174" s="36">
        <f t="shared" si="50"/>
        <v>86.124289461765642</v>
      </c>
      <c r="G174" s="71"/>
      <c r="H174" s="37">
        <f t="shared" si="51"/>
        <v>86.124289461765642</v>
      </c>
      <c r="I174" s="77">
        <f>IF(H174="","",IF($I$8="A",(RANK(H174,H$11:H$368,1)+COUNTIF(H$11:H174,H174)-1),(RANK(H174,H$11:H$368)+COUNTIF(H$11:H174,H174)-1)))</f>
        <v>36</v>
      </c>
      <c r="J174" s="35"/>
      <c r="K174" s="28">
        <f t="shared" si="59"/>
        <v>164</v>
      </c>
      <c r="L174" s="36" t="str">
        <f t="shared" si="52"/>
        <v>Newcastle-under-Lyme</v>
      </c>
      <c r="M174" s="102">
        <f t="shared" si="60"/>
        <v>77.970266597016874</v>
      </c>
      <c r="N174" s="101">
        <f t="shared" si="61"/>
        <v>77.970266597016874</v>
      </c>
      <c r="O174" s="94" t="str">
        <f t="shared" si="53"/>
        <v/>
      </c>
      <c r="P174" s="94" t="str">
        <f t="shared" si="68"/>
        <v/>
      </c>
      <c r="Q174" s="94" t="str">
        <f t="shared" si="69"/>
        <v/>
      </c>
      <c r="R174" s="90">
        <f t="shared" si="70"/>
        <v>77.970266597016874</v>
      </c>
      <c r="S174" s="37" t="str">
        <f t="shared" si="62"/>
        <v/>
      </c>
      <c r="T174" s="176">
        <f>IF(L174="","",VLOOKUP(L174,classifications!C:K,9,FALSE))</f>
        <v>0</v>
      </c>
      <c r="U174" s="183" t="str">
        <f t="shared" si="54"/>
        <v/>
      </c>
      <c r="V174" s="184" t="str">
        <f>IF(U174="","",IF($I$8="A",(RANK(U174,U$11:U$368)+COUNTIF(U$11:U174,U174)-1),(RANK(U174,U$11:U$368,1)+COUNTIF(U$11:U174,U174)-1)))</f>
        <v/>
      </c>
      <c r="W174" s="185"/>
      <c r="X174" s="38" t="str">
        <f>IF(L174="","",VLOOKUP($L174,classifications!$C:$J,6,FALSE))</f>
        <v>Urban with City and Town</v>
      </c>
      <c r="Y174" s="26" t="str">
        <f t="shared" si="55"/>
        <v/>
      </c>
      <c r="Z174" s="34" t="str">
        <f>IF(Y174="","",IF(I$8="A",(RANK(Y174,Y$11:Y$368,1)+COUNTIF(Y$11:Y174,Y174)-1),(RANK(Y174,Y$11:Y$368)+COUNTIF(Y$11:Y174,Y174)-1)))</f>
        <v/>
      </c>
      <c r="AA174" s="188" t="str">
        <f>IF(L174="","",VLOOKUP($L174,classifications!C:I,7,FALSE))</f>
        <v>Predominantly Urban</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Staffordshire</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West Midlands</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86.124289461765642</v>
      </c>
      <c r="AY174" s="103"/>
      <c r="AZ174" s="21"/>
    </row>
    <row r="175" spans="1:52">
      <c r="A175" s="56" t="str">
        <f>$D$1&amp;165</f>
        <v>SD165</v>
      </c>
      <c r="B175" s="57">
        <f>IF(ISERROR(VLOOKUP(A175,classifications!A:C,3,FALSE)),0,VLOOKUP(A175,classifications!A:C,3,FALSE))</f>
        <v>0</v>
      </c>
      <c r="C175" s="8" t="s">
        <v>234</v>
      </c>
      <c r="D175" s="26" t="str">
        <f>VLOOKUP($C175,classifications!$C:$J,4,FALSE)</f>
        <v>MD</v>
      </c>
      <c r="E175" s="26">
        <f>VLOOKUP(C175,classifications!C:K,9,FALSE)</f>
        <v>0</v>
      </c>
      <c r="F175" s="36">
        <f t="shared" si="50"/>
        <v>82.980296031033774</v>
      </c>
      <c r="G175" s="71"/>
      <c r="H175" s="37" t="str">
        <f t="shared" si="51"/>
        <v/>
      </c>
      <c r="I175" s="77" t="str">
        <f>IF(H175="","",IF($I$8="A",(RANK(H175,H$11:H$368,1)+COUNTIF(H$11:H175,H175)-1),(RANK(H175,H$11:H$368)+COUNTIF(H$11:H175,H175)-1)))</f>
        <v/>
      </c>
      <c r="J175" s="35"/>
      <c r="K175" s="28">
        <f t="shared" si="59"/>
        <v>165</v>
      </c>
      <c r="L175" s="36" t="str">
        <f t="shared" si="52"/>
        <v>Swale</v>
      </c>
      <c r="M175" s="102">
        <f t="shared" si="60"/>
        <v>77.923250980222676</v>
      </c>
      <c r="N175" s="101">
        <f t="shared" si="61"/>
        <v>77.923250980222676</v>
      </c>
      <c r="O175" s="94" t="str">
        <f t="shared" si="53"/>
        <v/>
      </c>
      <c r="P175" s="94" t="str">
        <f t="shared" si="68"/>
        <v/>
      </c>
      <c r="Q175" s="94" t="str">
        <f t="shared" si="69"/>
        <v/>
      </c>
      <c r="R175" s="90">
        <f t="shared" si="70"/>
        <v>77.923250980222676</v>
      </c>
      <c r="S175" s="37" t="str">
        <f t="shared" si="62"/>
        <v/>
      </c>
      <c r="T175" s="176">
        <f>IF(L175="","",VLOOKUP(L175,classifications!C:K,9,FALSE))</f>
        <v>0</v>
      </c>
      <c r="U175" s="183" t="str">
        <f t="shared" si="54"/>
        <v/>
      </c>
      <c r="V175" s="184" t="str">
        <f>IF(U175="","",IF($I$8="A",(RANK(U175,U$11:U$368)+COUNTIF(U$11:U175,U175)-1),(RANK(U175,U$11:U$368,1)+COUNTIF(U$11:U175,U175)-1)))</f>
        <v/>
      </c>
      <c r="W175" s="185"/>
      <c r="X175" s="38" t="str">
        <f>IF(L175="","",VLOOKUP($L175,classifications!$C:$J,6,FALSE))</f>
        <v xml:space="preserve">Largely Rural (rural including hub towns 50-79%) </v>
      </c>
      <c r="Y175" s="26" t="str">
        <f t="shared" si="55"/>
        <v/>
      </c>
      <c r="Z175" s="34" t="str">
        <f>IF(Y175="","",IF(I$8="A",(RANK(Y175,Y$11:Y$368,1)+COUNTIF(Y$11:Y175,Y175)-1),(RANK(Y175,Y$11:Y$368)+COUNTIF(Y$11:Y175,Y175)-1)))</f>
        <v/>
      </c>
      <c r="AA175" s="188" t="str">
        <f>IF(L175="","",VLOOKUP($L175,classifications!C:I,7,FALSE))</f>
        <v>Predominantly Rural</v>
      </c>
      <c r="AB175" s="184">
        <f t="shared" si="63"/>
        <v>77.923250980222676</v>
      </c>
      <c r="AC175" s="184">
        <f>IF(AB175="","",IF($I$8="A",(RANK(AB175,AB$11:AB$368)+COUNTIF(AB$11:AB175,AB175)-1),(RANK(AB175,AB$11:AB$368,1)+COUNTIF(AB$11:AB175,AB175)-1)))</f>
        <v>6</v>
      </c>
      <c r="AD175" s="184"/>
      <c r="AE175" s="28" t="str">
        <f t="shared" si="72"/>
        <v/>
      </c>
      <c r="AG175" s="96"/>
      <c r="AH175" s="29"/>
      <c r="AI175" s="38" t="str">
        <f>IF(L175="","",VLOOKUP($L175,classifications!$C:$J,8,FALSE))</f>
        <v>Kent</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South East</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82.980296031033774</v>
      </c>
      <c r="AY175" s="103"/>
      <c r="AZ175" s="21"/>
    </row>
    <row r="176" spans="1:52">
      <c r="A176" s="56" t="str">
        <f>$D$1&amp;166</f>
        <v>SD166</v>
      </c>
      <c r="B176" s="57">
        <f>IF(ISERROR(VLOOKUP(A176,classifications!A:C,3,FALSE)),0,VLOOKUP(A176,classifications!A:C,3,FALSE))</f>
        <v>0</v>
      </c>
      <c r="C176" s="8" t="s">
        <v>271</v>
      </c>
      <c r="D176" s="26" t="str">
        <f>VLOOKUP($C176,classifications!$C:$J,4,FALSE)</f>
        <v>UA</v>
      </c>
      <c r="E176" s="26">
        <f>VLOOKUP(C176,classifications!C:K,9,FALSE)</f>
        <v>0</v>
      </c>
      <c r="F176" s="36">
        <f t="shared" si="50"/>
        <v>75.723490305633817</v>
      </c>
      <c r="G176" s="71"/>
      <c r="H176" s="37" t="str">
        <f t="shared" si="51"/>
        <v/>
      </c>
      <c r="I176" s="77" t="str">
        <f>IF(H176="","",IF($I$8="A",(RANK(H176,H$11:H$368,1)+COUNTIF(H$11:H176,H176)-1),(RANK(H176,H$11:H$368)+COUNTIF(H$11:H176,H176)-1)))</f>
        <v/>
      </c>
      <c r="J176" s="35"/>
      <c r="K176" s="28">
        <f t="shared" si="59"/>
        <v>166</v>
      </c>
      <c r="L176" s="36" t="str">
        <f t="shared" si="52"/>
        <v>Chesterfield</v>
      </c>
      <c r="M176" s="102">
        <f t="shared" si="60"/>
        <v>77.893606900581304</v>
      </c>
      <c r="N176" s="101">
        <f t="shared" si="61"/>
        <v>77.893606900581304</v>
      </c>
      <c r="O176" s="94" t="str">
        <f t="shared" si="53"/>
        <v/>
      </c>
      <c r="P176" s="94" t="str">
        <f t="shared" si="68"/>
        <v/>
      </c>
      <c r="Q176" s="94" t="str">
        <f t="shared" si="69"/>
        <v/>
      </c>
      <c r="R176" s="90">
        <f t="shared" si="70"/>
        <v>77.893606900581304</v>
      </c>
      <c r="S176" s="37" t="str">
        <f t="shared" si="62"/>
        <v/>
      </c>
      <c r="T176" s="176">
        <f>IF(L176="","",VLOOKUP(L176,classifications!C:K,9,FALSE))</f>
        <v>0</v>
      </c>
      <c r="U176" s="183" t="str">
        <f t="shared" si="54"/>
        <v/>
      </c>
      <c r="V176" s="184" t="str">
        <f>IF(U176="","",IF($I$8="A",(RANK(U176,U$11:U$368)+COUNTIF(U$11:U176,U176)-1),(RANK(U176,U$11:U$368,1)+COUNTIF(U$11:U176,U176)-1)))</f>
        <v/>
      </c>
      <c r="W176" s="185"/>
      <c r="X176" s="38" t="str">
        <f>IF(L176="","",VLOOKUP($L176,classifications!$C:$J,6,FALSE))</f>
        <v>Urban with City and Town</v>
      </c>
      <c r="Y176" s="26" t="str">
        <f t="shared" si="55"/>
        <v/>
      </c>
      <c r="Z176" s="34" t="str">
        <f>IF(Y176="","",IF(I$8="A",(RANK(Y176,Y$11:Y$368,1)+COUNTIF(Y$11:Y176,Y176)-1),(RANK(Y176,Y$11:Y$368)+COUNTIF(Y$11:Y176,Y176)-1)))</f>
        <v/>
      </c>
      <c r="AA176" s="188" t="str">
        <f>IF(L176="","",VLOOKUP($L176,classifications!C:I,7,FALSE))</f>
        <v>Predominantly Urban</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Derbyshire</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East Midlands</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75.723490305633817</v>
      </c>
      <c r="AY176" s="103"/>
      <c r="AZ176" s="21"/>
    </row>
    <row r="177" spans="1:52">
      <c r="A177" s="56" t="str">
        <f>$D$1&amp;167</f>
        <v>SD167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82.463591325799086</v>
      </c>
      <c r="G177" s="71"/>
      <c r="H177" s="37" t="str">
        <f t="shared" si="51"/>
        <v/>
      </c>
      <c r="I177" s="77" t="str">
        <f>IF(H177="","",IF($I$8="A",(RANK(H177,H$11:H$368,1)+COUNTIF(H$11:H177,H177)-1),(RANK(H177,H$11:H$368)+COUNTIF(H$11:H177,H177)-1)))</f>
        <v/>
      </c>
      <c r="J177" s="35"/>
      <c r="K177" s="28">
        <f t="shared" si="59"/>
        <v>167</v>
      </c>
      <c r="L177" s="36" t="str">
        <f t="shared" si="52"/>
        <v>South Staffordshire</v>
      </c>
      <c r="M177" s="102">
        <f t="shared" si="60"/>
        <v>77.878464707712496</v>
      </c>
      <c r="N177" s="101">
        <f t="shared" si="61"/>
        <v>77.878464707712496</v>
      </c>
      <c r="O177" s="94" t="str">
        <f t="shared" si="53"/>
        <v/>
      </c>
      <c r="P177" s="94" t="str">
        <f t="shared" si="68"/>
        <v/>
      </c>
      <c r="Q177" s="94" t="str">
        <f t="shared" si="69"/>
        <v/>
      </c>
      <c r="R177" s="90">
        <f t="shared" si="70"/>
        <v>77.878464707712496</v>
      </c>
      <c r="S177" s="37" t="str">
        <f t="shared" si="62"/>
        <v/>
      </c>
      <c r="T177" s="176" t="str">
        <f>IF(L177="","",VLOOKUP(L177,classifications!C:K,9,FALSE))</f>
        <v>Sparse</v>
      </c>
      <c r="U177" s="183">
        <f t="shared" si="54"/>
        <v>77.878464707712496</v>
      </c>
      <c r="V177" s="184">
        <f>IF(U177="","",IF($I$8="A",(RANK(U177,U$11:U$368)+COUNTIF(U$11:U177,U177)-1),(RANK(U177,U$11:U$368,1)+COUNTIF(U$11:U177,U177)-1)))</f>
        <v>7</v>
      </c>
      <c r="W177" s="185"/>
      <c r="X177" s="38" t="str">
        <f>IF(L177="","",VLOOKUP($L177,classifications!$C:$J,6,FALSE))</f>
        <v>Urban with Significant Rural (rural including hub towns 26-49%)</v>
      </c>
      <c r="Y177" s="26" t="str">
        <f t="shared" si="55"/>
        <v/>
      </c>
      <c r="Z177" s="34" t="str">
        <f>IF(Y177="","",IF(I$8="A",(RANK(Y177,Y$11:Y$368,1)+COUNTIF(Y$11:Y177,Y177)-1),(RANK(Y177,Y$11:Y$368)+COUNTIF(Y$11:Y177,Y177)-1)))</f>
        <v/>
      </c>
      <c r="AA177" s="188" t="str">
        <f>IF(L177="","",VLOOKUP($L177,classifications!C:I,7,FALSE))</f>
        <v>Significant Rural</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Staffordshire</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West Midlands</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82.463591325799086</v>
      </c>
      <c r="AY177" s="103"/>
      <c r="AZ177" s="21"/>
    </row>
    <row r="178" spans="1:52">
      <c r="A178" s="56" t="str">
        <f>$D$1&amp;168</f>
        <v>SD168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85.054382684796764</v>
      </c>
      <c r="G178" s="71"/>
      <c r="H178" s="37">
        <f t="shared" si="51"/>
        <v>85.054382684796764</v>
      </c>
      <c r="I178" s="77">
        <f>IF(H178="","",IF($I$8="A",(RANK(H178,H$11:H$368,1)+COUNTIF(H$11:H178,H178)-1),(RANK(H178,H$11:H$368)+COUNTIF(H$11:H178,H178)-1)))</f>
        <v>48</v>
      </c>
      <c r="J178" s="35"/>
      <c r="K178" s="28">
        <f t="shared" si="59"/>
        <v>168</v>
      </c>
      <c r="L178" s="36" t="str">
        <f t="shared" si="52"/>
        <v>Ashfield</v>
      </c>
      <c r="M178" s="102">
        <f t="shared" si="60"/>
        <v>77.737873022638354</v>
      </c>
      <c r="N178" s="101">
        <f t="shared" si="61"/>
        <v>77.737873022638354</v>
      </c>
      <c r="O178" s="94" t="str">
        <f t="shared" si="53"/>
        <v/>
      </c>
      <c r="P178" s="94" t="str">
        <f t="shared" si="68"/>
        <v/>
      </c>
      <c r="Q178" s="94" t="str">
        <f t="shared" si="69"/>
        <v/>
      </c>
      <c r="R178" s="90">
        <f t="shared" si="70"/>
        <v>77.737873022638354</v>
      </c>
      <c r="S178" s="37" t="str">
        <f t="shared" si="62"/>
        <v/>
      </c>
      <c r="T178" s="176">
        <f>IF(L178="","",VLOOKUP(L178,classifications!C:K,9,FALSE))</f>
        <v>0</v>
      </c>
      <c r="U178" s="183" t="str">
        <f t="shared" si="54"/>
        <v/>
      </c>
      <c r="V178" s="184" t="str">
        <f>IF(U178="","",IF($I$8="A",(RANK(U178,U$11:U$368)+COUNTIF(U$11:U178,U178)-1),(RANK(U178,U$11:U$368,1)+COUNTIF(U$11:U178,U178)-1)))</f>
        <v/>
      </c>
      <c r="W178" s="185"/>
      <c r="X178" s="38" t="str">
        <f>IF(L178="","",VLOOKUP($L178,classifications!$C:$J,6,FALSE))</f>
        <v>Urban with City and Town</v>
      </c>
      <c r="Y178" s="26" t="str">
        <f t="shared" si="55"/>
        <v/>
      </c>
      <c r="Z178" s="34" t="str">
        <f>IF(Y178="","",IF(I$8="A",(RANK(Y178,Y$11:Y$368,1)+COUNTIF(Y$11:Y178,Y178)-1),(RANK(Y178,Y$11:Y$368)+COUNTIF(Y$11:Y178,Y178)-1)))</f>
        <v/>
      </c>
      <c r="AA178" s="188" t="str">
        <f>IF(L178="","",VLOOKUP($L178,classifications!C:I,7,FALSE))</f>
        <v>Predominantly Urban</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Nottinghamshire</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East Midlands</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85.054382684796764</v>
      </c>
      <c r="AY178" s="103"/>
      <c r="AZ178" s="21"/>
    </row>
    <row r="179" spans="1:52">
      <c r="A179" s="56" t="str">
        <f>$D$1&amp;169</f>
        <v>SD169</v>
      </c>
      <c r="B179" s="57">
        <f>IF(ISERROR(VLOOKUP(A179,classifications!A:C,3,FALSE)),0,VLOOKUP(A179,classifications!A:C,3,FALSE))</f>
        <v>0</v>
      </c>
      <c r="C179" s="8" t="s">
        <v>213</v>
      </c>
      <c r="D179" s="26" t="str">
        <f>VLOOKUP($C179,classifications!$C:$J,4,FALSE)</f>
        <v>L</v>
      </c>
      <c r="E179" s="26">
        <f>VLOOKUP(C179,classifications!C:K,9,FALSE)</f>
        <v>0</v>
      </c>
      <c r="F179" s="36">
        <f t="shared" si="50"/>
        <v>87.252054655694749</v>
      </c>
      <c r="G179" s="71"/>
      <c r="H179" s="37" t="str">
        <f t="shared" si="51"/>
        <v/>
      </c>
      <c r="I179" s="77" t="str">
        <f>IF(H179="","",IF($I$8="A",(RANK(H179,H$11:H$368,1)+COUNTIF(H$11:H179,H179)-1),(RANK(H179,H$11:H$368)+COUNTIF(H$11:H179,H179)-1)))</f>
        <v/>
      </c>
      <c r="J179" s="35"/>
      <c r="K179" s="28">
        <f t="shared" si="59"/>
        <v>169</v>
      </c>
      <c r="L179" s="36" t="str">
        <f t="shared" si="52"/>
        <v>Hyndburn</v>
      </c>
      <c r="M179" s="102">
        <f t="shared" si="60"/>
        <v>77.551421506656155</v>
      </c>
      <c r="N179" s="101">
        <f t="shared" si="61"/>
        <v>77.551421506656155</v>
      </c>
      <c r="O179" s="94" t="str">
        <f t="shared" si="53"/>
        <v/>
      </c>
      <c r="P179" s="94" t="str">
        <f t="shared" si="68"/>
        <v/>
      </c>
      <c r="Q179" s="94" t="str">
        <f t="shared" si="69"/>
        <v/>
      </c>
      <c r="R179" s="90">
        <f t="shared" si="70"/>
        <v>77.551421506656155</v>
      </c>
      <c r="S179" s="37" t="str">
        <f t="shared" si="62"/>
        <v/>
      </c>
      <c r="T179" s="176">
        <f>IF(L179="","",VLOOKUP(L179,classifications!C:K,9,FALSE))</f>
        <v>0</v>
      </c>
      <c r="U179" s="183" t="str">
        <f t="shared" si="54"/>
        <v/>
      </c>
      <c r="V179" s="184" t="str">
        <f>IF(U179="","",IF($I$8="A",(RANK(U179,U$11:U$368)+COUNTIF(U$11:U179,U179)-1),(RANK(U179,U$11:U$368,1)+COUNTIF(U$11:U179,U179)-1)))</f>
        <v/>
      </c>
      <c r="W179" s="185"/>
      <c r="X179" s="38" t="str">
        <f>IF(L179="","",VLOOKUP($L179,classifications!$C:$J,6,FALSE))</f>
        <v>Urban with City and Town</v>
      </c>
      <c r="Y179" s="26" t="str">
        <f t="shared" si="55"/>
        <v/>
      </c>
      <c r="Z179" s="34" t="str">
        <f>IF(Y179="","",IF(I$8="A",(RANK(Y179,Y$11:Y$368,1)+COUNTIF(Y$11:Y179,Y179)-1),(RANK(Y179,Y$11:Y$368)+COUNTIF(Y$11:Y179,Y179)-1)))</f>
        <v/>
      </c>
      <c r="AA179" s="188" t="str">
        <f>IF(L179="","",VLOOKUP($L179,classifications!C:I,7,FALSE))</f>
        <v>Predominantly Urban</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Lancashire</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North West</v>
      </c>
      <c r="AQ179" s="39">
        <f t="shared" si="66"/>
        <v>77.551421506656155</v>
      </c>
      <c r="AR179" s="34">
        <f>IF(AQ179="","",IF(I$8="A",(RANK(AQ179,AQ$11:AQ$368,1)+COUNTIF(AQ$11:AQ179,AQ179)-1),(RANK(AQ179,AQ$11:AQ$368)+COUNTIF(AQ$11:AQ179,AQ179)-1)))</f>
        <v>14</v>
      </c>
      <c r="AS179" s="29" t="str">
        <f t="shared" si="67"/>
        <v/>
      </c>
      <c r="AT179" s="34" t="str">
        <f t="shared" si="58"/>
        <v/>
      </c>
      <c r="AU179" s="39" t="str">
        <f t="shared" si="71"/>
        <v/>
      </c>
      <c r="AX179" s="21">
        <f>HLOOKUP($AX$9&amp;$AX$10,Data!$A$1:$ZZ$2000,(MATCH($C179,Data!$A$1:$A$2000,0)),FALSE)</f>
        <v>87.252054655694749</v>
      </c>
      <c r="AY179" s="103"/>
      <c r="AZ179" s="21"/>
    </row>
    <row r="180" spans="1:52">
      <c r="A180" s="56" t="str">
        <f>$D$1&amp;170</f>
        <v>SD170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81.685036915300657</v>
      </c>
      <c r="G180" s="71"/>
      <c r="H180" s="37">
        <f t="shared" si="51"/>
        <v>81.685036915300657</v>
      </c>
      <c r="I180" s="77">
        <f>IF(H180="","",IF($I$8="A",(RANK(H180,H$11:H$368,1)+COUNTIF(H$11:H180,H180)-1),(RANK(H180,H$11:H$368)+COUNTIF(H$11:H180,H180)-1)))</f>
        <v>115</v>
      </c>
      <c r="J180" s="35"/>
      <c r="K180" s="28">
        <f t="shared" si="59"/>
        <v>170</v>
      </c>
      <c r="L180" s="36" t="str">
        <f t="shared" si="52"/>
        <v>Boston</v>
      </c>
      <c r="M180" s="102">
        <f t="shared" si="60"/>
        <v>77.376417647046452</v>
      </c>
      <c r="N180" s="101">
        <f t="shared" si="61"/>
        <v>77.376417647046452</v>
      </c>
      <c r="O180" s="94" t="str">
        <f t="shared" si="53"/>
        <v/>
      </c>
      <c r="P180" s="94" t="str">
        <f t="shared" si="68"/>
        <v/>
      </c>
      <c r="Q180" s="94" t="str">
        <f t="shared" si="69"/>
        <v/>
      </c>
      <c r="R180" s="90">
        <f t="shared" si="70"/>
        <v>77.376417647046452</v>
      </c>
      <c r="S180" s="37" t="str">
        <f t="shared" si="62"/>
        <v/>
      </c>
      <c r="T180" s="176" t="str">
        <f>IF(L180="","",VLOOKUP(L180,classifications!C:K,9,FALSE))</f>
        <v>Sparse</v>
      </c>
      <c r="U180" s="183">
        <f t="shared" si="54"/>
        <v>77.376417647046452</v>
      </c>
      <c r="V180" s="184">
        <f>IF(U180="","",IF($I$8="A",(RANK(U180,U$11:U$368)+COUNTIF(U$11:U180,U180)-1),(RANK(U180,U$11:U$368,1)+COUNTIF(U$11:U180,U180)-1)))</f>
        <v>6</v>
      </c>
      <c r="W180" s="185"/>
      <c r="X180" s="38" t="str">
        <f>IF(L180="","",VLOOKUP($L180,classifications!$C:$J,6,FALSE))</f>
        <v>Urban with Significant Rural (rural including hub towns 26-49%)</v>
      </c>
      <c r="Y180" s="26" t="str">
        <f t="shared" si="55"/>
        <v/>
      </c>
      <c r="Z180" s="34" t="str">
        <f>IF(Y180="","",IF(I$8="A",(RANK(Y180,Y$11:Y$368,1)+COUNTIF(Y$11:Y180,Y180)-1),(RANK(Y180,Y$11:Y$368)+COUNTIF(Y$11:Y180,Y180)-1)))</f>
        <v/>
      </c>
      <c r="AA180" s="188" t="str">
        <f>IF(L180="","",VLOOKUP($L180,classifications!C:I,7,FALSE))</f>
        <v>Significant Rural</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Lincolnshire</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East Midlands</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81.685036915300657</v>
      </c>
      <c r="AY180" s="103"/>
      <c r="AZ180" s="21"/>
    </row>
    <row r="181" spans="1:52">
      <c r="A181" s="56" t="str">
        <f>$D$1&amp;171</f>
        <v>SD171</v>
      </c>
      <c r="B181" s="57">
        <f>IF(ISERROR(VLOOKUP(A181,classifications!A:C,3,FALSE)),0,VLOOKUP(A181,classifications!A:C,3,FALSE))</f>
        <v>0</v>
      </c>
      <c r="C181" s="8" t="s">
        <v>95</v>
      </c>
      <c r="D181" s="26" t="str">
        <f>VLOOKUP($C181,classifications!$C:$J,4,FALSE)</f>
        <v>SD</v>
      </c>
      <c r="E181" s="26">
        <f>VLOOKUP(C181,classifications!C:K,9,FALSE)</f>
        <v>0</v>
      </c>
      <c r="F181" s="36">
        <f t="shared" si="50"/>
        <v>81.305855513372521</v>
      </c>
      <c r="G181" s="71"/>
      <c r="H181" s="37">
        <f t="shared" si="51"/>
        <v>81.305855513372521</v>
      </c>
      <c r="I181" s="77">
        <f>IF(H181="","",IF($I$8="A",(RANK(H181,H$11:H$368,1)+COUNTIF(H$11:H181,H181)-1),(RANK(H181,H$11:H$368)+COUNTIF(H$11:H181,H181)-1)))</f>
        <v>122</v>
      </c>
      <c r="J181" s="35"/>
      <c r="K181" s="28">
        <f t="shared" si="59"/>
        <v>171</v>
      </c>
      <c r="L181" s="36" t="str">
        <f t="shared" si="52"/>
        <v>North Warwickshire</v>
      </c>
      <c r="M181" s="102">
        <f t="shared" si="60"/>
        <v>77.300064284355642</v>
      </c>
      <c r="N181" s="101">
        <f t="shared" si="61"/>
        <v>77.300064284355642</v>
      </c>
      <c r="O181" s="94" t="str">
        <f t="shared" si="53"/>
        <v/>
      </c>
      <c r="P181" s="94" t="str">
        <f t="shared" si="68"/>
        <v/>
      </c>
      <c r="Q181" s="94" t="str">
        <f t="shared" si="69"/>
        <v/>
      </c>
      <c r="R181" s="90">
        <f t="shared" si="70"/>
        <v>77.300064284355642</v>
      </c>
      <c r="S181" s="37" t="str">
        <f t="shared" si="62"/>
        <v/>
      </c>
      <c r="T181" s="176">
        <f>IF(L181="","",VLOOKUP(L181,classifications!C:K,9,FALSE))</f>
        <v>0</v>
      </c>
      <c r="U181" s="183" t="str">
        <f t="shared" si="54"/>
        <v/>
      </c>
      <c r="V181" s="184" t="str">
        <f>IF(U181="","",IF($I$8="A",(RANK(U181,U$11:U$368)+COUNTIF(U$11:U181,U181)-1),(RANK(U181,U$11:U$368,1)+COUNTIF(U$11:U181,U181)-1)))</f>
        <v/>
      </c>
      <c r="W181" s="185"/>
      <c r="X181" s="38" t="str">
        <f>IF(L181="","",VLOOKUP($L181,classifications!$C:$J,6,FALSE))</f>
        <v xml:space="preserve">Mainly Rural (rural including hub towns &gt;=80%) </v>
      </c>
      <c r="Y181" s="26">
        <f t="shared" si="55"/>
        <v>77.300064284355642</v>
      </c>
      <c r="Z181" s="34">
        <f>IF(Y181="","",IF(I$8="A",(RANK(Y181,Y$11:Y$368,1)+COUNTIF(Y$11:Y181,Y181)-1),(RANK(Y181,Y$11:Y$368)+COUNTIF(Y$11:Y181,Y181)-1)))</f>
        <v>40</v>
      </c>
      <c r="AA181" s="188" t="str">
        <f>IF(L181="","",VLOOKUP($L181,classifications!C:I,7,FALSE))</f>
        <v>Predominantly Rural</v>
      </c>
      <c r="AB181" s="184">
        <f t="shared" si="63"/>
        <v>77.300064284355642</v>
      </c>
      <c r="AC181" s="184">
        <f>IF(AB181="","",IF($I$8="A",(RANK(AB181,AB$11:AB$368)+COUNTIF(AB$11:AB181,AB181)-1),(RANK(AB181,AB$11:AB$368,1)+COUNTIF(AB$11:AB181,AB181)-1)))</f>
        <v>5</v>
      </c>
      <c r="AD181" s="184"/>
      <c r="AE181" s="28" t="str">
        <f t="shared" si="72"/>
        <v/>
      </c>
      <c r="AG181" s="96"/>
      <c r="AH181" s="29"/>
      <c r="AI181" s="38" t="str">
        <f>IF(L181="","",VLOOKUP($L181,classifications!$C:$J,8,FALSE))</f>
        <v>Warwickshire</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West Midlands</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81.305855513372521</v>
      </c>
      <c r="AY181" s="103"/>
      <c r="AZ181" s="21"/>
    </row>
    <row r="182" spans="1:52">
      <c r="A182" s="56" t="str">
        <f>$D$1&amp;172</f>
        <v>SD172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78.211534177467797</v>
      </c>
      <c r="G182" s="71"/>
      <c r="H182" s="37" t="str">
        <f t="shared" si="51"/>
        <v/>
      </c>
      <c r="I182" s="77" t="str">
        <f>IF(H182="","",IF($I$8="A",(RANK(H182,H$11:H$368,1)+COUNTIF(H$11:H182,H182)-1),(RANK(H182,H$11:H$368)+COUNTIF(H$11:H182,H182)-1)))</f>
        <v/>
      </c>
      <c r="J182" s="35"/>
      <c r="K182" s="28">
        <f t="shared" si="59"/>
        <v>172</v>
      </c>
      <c r="L182" s="36" t="str">
        <f t="shared" si="52"/>
        <v>Rossendale</v>
      </c>
      <c r="M182" s="102">
        <f t="shared" si="60"/>
        <v>76.997319645735686</v>
      </c>
      <c r="N182" s="101">
        <f t="shared" si="61"/>
        <v>76.997319645735686</v>
      </c>
      <c r="O182" s="94" t="str">
        <f t="shared" si="53"/>
        <v/>
      </c>
      <c r="P182" s="94" t="str">
        <f t="shared" si="68"/>
        <v/>
      </c>
      <c r="Q182" s="94" t="str">
        <f t="shared" si="69"/>
        <v/>
      </c>
      <c r="R182" s="90">
        <f t="shared" si="70"/>
        <v>76.997319645735686</v>
      </c>
      <c r="S182" s="37" t="str">
        <f t="shared" si="62"/>
        <v/>
      </c>
      <c r="T182" s="176">
        <f>IF(L182="","",VLOOKUP(L182,classifications!C:K,9,FALSE))</f>
        <v>0</v>
      </c>
      <c r="U182" s="183" t="str">
        <f t="shared" si="54"/>
        <v/>
      </c>
      <c r="V182" s="184" t="str">
        <f>IF(U182="","",IF($I$8="A",(RANK(U182,U$11:U$368)+COUNTIF(U$11:U182,U182)-1),(RANK(U182,U$11:U$368,1)+COUNTIF(U$11:U182,U182)-1)))</f>
        <v/>
      </c>
      <c r="W182" s="185"/>
      <c r="X182" s="38" t="str">
        <f>IF(L182="","",VLOOKUP($L182,classifications!$C:$J,6,FALSE))</f>
        <v>Urban with City and Town</v>
      </c>
      <c r="Y182" s="26" t="str">
        <f t="shared" si="55"/>
        <v/>
      </c>
      <c r="Z182" s="34" t="str">
        <f>IF(Y182="","",IF(I$8="A",(RANK(Y182,Y$11:Y$368,1)+COUNTIF(Y$11:Y182,Y182)-1),(RANK(Y182,Y$11:Y$368)+COUNTIF(Y$11:Y182,Y182)-1)))</f>
        <v/>
      </c>
      <c r="AA182" s="188" t="str">
        <f>IF(L182="","",VLOOKUP($L182,classifications!C:I,7,FALSE))</f>
        <v>Predominantly Urban</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Lancashire</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North West</v>
      </c>
      <c r="AQ182" s="39">
        <f t="shared" si="66"/>
        <v>76.997319645735686</v>
      </c>
      <c r="AR182" s="34">
        <f>IF(AQ182="","",IF(I$8="A",(RANK(AQ182,AQ$11:AQ$368,1)+COUNTIF(AQ$11:AQ182,AQ182)-1),(RANK(AQ182,AQ$11:AQ$368)+COUNTIF(AQ$11:AQ182,AQ182)-1)))</f>
        <v>15</v>
      </c>
      <c r="AS182" s="29" t="str">
        <f t="shared" si="67"/>
        <v/>
      </c>
      <c r="AT182" s="34" t="str">
        <f t="shared" si="58"/>
        <v/>
      </c>
      <c r="AU182" s="39" t="str">
        <f t="shared" si="71"/>
        <v/>
      </c>
      <c r="AX182" s="21">
        <f>HLOOKUP($AX$9&amp;$AX$10,Data!$A$1:$ZZ$2000,(MATCH($C182,Data!$A$1:$A$2000,0)),FALSE)</f>
        <v>78.211534177467797</v>
      </c>
      <c r="AY182" s="103"/>
      <c r="AZ182" s="21"/>
    </row>
    <row r="183" spans="1:52">
      <c r="A183" s="56" t="str">
        <f>$D$1&amp;173</f>
        <v>SD173</v>
      </c>
      <c r="B183" s="57">
        <f>IF(ISERROR(VLOOKUP(A183,classifications!A:C,3,FALSE)),0,VLOOKUP(A183,classifications!A:C,3,FALSE))</f>
        <v>0</v>
      </c>
      <c r="C183" s="8" t="s">
        <v>235</v>
      </c>
      <c r="D183" s="26" t="str">
        <f>VLOOKUP($C183,classifications!$C:$J,4,FALSE)</f>
        <v>MD</v>
      </c>
      <c r="E183" s="26">
        <f>VLOOKUP(C183,classifications!C:K,9,FALSE)</f>
        <v>0</v>
      </c>
      <c r="F183" s="36">
        <f t="shared" si="50"/>
        <v>80.332786065105097</v>
      </c>
      <c r="G183" s="71"/>
      <c r="H183" s="37" t="str">
        <f t="shared" si="51"/>
        <v/>
      </c>
      <c r="I183" s="77" t="str">
        <f>IF(H183="","",IF($I$8="A",(RANK(H183,H$11:H$368,1)+COUNTIF(H$11:H183,H183)-1),(RANK(H183,H$11:H$368)+COUNTIF(H$11:H183,H183)-1)))</f>
        <v/>
      </c>
      <c r="J183" s="35"/>
      <c r="K183" s="28">
        <f t="shared" si="59"/>
        <v>173</v>
      </c>
      <c r="L183" s="36" t="str">
        <f t="shared" si="52"/>
        <v>West Lancashire</v>
      </c>
      <c r="M183" s="102">
        <f t="shared" si="60"/>
        <v>76.980907264177205</v>
      </c>
      <c r="N183" s="101">
        <f t="shared" si="61"/>
        <v>76.980907264177205</v>
      </c>
      <c r="O183" s="94" t="str">
        <f t="shared" si="53"/>
        <v/>
      </c>
      <c r="P183" s="94" t="str">
        <f t="shared" si="68"/>
        <v/>
      </c>
      <c r="Q183" s="94" t="str">
        <f t="shared" si="69"/>
        <v/>
      </c>
      <c r="R183" s="90">
        <f t="shared" si="70"/>
        <v>76.980907264177205</v>
      </c>
      <c r="S183" s="37" t="str">
        <f t="shared" si="62"/>
        <v/>
      </c>
      <c r="T183" s="176">
        <f>IF(L183="","",VLOOKUP(L183,classifications!C:K,9,FALSE))</f>
        <v>0</v>
      </c>
      <c r="U183" s="183" t="str">
        <f t="shared" si="54"/>
        <v/>
      </c>
      <c r="V183" s="184" t="str">
        <f>IF(U183="","",IF($I$8="A",(RANK(U183,U$11:U$368)+COUNTIF(U$11:U183,U183)-1),(RANK(U183,U$11:U$368,1)+COUNTIF(U$11:U183,U183)-1)))</f>
        <v/>
      </c>
      <c r="W183" s="185"/>
      <c r="X183" s="38" t="str">
        <f>IF(L183="","",VLOOKUP($L183,classifications!$C:$J,6,FALSE))</f>
        <v>Urban with Significant Rural (rural including hub towns 26-49%)</v>
      </c>
      <c r="Y183" s="26" t="str">
        <f t="shared" si="55"/>
        <v/>
      </c>
      <c r="Z183" s="34" t="str">
        <f>IF(Y183="","",IF(I$8="A",(RANK(Y183,Y$11:Y$368,1)+COUNTIF(Y$11:Y183,Y183)-1),(RANK(Y183,Y$11:Y$368)+COUNTIF(Y$11:Y183,Y183)-1)))</f>
        <v/>
      </c>
      <c r="AA183" s="188" t="str">
        <f>IF(L183="","",VLOOKUP($L183,classifications!C:I,7,FALSE))</f>
        <v>Significant Rural</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Lancashire</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North West</v>
      </c>
      <c r="AQ183" s="39">
        <f t="shared" si="66"/>
        <v>76.980907264177205</v>
      </c>
      <c r="AR183" s="34">
        <f>IF(AQ183="","",IF(I$8="A",(RANK(AQ183,AQ$11:AQ$368,1)+COUNTIF(AQ$11:AQ183,AQ183)-1),(RANK(AQ183,AQ$11:AQ$368)+COUNTIF(AQ$11:AQ183,AQ183)-1)))</f>
        <v>16</v>
      </c>
      <c r="AS183" s="29" t="str">
        <f t="shared" si="67"/>
        <v/>
      </c>
      <c r="AT183" s="34" t="str">
        <f t="shared" si="58"/>
        <v/>
      </c>
      <c r="AU183" s="39" t="str">
        <f t="shared" si="71"/>
        <v/>
      </c>
      <c r="AX183" s="21">
        <f>HLOOKUP($AX$9&amp;$AX$10,Data!$A$1:$ZZ$2000,(MATCH($C183,Data!$A$1:$A$2000,0)),FALSE)</f>
        <v>80.332786065105097</v>
      </c>
      <c r="AY183" s="103"/>
      <c r="AZ183" s="21"/>
    </row>
    <row r="184" spans="1:52">
      <c r="A184" s="56" t="str">
        <f>$D$1&amp;174</f>
        <v>SD174</v>
      </c>
      <c r="B184" s="57">
        <f>IF(ISERROR(VLOOKUP(A184,classifications!A:C,3,FALSE)),0,VLOOKUP(A184,classifications!A:C,3,FALSE))</f>
        <v>0</v>
      </c>
      <c r="C184" s="8" t="s">
        <v>272</v>
      </c>
      <c r="D184" s="26" t="str">
        <f>VLOOKUP($C184,classifications!$C:$J,4,FALSE)</f>
        <v>UA</v>
      </c>
      <c r="E184" s="26">
        <f>VLOOKUP(C184,classifications!C:K,9,FALSE)</f>
        <v>0</v>
      </c>
      <c r="F184" s="36">
        <f t="shared" si="50"/>
        <v>70.445250278475953</v>
      </c>
      <c r="G184" s="71"/>
      <c r="H184" s="37" t="str">
        <f t="shared" si="51"/>
        <v/>
      </c>
      <c r="I184" s="77" t="str">
        <f>IF(H184="","",IF($I$8="A",(RANK(H184,H$11:H$368,1)+COUNTIF(H$11:H184,H184)-1),(RANK(H184,H$11:H$368)+COUNTIF(H$11:H184,H184)-1)))</f>
        <v/>
      </c>
      <c r="J184" s="35"/>
      <c r="K184" s="28">
        <f t="shared" si="59"/>
        <v>174</v>
      </c>
      <c r="L184" s="36" t="str">
        <f t="shared" si="52"/>
        <v>East Staffordshire</v>
      </c>
      <c r="M184" s="102">
        <f t="shared" si="60"/>
        <v>76.757911292992603</v>
      </c>
      <c r="N184" s="101">
        <f t="shared" si="61"/>
        <v>76.757911292992603</v>
      </c>
      <c r="O184" s="94" t="str">
        <f t="shared" si="53"/>
        <v/>
      </c>
      <c r="P184" s="94" t="str">
        <f t="shared" si="68"/>
        <v/>
      </c>
      <c r="Q184" s="94" t="str">
        <f t="shared" si="69"/>
        <v/>
      </c>
      <c r="R184" s="90">
        <f t="shared" si="70"/>
        <v>76.757911292992603</v>
      </c>
      <c r="S184" s="37" t="str">
        <f t="shared" si="62"/>
        <v/>
      </c>
      <c r="T184" s="176">
        <f>IF(L184="","",VLOOKUP(L184,classifications!C:K,9,FALSE))</f>
        <v>0</v>
      </c>
      <c r="U184" s="183" t="str">
        <f t="shared" si="54"/>
        <v/>
      </c>
      <c r="V184" s="184" t="str">
        <f>IF(U184="","",IF($I$8="A",(RANK(U184,U$11:U$368)+COUNTIF(U$11:U184,U184)-1),(RANK(U184,U$11:U$368,1)+COUNTIF(U$11:U184,U184)-1)))</f>
        <v/>
      </c>
      <c r="W184" s="185"/>
      <c r="X184" s="38" t="str">
        <f>IF(L184="","",VLOOKUP($L184,classifications!$C:$J,6,FALSE))</f>
        <v>Urban with Significant Rural (rural including hub towns 26-49%)</v>
      </c>
      <c r="Y184" s="26" t="str">
        <f t="shared" si="55"/>
        <v/>
      </c>
      <c r="Z184" s="34" t="str">
        <f>IF(Y184="","",IF(I$8="A",(RANK(Y184,Y$11:Y$368,1)+COUNTIF(Y$11:Y184,Y184)-1),(RANK(Y184,Y$11:Y$368)+COUNTIF(Y$11:Y184,Y184)-1)))</f>
        <v/>
      </c>
      <c r="AA184" s="188" t="str">
        <f>IF(L184="","",VLOOKUP($L184,classifications!C:I,7,FALSE))</f>
        <v>Significant Rural</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Staffordshire</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West Midlands</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70.445250278475953</v>
      </c>
      <c r="AY184" s="103"/>
      <c r="AZ184" s="21"/>
    </row>
    <row r="185" spans="1:52">
      <c r="A185" s="56" t="str">
        <f>$D$1&amp;175</f>
        <v>SD175</v>
      </c>
      <c r="B185" s="57">
        <f>IF(ISERROR(VLOOKUP(A185,classifications!A:C,3,FALSE)),0,VLOOKUP(A185,classifications!A:C,3,FALSE))</f>
        <v>0</v>
      </c>
      <c r="C185" s="8" t="s">
        <v>96</v>
      </c>
      <c r="D185" s="26" t="str">
        <f>VLOOKUP($C185,classifications!$C:$J,4,FALSE)</f>
        <v>SD</v>
      </c>
      <c r="E185" s="26">
        <f>VLOOKUP(C185,classifications!C:K,9,FALSE)</f>
        <v>0</v>
      </c>
      <c r="F185" s="36">
        <f t="shared" si="50"/>
        <v>79.493690785563018</v>
      </c>
      <c r="G185" s="71"/>
      <c r="H185" s="37">
        <f t="shared" si="51"/>
        <v>79.493690785563018</v>
      </c>
      <c r="I185" s="77">
        <f>IF(H185="","",IF($I$8="A",(RANK(H185,H$11:H$368,1)+COUNTIF(H$11:H185,H185)-1),(RANK(H185,H$11:H$368)+COUNTIF(H$11:H185,H185)-1)))</f>
        <v>149</v>
      </c>
      <c r="J185" s="35"/>
      <c r="K185" s="28">
        <f t="shared" si="59"/>
        <v>175</v>
      </c>
      <c r="L185" s="36" t="str">
        <f t="shared" si="52"/>
        <v>South Derbyshire</v>
      </c>
      <c r="M185" s="102">
        <f t="shared" si="60"/>
        <v>76.551521459605794</v>
      </c>
      <c r="N185" s="101">
        <f t="shared" si="61"/>
        <v>76.551521459605794</v>
      </c>
      <c r="O185" s="94" t="str">
        <f t="shared" si="53"/>
        <v/>
      </c>
      <c r="P185" s="94" t="str">
        <f t="shared" si="68"/>
        <v/>
      </c>
      <c r="Q185" s="94" t="str">
        <f t="shared" si="69"/>
        <v/>
      </c>
      <c r="R185" s="90">
        <f t="shared" si="70"/>
        <v>76.551521459605794</v>
      </c>
      <c r="S185" s="37" t="str">
        <f t="shared" si="62"/>
        <v/>
      </c>
      <c r="T185" s="176" t="str">
        <f>IF(L185="","",VLOOKUP(L185,classifications!C:K,9,FALSE))</f>
        <v>Sparse</v>
      </c>
      <c r="U185" s="183">
        <f t="shared" si="54"/>
        <v>76.551521459605794</v>
      </c>
      <c r="V185" s="184">
        <f>IF(U185="","",IF($I$8="A",(RANK(U185,U$11:U$368)+COUNTIF(U$11:U185,U185)-1),(RANK(U185,U$11:U$368,1)+COUNTIF(U$11:U185,U185)-1)))</f>
        <v>5</v>
      </c>
      <c r="W185" s="185"/>
      <c r="X185" s="38" t="str">
        <f>IF(L185="","",VLOOKUP($L185,classifications!$C:$J,6,FALSE))</f>
        <v>Urban with Significant Rural (rural including hub towns 26-49%)</v>
      </c>
      <c r="Y185" s="26" t="str">
        <f t="shared" si="55"/>
        <v/>
      </c>
      <c r="Z185" s="34" t="str">
        <f>IF(Y185="","",IF(I$8="A",(RANK(Y185,Y$11:Y$368,1)+COUNTIF(Y$11:Y185,Y185)-1),(RANK(Y185,Y$11:Y$368)+COUNTIF(Y$11:Y185,Y185)-1)))</f>
        <v/>
      </c>
      <c r="AA185" s="188" t="str">
        <f>IF(L185="","",VLOOKUP($L185,classifications!C:I,7,FALSE))</f>
        <v>Significant Rural</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Derbyshire</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East Midlands</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79.493690785563018</v>
      </c>
      <c r="AY185" s="103"/>
      <c r="AZ185" s="21"/>
    </row>
    <row r="186" spans="1:52">
      <c r="A186" s="56" t="str">
        <f>$D$1&amp;176</f>
        <v>SD176</v>
      </c>
      <c r="B186" s="57">
        <f>IF(ISERROR(VLOOKUP(A186,classifications!A:C,3,FALSE)),0,VLOOKUP(A186,classifications!A:C,3,FALSE))</f>
        <v>0</v>
      </c>
      <c r="C186" s="8" t="s">
        <v>97</v>
      </c>
      <c r="D186" s="26" t="str">
        <f>VLOOKUP($C186,classifications!$C:$J,4,FALSE)</f>
        <v>SD</v>
      </c>
      <c r="E186" s="26">
        <f>VLOOKUP(C186,classifications!C:K,9,FALSE)</f>
        <v>0</v>
      </c>
      <c r="F186" s="36">
        <f t="shared" si="50"/>
        <v>83.768341906905448</v>
      </c>
      <c r="G186" s="71"/>
      <c r="H186" s="37">
        <f t="shared" si="51"/>
        <v>83.768341906905448</v>
      </c>
      <c r="I186" s="77">
        <f>IF(H186="","",IF($I$8="A",(RANK(H186,H$11:H$368,1)+COUNTIF(H$11:H186,H186)-1),(RANK(H186,H$11:H$368)+COUNTIF(H$11:H186,H186)-1)))</f>
        <v>72</v>
      </c>
      <c r="J186" s="35"/>
      <c r="K186" s="28">
        <f t="shared" si="59"/>
        <v>176</v>
      </c>
      <c r="L186" s="36" t="str">
        <f t="shared" si="52"/>
        <v>Gravesham</v>
      </c>
      <c r="M186" s="102">
        <f t="shared" si="60"/>
        <v>76.535403940595032</v>
      </c>
      <c r="N186" s="101">
        <f t="shared" si="61"/>
        <v>76.535403940595032</v>
      </c>
      <c r="O186" s="94" t="str">
        <f t="shared" si="53"/>
        <v/>
      </c>
      <c r="P186" s="94" t="str">
        <f t="shared" si="68"/>
        <v/>
      </c>
      <c r="Q186" s="94" t="str">
        <f t="shared" si="69"/>
        <v/>
      </c>
      <c r="R186" s="90">
        <f t="shared" si="70"/>
        <v>76.535403940595032</v>
      </c>
      <c r="S186" s="37" t="str">
        <f t="shared" si="62"/>
        <v/>
      </c>
      <c r="T186" s="176">
        <f>IF(L186="","",VLOOKUP(L186,classifications!C:K,9,FALSE))</f>
        <v>0</v>
      </c>
      <c r="U186" s="183" t="str">
        <f t="shared" si="54"/>
        <v/>
      </c>
      <c r="V186" s="184" t="str">
        <f>IF(U186="","",IF($I$8="A",(RANK(U186,U$11:U$368)+COUNTIF(U$11:U186,U186)-1),(RANK(U186,U$11:U$368,1)+COUNTIF(U$11:U186,U186)-1)))</f>
        <v/>
      </c>
      <c r="W186" s="185"/>
      <c r="X186" s="38" t="str">
        <f>IF(L186="","",VLOOKUP($L186,classifications!$C:$J,6,FALSE))</f>
        <v>Urban with Major Conurbation</v>
      </c>
      <c r="Y186" s="26" t="str">
        <f t="shared" si="55"/>
        <v/>
      </c>
      <c r="Z186" s="34" t="str">
        <f>IF(Y186="","",IF(I$8="A",(RANK(Y186,Y$11:Y$368,1)+COUNTIF(Y$11:Y186,Y186)-1),(RANK(Y186,Y$11:Y$368)+COUNTIF(Y$11:Y186,Y186)-1)))</f>
        <v/>
      </c>
      <c r="AA186" s="188" t="str">
        <f>IF(L186="","",VLOOKUP($L186,classifications!C:I,7,FALSE))</f>
        <v>Predominantly Urban</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Kent</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South East</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83.768341906905448</v>
      </c>
      <c r="AY186" s="103"/>
      <c r="AZ186" s="21"/>
    </row>
    <row r="187" spans="1:52">
      <c r="A187" s="56" t="str">
        <f>$D$1&amp;177</f>
        <v>SD177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86.323077218978213</v>
      </c>
      <c r="G187" s="71"/>
      <c r="H187" s="37">
        <f t="shared" si="51"/>
        <v>86.323077218978213</v>
      </c>
      <c r="I187" s="77">
        <f>IF(H187="","",IF($I$8="A",(RANK(H187,H$11:H$368,1)+COUNTIF(H$11:H187,H187)-1),(RANK(H187,H$11:H$368)+COUNTIF(H$11:H187,H187)-1)))</f>
        <v>30</v>
      </c>
      <c r="J187" s="35"/>
      <c r="K187" s="28">
        <f t="shared" si="59"/>
        <v>177</v>
      </c>
      <c r="L187" s="36" t="str">
        <f t="shared" si="52"/>
        <v>Gosport</v>
      </c>
      <c r="M187" s="102">
        <f t="shared" si="60"/>
        <v>76.413114292483286</v>
      </c>
      <c r="N187" s="101">
        <f t="shared" si="61"/>
        <v>76.413114292483286</v>
      </c>
      <c r="O187" s="94" t="str">
        <f t="shared" si="53"/>
        <v/>
      </c>
      <c r="P187" s="94" t="str">
        <f t="shared" si="68"/>
        <v/>
      </c>
      <c r="Q187" s="94" t="str">
        <f t="shared" si="69"/>
        <v/>
      </c>
      <c r="R187" s="90">
        <f t="shared" si="70"/>
        <v>76.413114292483286</v>
      </c>
      <c r="S187" s="37" t="str">
        <f t="shared" si="62"/>
        <v/>
      </c>
      <c r="T187" s="176">
        <f>IF(L187="","",VLOOKUP(L187,classifications!C:K,9,FALSE))</f>
        <v>0</v>
      </c>
      <c r="U187" s="183" t="str">
        <f t="shared" si="54"/>
        <v/>
      </c>
      <c r="V187" s="184" t="str">
        <f>IF(U187="","",IF($I$8="A",(RANK(U187,U$11:U$368)+COUNTIF(U$11:U187,U187)-1),(RANK(U187,U$11:U$368,1)+COUNTIF(U$11:U187,U187)-1)))</f>
        <v/>
      </c>
      <c r="W187" s="185"/>
      <c r="X187" s="38" t="str">
        <f>IF(L187="","",VLOOKUP($L187,classifications!$C:$J,6,FALSE))</f>
        <v>Urban with City and Town</v>
      </c>
      <c r="Y187" s="26" t="str">
        <f t="shared" si="55"/>
        <v/>
      </c>
      <c r="Z187" s="34" t="str">
        <f>IF(Y187="","",IF(I$8="A",(RANK(Y187,Y$11:Y$368,1)+COUNTIF(Y$11:Y187,Y187)-1),(RANK(Y187,Y$11:Y$368)+COUNTIF(Y$11:Y187,Y187)-1)))</f>
        <v/>
      </c>
      <c r="AA187" s="188" t="str">
        <f>IF(L187="","",VLOOKUP($L187,classifications!C:I,7,FALSE))</f>
        <v>Predominantly Urban</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Hampshire</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South East</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86.323077218978213</v>
      </c>
      <c r="AY187" s="103"/>
      <c r="AZ187" s="21"/>
    </row>
    <row r="188" spans="1:52">
      <c r="A188" s="56" t="str">
        <f>$D$1&amp;178</f>
        <v>SD178</v>
      </c>
      <c r="B188" s="57">
        <f>IF(ISERROR(VLOOKUP(A188,classifications!A:C,3,FALSE)),0,VLOOKUP(A188,classifications!A:C,3,FALSE))</f>
        <v>0</v>
      </c>
      <c r="C188" s="8" t="s">
        <v>236</v>
      </c>
      <c r="D188" s="26" t="str">
        <f>VLOOKUP($C188,classifications!$C:$J,4,FALSE)</f>
        <v>MD</v>
      </c>
      <c r="E188" s="26">
        <f>VLOOKUP(C188,classifications!C:K,9,FALSE)</f>
        <v>0</v>
      </c>
      <c r="F188" s="36">
        <f t="shared" si="50"/>
        <v>78.19634629350422</v>
      </c>
      <c r="G188" s="71"/>
      <c r="H188" s="37" t="str">
        <f t="shared" si="51"/>
        <v/>
      </c>
      <c r="I188" s="77" t="str">
        <f>IF(H188="","",IF($I$8="A",(RANK(H188,H$11:H$368,1)+COUNTIF(H$11:H188,H188)-1),(RANK(H188,H$11:H$368)+COUNTIF(H$11:H188,H188)-1)))</f>
        <v/>
      </c>
      <c r="J188" s="35"/>
      <c r="K188" s="28">
        <f t="shared" si="59"/>
        <v>178</v>
      </c>
      <c r="L188" s="36" t="str">
        <f t="shared" si="52"/>
        <v>South Kesteven</v>
      </c>
      <c r="M188" s="102">
        <f t="shared" si="60"/>
        <v>76.277737156810716</v>
      </c>
      <c r="N188" s="101">
        <f t="shared" si="61"/>
        <v>76.277737156810716</v>
      </c>
      <c r="O188" s="94" t="str">
        <f t="shared" si="53"/>
        <v/>
      </c>
      <c r="P188" s="94" t="str">
        <f t="shared" si="68"/>
        <v/>
      </c>
      <c r="Q188" s="94" t="str">
        <f t="shared" si="69"/>
        <v/>
      </c>
      <c r="R188" s="90">
        <f t="shared" si="70"/>
        <v>76.277737156810716</v>
      </c>
      <c r="S188" s="37" t="str">
        <f t="shared" si="62"/>
        <v/>
      </c>
      <c r="T188" s="176" t="str">
        <f>IF(L188="","",VLOOKUP(L188,classifications!C:K,9,FALSE))</f>
        <v>Sparse</v>
      </c>
      <c r="U188" s="183">
        <f t="shared" si="54"/>
        <v>76.277737156810716</v>
      </c>
      <c r="V188" s="184">
        <f>IF(U188="","",IF($I$8="A",(RANK(U188,U$11:U$368)+COUNTIF(U$11:U188,U188)-1),(RANK(U188,U$11:U$368,1)+COUNTIF(U$11:U188,U188)-1)))</f>
        <v>4</v>
      </c>
      <c r="W188" s="185"/>
      <c r="X188" s="38" t="str">
        <f>IF(L188="","",VLOOKUP($L188,classifications!$C:$J,6,FALSE))</f>
        <v xml:space="preserve">Largely Rural (rural including hub towns 50-79%) </v>
      </c>
      <c r="Y188" s="26" t="str">
        <f t="shared" si="55"/>
        <v/>
      </c>
      <c r="Z188" s="34" t="str">
        <f>IF(Y188="","",IF(I$8="A",(RANK(Y188,Y$11:Y$368,1)+COUNTIF(Y$11:Y188,Y188)-1),(RANK(Y188,Y$11:Y$368)+COUNTIF(Y$11:Y188,Y188)-1)))</f>
        <v/>
      </c>
      <c r="AA188" s="188" t="str">
        <f>IF(L188="","",VLOOKUP($L188,classifications!C:I,7,FALSE))</f>
        <v>Predominantly Rural</v>
      </c>
      <c r="AB188" s="184">
        <f t="shared" si="63"/>
        <v>76.277737156810716</v>
      </c>
      <c r="AC188" s="184">
        <f>IF(AB188="","",IF($I$8="A",(RANK(AB188,AB$11:AB$368)+COUNTIF(AB$11:AB188,AB188)-1),(RANK(AB188,AB$11:AB$368,1)+COUNTIF(AB$11:AB188,AB188)-1)))</f>
        <v>4</v>
      </c>
      <c r="AD188" s="184"/>
      <c r="AE188" s="28" t="str">
        <f t="shared" si="72"/>
        <v/>
      </c>
      <c r="AG188" s="96"/>
      <c r="AH188" s="29"/>
      <c r="AI188" s="38" t="str">
        <f>IF(L188="","",VLOOKUP($L188,classifications!$C:$J,8,FALSE))</f>
        <v>Lincolnshire</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East Midlands</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78.19634629350422</v>
      </c>
      <c r="AY188" s="103"/>
      <c r="AZ188" s="21"/>
    </row>
    <row r="189" spans="1:52">
      <c r="A189" s="56" t="str">
        <f>$D$1&amp;179</f>
        <v>SD179</v>
      </c>
      <c r="B189" s="57">
        <f>IF(ISERROR(VLOOKUP(A189,classifications!A:C,3,FALSE)),0,VLOOKUP(A189,classifications!A:C,3,FALSE))</f>
        <v>0</v>
      </c>
      <c r="C189" s="8" t="s">
        <v>99</v>
      </c>
      <c r="D189" s="26" t="str">
        <f>VLOOKUP($C189,classifications!$C:$J,4,FALSE)</f>
        <v>SD</v>
      </c>
      <c r="E189" s="26">
        <f>VLOOKUP(C189,classifications!C:K,9,FALSE)</f>
        <v>0</v>
      </c>
      <c r="F189" s="36">
        <f t="shared" si="50"/>
        <v>74.692429033356589</v>
      </c>
      <c r="G189" s="71"/>
      <c r="H189" s="37">
        <f t="shared" si="51"/>
        <v>74.692429033356589</v>
      </c>
      <c r="I189" s="77">
        <f>IF(H189="","",IF($I$8="A",(RANK(H189,H$11:H$368,1)+COUNTIF(H$11:H189,H189)-1),(RANK(H189,H$11:H$368)+COUNTIF(H$11:H189,H189)-1)))</f>
        <v>186</v>
      </c>
      <c r="J189" s="35"/>
      <c r="K189" s="28">
        <f t="shared" si="59"/>
        <v>179</v>
      </c>
      <c r="L189" s="36" t="str">
        <f t="shared" si="52"/>
        <v>Fenland</v>
      </c>
      <c r="M189" s="102">
        <f t="shared" si="60"/>
        <v>76.132935045242377</v>
      </c>
      <c r="N189" s="101">
        <f t="shared" si="61"/>
        <v>76.132935045242377</v>
      </c>
      <c r="O189" s="94" t="str">
        <f t="shared" si="53"/>
        <v/>
      </c>
      <c r="P189" s="94" t="str">
        <f t="shared" si="68"/>
        <v/>
      </c>
      <c r="Q189" s="94" t="str">
        <f t="shared" si="69"/>
        <v/>
      </c>
      <c r="R189" s="90">
        <f t="shared" si="70"/>
        <v>76.132935045242377</v>
      </c>
      <c r="S189" s="37" t="str">
        <f t="shared" si="62"/>
        <v/>
      </c>
      <c r="T189" s="176">
        <f>IF(L189="","",VLOOKUP(L189,classifications!C:K,9,FALSE))</f>
        <v>0</v>
      </c>
      <c r="U189" s="183" t="str">
        <f t="shared" si="54"/>
        <v/>
      </c>
      <c r="V189" s="184" t="str">
        <f>IF(U189="","",IF($I$8="A",(RANK(U189,U$11:U$368)+COUNTIF(U$11:U189,U189)-1),(RANK(U189,U$11:U$368,1)+COUNTIF(U$11:U189,U189)-1)))</f>
        <v/>
      </c>
      <c r="W189" s="185"/>
      <c r="X189" s="38" t="str">
        <f>IF(L189="","",VLOOKUP($L189,classifications!$C:$J,6,FALSE))</f>
        <v xml:space="preserve">Largely Rural (rural including hub towns 50-79%) </v>
      </c>
      <c r="Y189" s="26" t="str">
        <f t="shared" si="55"/>
        <v/>
      </c>
      <c r="Z189" s="34" t="str">
        <f>IF(Y189="","",IF(I$8="A",(RANK(Y189,Y$11:Y$368,1)+COUNTIF(Y$11:Y189,Y189)-1),(RANK(Y189,Y$11:Y$368)+COUNTIF(Y$11:Y189,Y189)-1)))</f>
        <v/>
      </c>
      <c r="AA189" s="188" t="str">
        <f>IF(L189="","",VLOOKUP($L189,classifications!C:I,7,FALSE))</f>
        <v>Predominantly Rural</v>
      </c>
      <c r="AB189" s="184">
        <f t="shared" si="63"/>
        <v>76.132935045242377</v>
      </c>
      <c r="AC189" s="184">
        <f>IF(AB189="","",IF($I$8="A",(RANK(AB189,AB$11:AB$368)+COUNTIF(AB$11:AB189,AB189)-1),(RANK(AB189,AB$11:AB$368,1)+COUNTIF(AB$11:AB189,AB189)-1)))</f>
        <v>3</v>
      </c>
      <c r="AD189" s="184"/>
      <c r="AE189" s="28" t="str">
        <f t="shared" si="72"/>
        <v/>
      </c>
      <c r="AG189" s="96"/>
      <c r="AH189" s="29"/>
      <c r="AI189" s="38" t="str">
        <f>IF(L189="","",VLOOKUP($L189,classifications!$C:$J,8,FALSE))</f>
        <v>Cambridgeshire</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East of England</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74.692429033356589</v>
      </c>
      <c r="AY189" s="103"/>
      <c r="AZ189" s="21"/>
    </row>
    <row r="190" spans="1:52">
      <c r="A190" s="56" t="str">
        <f>$D$1&amp;180</f>
        <v>SD180</v>
      </c>
      <c r="B190" s="57">
        <f>IF(ISERROR(VLOOKUP(A190,classifications!A:C,3,FALSE)),0,VLOOKUP(A190,classifications!A:C,3,FALSE))</f>
        <v>0</v>
      </c>
      <c r="C190" s="8" t="s">
        <v>273</v>
      </c>
      <c r="D190" s="26" t="str">
        <f>VLOOKUP($C190,classifications!$C:$J,4,FALSE)</f>
        <v>UA</v>
      </c>
      <c r="E190" s="26">
        <f>VLOOKUP(C190,classifications!C:K,9,FALSE)</f>
        <v>0</v>
      </c>
      <c r="F190" s="36">
        <f t="shared" si="50"/>
        <v>77.146657569100753</v>
      </c>
      <c r="G190" s="71"/>
      <c r="H190" s="37" t="str">
        <f t="shared" si="51"/>
        <v/>
      </c>
      <c r="I190" s="77" t="str">
        <f>IF(H190="","",IF($I$8="A",(RANK(H190,H$11:H$368,1)+COUNTIF(H$11:H190,H190)-1),(RANK(H190,H$11:H$368)+COUNTIF(H$11:H190,H190)-1)))</f>
        <v/>
      </c>
      <c r="J190" s="35"/>
      <c r="K190" s="28">
        <f t="shared" si="59"/>
        <v>180</v>
      </c>
      <c r="L190" s="36" t="str">
        <f t="shared" si="52"/>
        <v>Redditch</v>
      </c>
      <c r="M190" s="102">
        <f t="shared" si="60"/>
        <v>76.059769934592339</v>
      </c>
      <c r="N190" s="101">
        <f t="shared" si="61"/>
        <v>76.059769934592339</v>
      </c>
      <c r="O190" s="94" t="str">
        <f t="shared" si="53"/>
        <v/>
      </c>
      <c r="P190" s="94" t="str">
        <f t="shared" si="68"/>
        <v/>
      </c>
      <c r="Q190" s="94" t="str">
        <f t="shared" si="69"/>
        <v/>
      </c>
      <c r="R190" s="90">
        <f t="shared" si="70"/>
        <v>76.059769934592339</v>
      </c>
      <c r="S190" s="37" t="str">
        <f t="shared" si="62"/>
        <v/>
      </c>
      <c r="T190" s="176">
        <f>IF(L190="","",VLOOKUP(L190,classifications!C:K,9,FALSE))</f>
        <v>0</v>
      </c>
      <c r="U190" s="183" t="str">
        <f t="shared" si="54"/>
        <v/>
      </c>
      <c r="V190" s="184" t="str">
        <f>IF(U190="","",IF($I$8="A",(RANK(U190,U$11:U$368)+COUNTIF(U$11:U190,U190)-1),(RANK(U190,U$11:U$368,1)+COUNTIF(U$11:U190,U190)-1)))</f>
        <v/>
      </c>
      <c r="W190" s="185"/>
      <c r="X190" s="38" t="str">
        <f>IF(L190="","",VLOOKUP($L190,classifications!$C:$J,6,FALSE))</f>
        <v>Urban with City and Town</v>
      </c>
      <c r="Y190" s="26" t="str">
        <f t="shared" si="55"/>
        <v/>
      </c>
      <c r="Z190" s="34" t="str">
        <f>IF(Y190="","",IF(I$8="A",(RANK(Y190,Y$11:Y$368,1)+COUNTIF(Y$11:Y190,Y190)-1),(RANK(Y190,Y$11:Y$368)+COUNTIF(Y$11:Y190,Y190)-1)))</f>
        <v/>
      </c>
      <c r="AA190" s="188" t="str">
        <f>IF(L190="","",VLOOKUP($L190,classifications!C:I,7,FALSE))</f>
        <v>Predominantly Urban</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Worcestershire</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West Midlands</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77.146657569100753</v>
      </c>
      <c r="AY190" s="103"/>
      <c r="AZ190" s="21"/>
    </row>
    <row r="191" spans="1:52">
      <c r="A191" s="56" t="str">
        <f>$D$1&amp;181</f>
        <v>SD181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81.684854523733151</v>
      </c>
      <c r="G191" s="71"/>
      <c r="H191" s="37">
        <f t="shared" si="51"/>
        <v>81.684854523733151</v>
      </c>
      <c r="I191" s="77">
        <f>IF(H191="","",IF($I$8="A",(RANK(H191,H$11:H$368,1)+COUNTIF(H$11:H191,H191)-1),(RANK(H191,H$11:H$368)+COUNTIF(H$11:H191,H191)-1)))</f>
        <v>116</v>
      </c>
      <c r="J191" s="35"/>
      <c r="K191" s="28">
        <f t="shared" si="59"/>
        <v>181</v>
      </c>
      <c r="L191" s="36" t="str">
        <f t="shared" si="52"/>
        <v>Cannock Chase</v>
      </c>
      <c r="M191" s="102">
        <f t="shared" si="60"/>
        <v>76.033457429563455</v>
      </c>
      <c r="N191" s="101">
        <f t="shared" si="61"/>
        <v>76.033457429563455</v>
      </c>
      <c r="O191" s="94" t="str">
        <f t="shared" si="53"/>
        <v/>
      </c>
      <c r="P191" s="94" t="str">
        <f t="shared" si="68"/>
        <v/>
      </c>
      <c r="Q191" s="94" t="str">
        <f t="shared" si="69"/>
        <v/>
      </c>
      <c r="R191" s="90">
        <f t="shared" si="70"/>
        <v>76.033457429563455</v>
      </c>
      <c r="S191" s="37" t="str">
        <f t="shared" si="62"/>
        <v/>
      </c>
      <c r="T191" s="176">
        <f>IF(L191="","",VLOOKUP(L191,classifications!C:K,9,FALSE))</f>
        <v>0</v>
      </c>
      <c r="U191" s="183" t="str">
        <f t="shared" si="54"/>
        <v/>
      </c>
      <c r="V191" s="184" t="str">
        <f>IF(U191="","",IF($I$8="A",(RANK(U191,U$11:U$368)+COUNTIF(U$11:U191,U191)-1),(RANK(U191,U$11:U$368,1)+COUNTIF(U$11:U191,U191)-1)))</f>
        <v/>
      </c>
      <c r="W191" s="185"/>
      <c r="X191" s="38" t="str">
        <f>IF(L191="","",VLOOKUP($L191,classifications!$C:$J,6,FALSE))</f>
        <v>Urban with Significant Rural (rural including hub towns 26-49%)</v>
      </c>
      <c r="Y191" s="26" t="str">
        <f t="shared" si="55"/>
        <v/>
      </c>
      <c r="Z191" s="34" t="str">
        <f>IF(Y191="","",IF(I$8="A",(RANK(Y191,Y$11:Y$368,1)+COUNTIF(Y$11:Y191,Y191)-1),(RANK(Y191,Y$11:Y$368)+COUNTIF(Y$11:Y191,Y191)-1)))</f>
        <v/>
      </c>
      <c r="AA191" s="188" t="str">
        <f>IF(L191="","",VLOOKUP($L191,classifications!C:I,7,FALSE))</f>
        <v>Significant Rural</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Staffordshire</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West Midlands</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81.684854523733151</v>
      </c>
      <c r="AY191" s="103"/>
      <c r="AZ191" s="21"/>
    </row>
    <row r="192" spans="1:52">
      <c r="A192" s="56" t="str">
        <f>$D$1&amp;182</f>
        <v>SD182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86.158562537308995</v>
      </c>
      <c r="G192" s="71"/>
      <c r="H192" s="37">
        <f t="shared" si="51"/>
        <v>86.158562537308995</v>
      </c>
      <c r="I192" s="77">
        <f>IF(H192="","",IF($I$8="A",(RANK(H192,H$11:H$368,1)+COUNTIF(H$11:H192,H192)-1),(RANK(H192,H$11:H$368)+COUNTIF(H$11:H192,H192)-1)))</f>
        <v>34</v>
      </c>
      <c r="J192" s="35"/>
      <c r="K192" s="28">
        <f t="shared" si="59"/>
        <v>182</v>
      </c>
      <c r="L192" s="36" t="str">
        <f t="shared" si="52"/>
        <v>Northampton</v>
      </c>
      <c r="M192" s="102">
        <f t="shared" si="60"/>
        <v>75.921860953740193</v>
      </c>
      <c r="N192" s="101">
        <f t="shared" si="61"/>
        <v>75.921860953740193</v>
      </c>
      <c r="O192" s="94" t="str">
        <f t="shared" si="53"/>
        <v/>
      </c>
      <c r="P192" s="94" t="str">
        <f t="shared" si="68"/>
        <v/>
      </c>
      <c r="Q192" s="94" t="str">
        <f t="shared" si="69"/>
        <v/>
      </c>
      <c r="R192" s="90">
        <f t="shared" si="70"/>
        <v>75.921860953740193</v>
      </c>
      <c r="S192" s="37" t="str">
        <f t="shared" si="62"/>
        <v/>
      </c>
      <c r="T192" s="176">
        <f>IF(L192="","",VLOOKUP(L192,classifications!C:K,9,FALSE))</f>
        <v>0</v>
      </c>
      <c r="U192" s="183" t="str">
        <f t="shared" si="54"/>
        <v/>
      </c>
      <c r="V192" s="184" t="str">
        <f>IF(U192="","",IF($I$8="A",(RANK(U192,U$11:U$368)+COUNTIF(U$11:U192,U192)-1),(RANK(U192,U$11:U$368,1)+COUNTIF(U$11:U192,U192)-1)))</f>
        <v/>
      </c>
      <c r="W192" s="185"/>
      <c r="X192" s="38" t="str">
        <f>IF(L192="","",VLOOKUP($L192,classifications!$C:$J,6,FALSE))</f>
        <v>Urban with City and Town</v>
      </c>
      <c r="Y192" s="26" t="str">
        <f t="shared" si="55"/>
        <v/>
      </c>
      <c r="Z192" s="34" t="str">
        <f>IF(Y192="","",IF(I$8="A",(RANK(Y192,Y$11:Y$368,1)+COUNTIF(Y$11:Y192,Y192)-1),(RANK(Y192,Y$11:Y$368)+COUNTIF(Y$11:Y192,Y192)-1)))</f>
        <v/>
      </c>
      <c r="AA192" s="188" t="str">
        <f>IF(L192="","",VLOOKUP($L192,classifications!C:I,7,FALSE))</f>
        <v>Predominantly Urban</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Northamptonshire</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East Midlands</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86.158562537308995</v>
      </c>
      <c r="AY192" s="103"/>
      <c r="AZ192" s="21"/>
    </row>
    <row r="193" spans="1:52">
      <c r="A193" s="56" t="str">
        <f>$D$1&amp;183</f>
        <v>SD183</v>
      </c>
      <c r="B193" s="57">
        <f>IF(ISERROR(VLOOKUP(A193,classifications!A:C,3,FALSE)),0,VLOOKUP(A193,classifications!A:C,3,FALSE))</f>
        <v>0</v>
      </c>
      <c r="C193" s="8" t="s">
        <v>214</v>
      </c>
      <c r="D193" s="26" t="str">
        <f>VLOOKUP($C193,classifications!$C:$J,4,FALSE)</f>
        <v>L</v>
      </c>
      <c r="E193" s="26">
        <f>VLOOKUP(C193,classifications!C:K,9,FALSE)</f>
        <v>0</v>
      </c>
      <c r="F193" s="36">
        <f t="shared" si="50"/>
        <v>85.828588747647387</v>
      </c>
      <c r="G193" s="71"/>
      <c r="H193" s="37" t="str">
        <f t="shared" si="51"/>
        <v/>
      </c>
      <c r="I193" s="77" t="str">
        <f>IF(H193="","",IF($I$8="A",(RANK(H193,H$11:H$368,1)+COUNTIF(H$11:H193,H193)-1),(RANK(H193,H$11:H$368)+COUNTIF(H$11:H193,H193)-1)))</f>
        <v/>
      </c>
      <c r="J193" s="35"/>
      <c r="K193" s="28">
        <f t="shared" si="59"/>
        <v>183</v>
      </c>
      <c r="L193" s="36" t="str">
        <f t="shared" si="52"/>
        <v>Rugby</v>
      </c>
      <c r="M193" s="102">
        <f t="shared" si="60"/>
        <v>75.92105706500837</v>
      </c>
      <c r="N193" s="101">
        <f t="shared" si="61"/>
        <v>75.92105706500837</v>
      </c>
      <c r="O193" s="94" t="str">
        <f t="shared" si="53"/>
        <v/>
      </c>
      <c r="P193" s="94" t="str">
        <f t="shared" si="68"/>
        <v/>
      </c>
      <c r="Q193" s="94" t="str">
        <f t="shared" si="69"/>
        <v/>
      </c>
      <c r="R193" s="90">
        <f t="shared" si="70"/>
        <v>75.92105706500837</v>
      </c>
      <c r="S193" s="37" t="str">
        <f t="shared" si="62"/>
        <v/>
      </c>
      <c r="T193" s="176" t="str">
        <f>IF(L193="","",VLOOKUP(L193,classifications!C:K,9,FALSE))</f>
        <v>Sparse</v>
      </c>
      <c r="U193" s="183">
        <f t="shared" si="54"/>
        <v>75.92105706500837</v>
      </c>
      <c r="V193" s="184">
        <f>IF(U193="","",IF($I$8="A",(RANK(U193,U$11:U$368)+COUNTIF(U$11:U193,U193)-1),(RANK(U193,U$11:U$368,1)+COUNTIF(U$11:U193,U193)-1)))</f>
        <v>3</v>
      </c>
      <c r="W193" s="185"/>
      <c r="X193" s="38" t="str">
        <f>IF(L193="","",VLOOKUP($L193,classifications!$C:$J,6,FALSE))</f>
        <v>Urban with City and Town</v>
      </c>
      <c r="Y193" s="26" t="str">
        <f t="shared" si="55"/>
        <v/>
      </c>
      <c r="Z193" s="34" t="str">
        <f>IF(Y193="","",IF(I$8="A",(RANK(Y193,Y$11:Y$368,1)+COUNTIF(Y$11:Y193,Y193)-1),(RANK(Y193,Y$11:Y$368)+COUNTIF(Y$11:Y193,Y193)-1)))</f>
        <v/>
      </c>
      <c r="AA193" s="188" t="str">
        <f>IF(L193="","",VLOOKUP($L193,classifications!C:I,7,FALSE))</f>
        <v>Predominantly Urban</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Warwickshire</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West Midlands</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85.828588747647387</v>
      </c>
      <c r="AY193" s="103"/>
      <c r="AZ193" s="21"/>
    </row>
    <row r="194" spans="1:52">
      <c r="A194" s="56" t="str">
        <f>$D$1&amp;184</f>
        <v>SD184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87.858171031059385</v>
      </c>
      <c r="G194" s="71"/>
      <c r="H194" s="37">
        <f t="shared" si="51"/>
        <v>87.858171031059385</v>
      </c>
      <c r="I194" s="77">
        <f>IF(H194="","",IF($I$8="A",(RANK(H194,H$11:H$368,1)+COUNTIF(H$11:H194,H194)-1),(RANK(H194,H$11:H$368)+COUNTIF(H$11:H194,H194)-1)))</f>
        <v>11</v>
      </c>
      <c r="J194" s="35"/>
      <c r="K194" s="28">
        <f t="shared" si="59"/>
        <v>184</v>
      </c>
      <c r="L194" s="36" t="str">
        <f t="shared" si="52"/>
        <v>Pendle</v>
      </c>
      <c r="M194" s="102">
        <f t="shared" si="60"/>
        <v>75.635752488429077</v>
      </c>
      <c r="N194" s="101">
        <f t="shared" si="61"/>
        <v>75.635752488429077</v>
      </c>
      <c r="O194" s="94" t="str">
        <f t="shared" si="53"/>
        <v/>
      </c>
      <c r="P194" s="94" t="str">
        <f t="shared" si="68"/>
        <v/>
      </c>
      <c r="Q194" s="94" t="str">
        <f t="shared" si="69"/>
        <v/>
      </c>
      <c r="R194" s="90">
        <f t="shared" si="70"/>
        <v>75.635752488429077</v>
      </c>
      <c r="S194" s="37" t="str">
        <f t="shared" si="62"/>
        <v/>
      </c>
      <c r="T194" s="176">
        <f>IF(L194="","",VLOOKUP(L194,classifications!C:K,9,FALSE))</f>
        <v>0</v>
      </c>
      <c r="U194" s="183" t="str">
        <f t="shared" si="54"/>
        <v/>
      </c>
      <c r="V194" s="184" t="str">
        <f>IF(U194="","",IF($I$8="A",(RANK(U194,U$11:U$368)+COUNTIF(U$11:U194,U194)-1),(RANK(U194,U$11:U$368,1)+COUNTIF(U$11:U194,U194)-1)))</f>
        <v/>
      </c>
      <c r="W194" s="185"/>
      <c r="X194" s="38" t="str">
        <f>IF(L194="","",VLOOKUP($L194,classifications!$C:$J,6,FALSE))</f>
        <v>Urban with City and Town</v>
      </c>
      <c r="Y194" s="26" t="str">
        <f t="shared" si="55"/>
        <v/>
      </c>
      <c r="Z194" s="34" t="str">
        <f>IF(Y194="","",IF(I$8="A",(RANK(Y194,Y$11:Y$368,1)+COUNTIF(Y$11:Y194,Y194)-1),(RANK(Y194,Y$11:Y$368)+COUNTIF(Y$11:Y194,Y194)-1)))</f>
        <v/>
      </c>
      <c r="AA194" s="188" t="str">
        <f>IF(L194="","",VLOOKUP($L194,classifications!C:I,7,FALSE))</f>
        <v>Predominantly Urban</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Lancashire</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North West</v>
      </c>
      <c r="AQ194" s="39">
        <f t="shared" si="66"/>
        <v>75.635752488429077</v>
      </c>
      <c r="AR194" s="34">
        <f>IF(AQ194="","",IF(I$8="A",(RANK(AQ194,AQ$11:AQ$368,1)+COUNTIF(AQ$11:AQ194,AQ194)-1),(RANK(AQ194,AQ$11:AQ$368)+COUNTIF(AQ$11:AQ194,AQ194)-1)))</f>
        <v>17</v>
      </c>
      <c r="AS194" s="29" t="str">
        <f t="shared" si="67"/>
        <v/>
      </c>
      <c r="AT194" s="34" t="str">
        <f t="shared" si="58"/>
        <v/>
      </c>
      <c r="AU194" s="39" t="str">
        <f t="shared" si="71"/>
        <v/>
      </c>
      <c r="AX194" s="21">
        <f>HLOOKUP($AX$9&amp;$AX$10,Data!$A$1:$ZZ$2000,(MATCH($C194,Data!$A$1:$A$2000,0)),FALSE)</f>
        <v>87.858171031059385</v>
      </c>
      <c r="AY194" s="103"/>
      <c r="AZ194" s="21"/>
    </row>
    <row r="195" spans="1:52">
      <c r="A195" s="56" t="str">
        <f>$D$1&amp;185</f>
        <v>SD185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86.064138133544859</v>
      </c>
      <c r="G195" s="71"/>
      <c r="H195" s="37">
        <f t="shared" si="51"/>
        <v>86.064138133544859</v>
      </c>
      <c r="I195" s="77">
        <f>IF(H195="","",IF($I$8="A",(RANK(H195,H$11:H$368,1)+COUNTIF(H$11:H195,H195)-1),(RANK(H195,H$11:H$368)+COUNTIF(H$11:H195,H195)-1)))</f>
        <v>38</v>
      </c>
      <c r="J195" s="35"/>
      <c r="K195" s="28">
        <f t="shared" si="59"/>
        <v>185</v>
      </c>
      <c r="L195" s="36" t="str">
        <f t="shared" si="52"/>
        <v>Burnley</v>
      </c>
      <c r="M195" s="102">
        <f t="shared" si="60"/>
        <v>75.166170890927546</v>
      </c>
      <c r="N195" s="101">
        <f t="shared" si="61"/>
        <v>75.166170890927546</v>
      </c>
      <c r="O195" s="94" t="str">
        <f t="shared" si="53"/>
        <v/>
      </c>
      <c r="P195" s="94" t="str">
        <f t="shared" si="68"/>
        <v/>
      </c>
      <c r="Q195" s="94" t="str">
        <f t="shared" si="69"/>
        <v/>
      </c>
      <c r="R195" s="90">
        <f t="shared" si="70"/>
        <v>75.166170890927546</v>
      </c>
      <c r="S195" s="37" t="str">
        <f t="shared" si="62"/>
        <v/>
      </c>
      <c r="T195" s="176">
        <f>IF(L195="","",VLOOKUP(L195,classifications!C:K,9,FALSE))</f>
        <v>0</v>
      </c>
      <c r="U195" s="183" t="str">
        <f t="shared" si="54"/>
        <v/>
      </c>
      <c r="V195" s="184" t="str">
        <f>IF(U195="","",IF($I$8="A",(RANK(U195,U$11:U$368)+COUNTIF(U$11:U195,U195)-1),(RANK(U195,U$11:U$368,1)+COUNTIF(U$11:U195,U195)-1)))</f>
        <v/>
      </c>
      <c r="W195" s="185"/>
      <c r="X195" s="38" t="str">
        <f>IF(L195="","",VLOOKUP($L195,classifications!$C:$J,6,FALSE))</f>
        <v>Urban with City and Town</v>
      </c>
      <c r="Y195" s="26" t="str">
        <f t="shared" si="55"/>
        <v/>
      </c>
      <c r="Z195" s="34" t="str">
        <f>IF(Y195="","",IF(I$8="A",(RANK(Y195,Y$11:Y$368,1)+COUNTIF(Y$11:Y195,Y195)-1),(RANK(Y195,Y$11:Y$368)+COUNTIF(Y$11:Y195,Y195)-1)))</f>
        <v/>
      </c>
      <c r="AA195" s="188" t="str">
        <f>IF(L195="","",VLOOKUP($L195,classifications!C:I,7,FALSE))</f>
        <v>Predominantly Urban</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Lancashire</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North West</v>
      </c>
      <c r="AQ195" s="39">
        <f t="shared" si="66"/>
        <v>75.166170890927546</v>
      </c>
      <c r="AR195" s="34">
        <f>IF(AQ195="","",IF(I$8="A",(RANK(AQ195,AQ$11:AQ$368,1)+COUNTIF(AQ$11:AQ195,AQ195)-1),(RANK(AQ195,AQ$11:AQ$368)+COUNTIF(AQ$11:AQ195,AQ195)-1)))</f>
        <v>18</v>
      </c>
      <c r="AS195" s="29" t="str">
        <f t="shared" si="67"/>
        <v/>
      </c>
      <c r="AT195" s="34" t="str">
        <f t="shared" si="58"/>
        <v/>
      </c>
      <c r="AU195" s="39" t="str">
        <f t="shared" si="71"/>
        <v/>
      </c>
      <c r="AX195" s="21">
        <f>HLOOKUP($AX$9&amp;$AX$10,Data!$A$1:$ZZ$2000,(MATCH($C195,Data!$A$1:$A$2000,0)),FALSE)</f>
        <v>86.064138133544859</v>
      </c>
      <c r="AY195" s="103"/>
      <c r="AZ195" s="21"/>
    </row>
    <row r="196" spans="1:52">
      <c r="A196" s="56" t="str">
        <f>$D$1&amp;186</f>
        <v>SD186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88.090950078857276</v>
      </c>
      <c r="G196" s="71"/>
      <c r="H196" s="37">
        <f t="shared" si="51"/>
        <v>88.090950078857276</v>
      </c>
      <c r="I196" s="77">
        <f>IF(H196="","",IF($I$8="A",(RANK(H196,H$11:H$368,1)+COUNTIF(H$11:H196,H196)-1),(RANK(H196,H$11:H$368)+COUNTIF(H$11:H196,H196)-1)))</f>
        <v>10</v>
      </c>
      <c r="J196" s="35"/>
      <c r="K196" s="28">
        <f t="shared" si="59"/>
        <v>186</v>
      </c>
      <c r="L196" s="36" t="str">
        <f t="shared" si="52"/>
        <v>Mansfield</v>
      </c>
      <c r="M196" s="102">
        <f t="shared" si="60"/>
        <v>74.692429033356589</v>
      </c>
      <c r="N196" s="101">
        <f t="shared" si="61"/>
        <v>74.692429033356589</v>
      </c>
      <c r="O196" s="94" t="str">
        <f t="shared" si="53"/>
        <v/>
      </c>
      <c r="P196" s="94" t="str">
        <f t="shared" si="68"/>
        <v/>
      </c>
      <c r="Q196" s="94" t="str">
        <f t="shared" si="69"/>
        <v/>
      </c>
      <c r="R196" s="90">
        <f t="shared" si="70"/>
        <v>74.692429033356589</v>
      </c>
      <c r="S196" s="37" t="str">
        <f t="shared" si="62"/>
        <v/>
      </c>
      <c r="T196" s="176">
        <f>IF(L196="","",VLOOKUP(L196,classifications!C:K,9,FALSE))</f>
        <v>0</v>
      </c>
      <c r="U196" s="183" t="str">
        <f t="shared" si="54"/>
        <v/>
      </c>
      <c r="V196" s="184" t="str">
        <f>IF(U196="","",IF($I$8="A",(RANK(U196,U$11:U$368)+COUNTIF(U$11:U196,U196)-1),(RANK(U196,U$11:U$368,1)+COUNTIF(U$11:U196,U196)-1)))</f>
        <v/>
      </c>
      <c r="W196" s="185"/>
      <c r="X196" s="38" t="str">
        <f>IF(L196="","",VLOOKUP($L196,classifications!$C:$J,6,FALSE))</f>
        <v>Urban with City and Town</v>
      </c>
      <c r="Y196" s="26" t="str">
        <f t="shared" si="55"/>
        <v/>
      </c>
      <c r="Z196" s="34" t="str">
        <f>IF(Y196="","",IF(I$8="A",(RANK(Y196,Y$11:Y$368,1)+COUNTIF(Y$11:Y196,Y196)-1),(RANK(Y196,Y$11:Y$368)+COUNTIF(Y$11:Y196,Y196)-1)))</f>
        <v/>
      </c>
      <c r="AA196" s="188" t="str">
        <f>IF(L196="","",VLOOKUP($L196,classifications!C:I,7,FALSE))</f>
        <v>Predominantly Urban</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Nottinghamshire</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East Midlands</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88.090950078857276</v>
      </c>
      <c r="AY196" s="103"/>
      <c r="AZ196" s="21"/>
    </row>
    <row r="197" spans="1:52">
      <c r="A197" s="56" t="str">
        <f>$D$1&amp;187</f>
        <v>SD187</v>
      </c>
      <c r="B197" s="57">
        <f>IF(ISERROR(VLOOKUP(A197,classifications!A:C,3,FALSE)),0,VLOOKUP(A197,classifications!A:C,3,FALSE))</f>
        <v>0</v>
      </c>
      <c r="C197" s="8" t="s">
        <v>274</v>
      </c>
      <c r="D197" s="26" t="str">
        <f>VLOOKUP($C197,classifications!$C:$J,4,FALSE)</f>
        <v>UA</v>
      </c>
      <c r="E197" s="26">
        <f>VLOOKUP(C197,classifications!C:K,9,FALSE)</f>
        <v>0</v>
      </c>
      <c r="F197" s="36">
        <f t="shared" si="50"/>
        <v>71.31898618016173</v>
      </c>
      <c r="G197" s="71"/>
      <c r="H197" s="37" t="str">
        <f t="shared" si="51"/>
        <v/>
      </c>
      <c r="I197" s="77" t="str">
        <f>IF(H197="","",IF($I$8="A",(RANK(H197,H$11:H$368,1)+COUNTIF(H$11:H197,H197)-1),(RANK(H197,H$11:H$368)+COUNTIF(H$11:H197,H197)-1)))</f>
        <v/>
      </c>
      <c r="J197" s="35"/>
      <c r="K197" s="28">
        <f t="shared" si="59"/>
        <v>187</v>
      </c>
      <c r="L197" s="36" t="str">
        <f t="shared" si="52"/>
        <v>South Holland</v>
      </c>
      <c r="M197" s="102">
        <f t="shared" si="60"/>
        <v>74.535433975926495</v>
      </c>
      <c r="N197" s="101">
        <f t="shared" si="61"/>
        <v>74.535433975926495</v>
      </c>
      <c r="O197" s="94" t="str">
        <f t="shared" si="53"/>
        <v/>
      </c>
      <c r="P197" s="94" t="str">
        <f t="shared" si="68"/>
        <v/>
      </c>
      <c r="Q197" s="94" t="str">
        <f t="shared" si="69"/>
        <v/>
      </c>
      <c r="R197" s="90">
        <f t="shared" si="70"/>
        <v>74.535433975926495</v>
      </c>
      <c r="S197" s="37" t="str">
        <f t="shared" si="62"/>
        <v/>
      </c>
      <c r="T197" s="176" t="str">
        <f>IF(L197="","",VLOOKUP(L197,classifications!C:K,9,FALSE))</f>
        <v>Sparse</v>
      </c>
      <c r="U197" s="183">
        <f t="shared" si="54"/>
        <v>74.535433975926495</v>
      </c>
      <c r="V197" s="184">
        <f>IF(U197="","",IF($I$8="A",(RANK(U197,U$11:U$368)+COUNTIF(U$11:U197,U197)-1),(RANK(U197,U$11:U$368,1)+COUNTIF(U$11:U197,U197)-1)))</f>
        <v>2</v>
      </c>
      <c r="W197" s="185"/>
      <c r="X197" s="38" t="str">
        <f>IF(L197="","",VLOOKUP($L197,classifications!$C:$J,6,FALSE))</f>
        <v xml:space="preserve">Largely Rural (rural including hub towns 50-79%) </v>
      </c>
      <c r="Y197" s="26" t="str">
        <f t="shared" si="55"/>
        <v/>
      </c>
      <c r="Z197" s="34" t="str">
        <f>IF(Y197="","",IF(I$8="A",(RANK(Y197,Y$11:Y$368,1)+COUNTIF(Y$11:Y197,Y197)-1),(RANK(Y197,Y$11:Y$368)+COUNTIF(Y$11:Y197,Y197)-1)))</f>
        <v/>
      </c>
      <c r="AA197" s="188" t="str">
        <f>IF(L197="","",VLOOKUP($L197,classifications!C:I,7,FALSE))</f>
        <v>Predominantly Rural</v>
      </c>
      <c r="AB197" s="184">
        <f t="shared" si="63"/>
        <v>74.535433975926495</v>
      </c>
      <c r="AC197" s="184">
        <f>IF(AB197="","",IF($I$8="A",(RANK(AB197,AB$11:AB$368)+COUNTIF(AB$11:AB197,AB197)-1),(RANK(AB197,AB$11:AB$368,1)+COUNTIF(AB$11:AB197,AB197)-1)))</f>
        <v>2</v>
      </c>
      <c r="AD197" s="184"/>
      <c r="AE197" s="28" t="str">
        <f t="shared" si="72"/>
        <v/>
      </c>
      <c r="AG197" s="96"/>
      <c r="AH197" s="29"/>
      <c r="AI197" s="38" t="str">
        <f>IF(L197="","",VLOOKUP($L197,classifications!$C:$J,8,FALSE))</f>
        <v>Lincolnshire</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East Midlands</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71.31898618016173</v>
      </c>
      <c r="AY197" s="103"/>
      <c r="AZ197" s="21"/>
    </row>
    <row r="198" spans="1:52">
      <c r="A198" s="56" t="str">
        <f>$D$1&amp;188</f>
        <v>SD188</v>
      </c>
      <c r="B198" s="57">
        <f>IF(ISERROR(VLOOKUP(A198,classifications!A:C,3,FALSE)),0,VLOOKUP(A198,classifications!A:C,3,FALSE))</f>
        <v>0</v>
      </c>
      <c r="C198" s="8" t="s">
        <v>275</v>
      </c>
      <c r="D198" s="26" t="str">
        <f>VLOOKUP($C198,classifications!$C:$J,4,FALSE)</f>
        <v>UA</v>
      </c>
      <c r="E198" s="26">
        <f>VLOOKUP(C198,classifications!C:K,9,FALSE)</f>
        <v>0</v>
      </c>
      <c r="F198" s="36">
        <f t="shared" si="50"/>
        <v>86.259907299488788</v>
      </c>
      <c r="G198" s="71"/>
      <c r="H198" s="37" t="str">
        <f t="shared" si="51"/>
        <v/>
      </c>
      <c r="I198" s="77" t="str">
        <f>IF(H198="","",IF($I$8="A",(RANK(H198,H$11:H$368,1)+COUNTIF(H$11:H198,H198)-1),(RANK(H198,H$11:H$368)+COUNTIF(H$11:H198,H198)-1)))</f>
        <v/>
      </c>
      <c r="J198" s="35"/>
      <c r="K198" s="28">
        <f t="shared" si="59"/>
        <v>188</v>
      </c>
      <c r="L198" s="36" t="str">
        <f t="shared" si="52"/>
        <v>Corby</v>
      </c>
      <c r="M198" s="102">
        <f t="shared" si="60"/>
        <v>74.465846906570832</v>
      </c>
      <c r="N198" s="101">
        <f t="shared" si="61"/>
        <v>74.465846906570832</v>
      </c>
      <c r="O198" s="94" t="str">
        <f t="shared" si="53"/>
        <v/>
      </c>
      <c r="P198" s="94" t="str">
        <f t="shared" si="68"/>
        <v/>
      </c>
      <c r="Q198" s="94" t="str">
        <f t="shared" si="69"/>
        <v/>
      </c>
      <c r="R198" s="90">
        <f t="shared" si="70"/>
        <v>74.465846906570832</v>
      </c>
      <c r="S198" s="37" t="str">
        <f t="shared" si="62"/>
        <v/>
      </c>
      <c r="T198" s="176">
        <f>IF(L198="","",VLOOKUP(L198,classifications!C:K,9,FALSE))</f>
        <v>0</v>
      </c>
      <c r="U198" s="183" t="str">
        <f t="shared" si="54"/>
        <v/>
      </c>
      <c r="V198" s="184" t="str">
        <f>IF(U198="","",IF($I$8="A",(RANK(U198,U$11:U$368)+COUNTIF(U$11:U198,U198)-1),(RANK(U198,U$11:U$368,1)+COUNTIF(U$11:U198,U198)-1)))</f>
        <v/>
      </c>
      <c r="W198" s="185"/>
      <c r="X198" s="38" t="str">
        <f>IF(L198="","",VLOOKUP($L198,classifications!$C:$J,6,FALSE))</f>
        <v>Urban with City and Town</v>
      </c>
      <c r="Y198" s="26" t="str">
        <f t="shared" si="55"/>
        <v/>
      </c>
      <c r="Z198" s="34" t="str">
        <f>IF(Y198="","",IF(I$8="A",(RANK(Y198,Y$11:Y$368,1)+COUNTIF(Y$11:Y198,Y198)-1),(RANK(Y198,Y$11:Y$368)+COUNTIF(Y$11:Y198,Y198)-1)))</f>
        <v/>
      </c>
      <c r="AA198" s="188" t="str">
        <f>IF(L198="","",VLOOKUP($L198,classifications!C:I,7,FALSE))</f>
        <v>Predominantly Urban</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Northamptonshire</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East Midlands</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86.259907299488788</v>
      </c>
      <c r="AY198" s="103"/>
      <c r="AZ198" s="21"/>
    </row>
    <row r="199" spans="1:52">
      <c r="A199" s="56" t="str">
        <f>$D$1&amp;189</f>
        <v>SD189</v>
      </c>
      <c r="B199" s="57">
        <f>IF(ISERROR(VLOOKUP(A199,classifications!A:C,3,FALSE)),0,VLOOKUP(A199,classifications!A:C,3,FALSE))</f>
        <v>0</v>
      </c>
      <c r="C199" s="8" t="s">
        <v>105</v>
      </c>
      <c r="D199" s="26" t="str">
        <f>VLOOKUP($C199,classifications!$C:$J,4,FALSE)</f>
        <v>SD</v>
      </c>
      <c r="E199" s="26">
        <f>VLOOKUP(C199,classifications!C:K,9,FALSE)</f>
        <v>0</v>
      </c>
      <c r="F199" s="36">
        <f t="shared" si="50"/>
        <v>87.778055448573227</v>
      </c>
      <c r="G199" s="71"/>
      <c r="H199" s="37">
        <f t="shared" si="51"/>
        <v>87.778055448573227</v>
      </c>
      <c r="I199" s="77">
        <f>IF(H199="","",IF($I$8="A",(RANK(H199,H$11:H$368,1)+COUNTIF(H$11:H199,H199)-1),(RANK(H199,H$11:H$368)+COUNTIF(H$11:H199,H199)-1)))</f>
        <v>13</v>
      </c>
      <c r="J199" s="35"/>
      <c r="K199" s="28">
        <f t="shared" si="59"/>
        <v>189</v>
      </c>
      <c r="L199" s="36" t="str">
        <f t="shared" si="52"/>
        <v>Nuneaton &amp; Bedworth</v>
      </c>
      <c r="M199" s="102">
        <f t="shared" si="60"/>
        <v>74.132264342587916</v>
      </c>
      <c r="N199" s="101">
        <f t="shared" si="61"/>
        <v>74.132264342587916</v>
      </c>
      <c r="O199" s="94" t="str">
        <f t="shared" si="53"/>
        <v/>
      </c>
      <c r="P199" s="94" t="str">
        <f t="shared" si="68"/>
        <v/>
      </c>
      <c r="Q199" s="94" t="str">
        <f t="shared" si="69"/>
        <v/>
      </c>
      <c r="R199" s="90">
        <f t="shared" si="70"/>
        <v>74.132264342587916</v>
      </c>
      <c r="S199" s="37" t="str">
        <f t="shared" si="62"/>
        <v/>
      </c>
      <c r="T199" s="176">
        <f>IF(L199="","",VLOOKUP(L199,classifications!C:K,9,FALSE))</f>
        <v>0</v>
      </c>
      <c r="U199" s="183" t="str">
        <f t="shared" si="54"/>
        <v/>
      </c>
      <c r="V199" s="184" t="str">
        <f>IF(U199="","",IF($I$8="A",(RANK(U199,U$11:U$368)+COUNTIF(U$11:U199,U199)-1),(RANK(U199,U$11:U$368,1)+COUNTIF(U$11:U199,U199)-1)))</f>
        <v/>
      </c>
      <c r="W199" s="185"/>
      <c r="X199" s="38" t="str">
        <f>IF(L199="","",VLOOKUP($L199,classifications!$C:$J,6,FALSE))</f>
        <v>Urban with City and Town</v>
      </c>
      <c r="Y199" s="26" t="str">
        <f t="shared" si="55"/>
        <v/>
      </c>
      <c r="Z199" s="34" t="str">
        <f>IF(Y199="","",IF(I$8="A",(RANK(Y199,Y$11:Y$368,1)+COUNTIF(Y$11:Y199,Y199)-1),(RANK(Y199,Y$11:Y$368)+COUNTIF(Y$11:Y199,Y199)-1)))</f>
        <v/>
      </c>
      <c r="AA199" s="188" t="str">
        <f>IF(L199="","",VLOOKUP($L199,classifications!C:I,7,FALSE))</f>
        <v>Predominantly Urban</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Warwickshire</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West Midlands</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87.778055448573227</v>
      </c>
      <c r="AY199" s="103"/>
      <c r="AZ199" s="21"/>
    </row>
    <row r="200" spans="1:52">
      <c r="A200" s="56" t="str">
        <f>$D$1&amp;190</f>
        <v>SD190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85.574582674005825</v>
      </c>
      <c r="G200" s="71"/>
      <c r="H200" s="37">
        <f t="shared" si="51"/>
        <v>85.574582674005825</v>
      </c>
      <c r="I200" s="77">
        <f>IF(H200="","",IF($I$8="A",(RANK(H200,H$11:H$368,1)+COUNTIF(H$11:H200,H200)-1),(RANK(H200,H$11:H$368)+COUNTIF(H$11:H200,H200)-1)))</f>
        <v>42</v>
      </c>
      <c r="J200" s="35"/>
      <c r="K200" s="28">
        <f t="shared" si="59"/>
        <v>190</v>
      </c>
      <c r="L200" s="36" t="str">
        <f t="shared" si="52"/>
        <v>Crawley</v>
      </c>
      <c r="M200" s="102">
        <f t="shared" si="60"/>
        <v>73.409718940341691</v>
      </c>
      <c r="N200" s="101">
        <f t="shared" si="61"/>
        <v>73.409718940341691</v>
      </c>
      <c r="O200" s="94" t="str">
        <f t="shared" si="53"/>
        <v/>
      </c>
      <c r="P200" s="94" t="str">
        <f t="shared" si="68"/>
        <v/>
      </c>
      <c r="Q200" s="94" t="str">
        <f t="shared" si="69"/>
        <v/>
      </c>
      <c r="R200" s="90">
        <f t="shared" si="70"/>
        <v>73.409718940341691</v>
      </c>
      <c r="S200" s="37" t="str">
        <f t="shared" si="62"/>
        <v/>
      </c>
      <c r="T200" s="176">
        <f>IF(L200="","",VLOOKUP(L200,classifications!C:K,9,FALSE))</f>
        <v>0</v>
      </c>
      <c r="U200" s="183" t="str">
        <f t="shared" si="54"/>
        <v/>
      </c>
      <c r="V200" s="184" t="str">
        <f>IF(U200="","",IF($I$8="A",(RANK(U200,U$11:U$368)+COUNTIF(U$11:U200,U200)-1),(RANK(U200,U$11:U$368,1)+COUNTIF(U$11:U200,U200)-1)))</f>
        <v/>
      </c>
      <c r="W200" s="185"/>
      <c r="X200" s="38" t="str">
        <f>IF(L200="","",VLOOKUP($L200,classifications!$C:$J,6,FALSE))</f>
        <v>Urban with City and Town</v>
      </c>
      <c r="Y200" s="26" t="str">
        <f t="shared" si="55"/>
        <v/>
      </c>
      <c r="Z200" s="34" t="str">
        <f>IF(Y200="","",IF(I$8="A",(RANK(Y200,Y$11:Y$368,1)+COUNTIF(Y$11:Y200,Y200)-1),(RANK(Y200,Y$11:Y$368)+COUNTIF(Y$11:Y200,Y200)-1)))</f>
        <v/>
      </c>
      <c r="AA200" s="188" t="str">
        <f>IF(L200="","",VLOOKUP($L200,classifications!C:I,7,FALSE))</f>
        <v>Predominantly Urban</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West Sussex</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South East</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85.574582674005825</v>
      </c>
      <c r="AY200" s="103"/>
      <c r="AZ200" s="21"/>
    </row>
    <row r="201" spans="1:52">
      <c r="A201" s="56" t="str">
        <f>$D$1&amp;191</f>
        <v>SD191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80.124545311152787</v>
      </c>
      <c r="G201" s="71"/>
      <c r="H201" s="37">
        <f t="shared" si="51"/>
        <v>80.124545311152787</v>
      </c>
      <c r="I201" s="77">
        <f>IF(H201="","",IF($I$8="A",(RANK(H201,H$11:H$368,1)+COUNTIF(H$11:H201,H201)-1),(RANK(H201,H$11:H$368)+COUNTIF(H$11:H201,H201)-1)))</f>
        <v>143</v>
      </c>
      <c r="J201" s="35"/>
      <c r="K201" s="28">
        <f t="shared" si="59"/>
        <v>191</v>
      </c>
      <c r="L201" s="36" t="str">
        <f t="shared" si="52"/>
        <v>Harlow</v>
      </c>
      <c r="M201" s="102">
        <f t="shared" si="60"/>
        <v>73.035481687795397</v>
      </c>
      <c r="N201" s="101">
        <f t="shared" si="61"/>
        <v>73.035481687795397</v>
      </c>
      <c r="O201" s="94" t="str">
        <f t="shared" si="53"/>
        <v/>
      </c>
      <c r="P201" s="94" t="str">
        <f t="shared" si="68"/>
        <v/>
      </c>
      <c r="Q201" s="94" t="str">
        <f t="shared" si="69"/>
        <v/>
      </c>
      <c r="R201" s="90">
        <f t="shared" si="70"/>
        <v>73.035481687795397</v>
      </c>
      <c r="S201" s="37" t="str">
        <f t="shared" si="62"/>
        <v/>
      </c>
      <c r="T201" s="176">
        <f>IF(L201="","",VLOOKUP(L201,classifications!C:K,9,FALSE))</f>
        <v>0</v>
      </c>
      <c r="U201" s="183" t="str">
        <f t="shared" si="54"/>
        <v/>
      </c>
      <c r="V201" s="184" t="str">
        <f>IF(U201="","",IF($I$8="A",(RANK(U201,U$11:U$368)+COUNTIF(U$11:U201,U201)-1),(RANK(U201,U$11:U$368,1)+COUNTIF(U$11:U201,U201)-1)))</f>
        <v/>
      </c>
      <c r="W201" s="185"/>
      <c r="X201" s="38" t="str">
        <f>IF(L201="","",VLOOKUP($L201,classifications!$C:$J,6,FALSE))</f>
        <v>Urban with City and Town</v>
      </c>
      <c r="Y201" s="26" t="str">
        <f t="shared" si="55"/>
        <v/>
      </c>
      <c r="Z201" s="34" t="str">
        <f>IF(Y201="","",IF(I$8="A",(RANK(Y201,Y$11:Y$368,1)+COUNTIF(Y$11:Y201,Y201)-1),(RANK(Y201,Y$11:Y$368)+COUNTIF(Y$11:Y201,Y201)-1)))</f>
        <v/>
      </c>
      <c r="AA201" s="188" t="str">
        <f>IF(L201="","",VLOOKUP($L201,classifications!C:I,7,FALSE))</f>
        <v>Predominantly Urban</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Essex</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East of England</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80.124545311152787</v>
      </c>
      <c r="AY201" s="103"/>
      <c r="AZ201" s="21"/>
    </row>
    <row r="202" spans="1:52">
      <c r="A202" s="56" t="str">
        <f>$D$1&amp;192</f>
        <v>SD192</v>
      </c>
      <c r="B202" s="57">
        <f>IF(ISERROR(VLOOKUP(A202,classifications!A:C,3,FALSE)),0,VLOOKUP(A202,classifications!A:C,3,FALSE))</f>
        <v>0</v>
      </c>
      <c r="C202" s="8" t="s">
        <v>237</v>
      </c>
      <c r="D202" s="26" t="str">
        <f>VLOOKUP($C202,classifications!$C:$J,4,FALSE)</f>
        <v>MD</v>
      </c>
      <c r="E202" s="26">
        <f>VLOOKUP(C202,classifications!C:K,9,FALSE)</f>
        <v>0</v>
      </c>
      <c r="F202" s="36">
        <f t="shared" si="50"/>
        <v>80.690088061195226</v>
      </c>
      <c r="G202" s="71"/>
      <c r="H202" s="37" t="str">
        <f t="shared" si="51"/>
        <v/>
      </c>
      <c r="I202" s="77" t="str">
        <f>IF(H202="","",IF($I$8="A",(RANK(H202,H$11:H$368,1)+COUNTIF(H$11:H202,H202)-1),(RANK(H202,H$11:H$368)+COUNTIF(H$11:H202,H202)-1)))</f>
        <v/>
      </c>
      <c r="J202" s="35"/>
      <c r="K202" s="28">
        <f t="shared" si="59"/>
        <v>192</v>
      </c>
      <c r="L202" s="36" t="str">
        <f t="shared" si="52"/>
        <v>West Lindsey</v>
      </c>
      <c r="M202" s="102">
        <f t="shared" si="60"/>
        <v>72.682938952922342</v>
      </c>
      <c r="N202" s="101">
        <f t="shared" si="61"/>
        <v>72.682938952922342</v>
      </c>
      <c r="O202" s="94" t="str">
        <f t="shared" si="53"/>
        <v/>
      </c>
      <c r="P202" s="94" t="str">
        <f t="shared" si="68"/>
        <v/>
      </c>
      <c r="Q202" s="94" t="str">
        <f t="shared" si="69"/>
        <v/>
      </c>
      <c r="R202" s="90">
        <f t="shared" si="70"/>
        <v>72.682938952922342</v>
      </c>
      <c r="S202" s="37" t="str">
        <f t="shared" si="62"/>
        <v/>
      </c>
      <c r="T202" s="176" t="str">
        <f>IF(L202="","",VLOOKUP(L202,classifications!C:K,9,FALSE))</f>
        <v>Sparse</v>
      </c>
      <c r="U202" s="183">
        <f t="shared" si="54"/>
        <v>72.682938952922342</v>
      </c>
      <c r="V202" s="184">
        <f>IF(U202="","",IF($I$8="A",(RANK(U202,U$11:U$368)+COUNTIF(U$11:U202,U202)-1),(RANK(U202,U$11:U$368,1)+COUNTIF(U$11:U202,U202)-1)))</f>
        <v>1</v>
      </c>
      <c r="W202" s="185"/>
      <c r="X202" s="38" t="str">
        <f>IF(L202="","",VLOOKUP($L202,classifications!$C:$J,6,FALSE))</f>
        <v xml:space="preserve">Mainly Rural (rural including hub towns &gt;=80%) </v>
      </c>
      <c r="Y202" s="26">
        <f t="shared" si="55"/>
        <v>72.682938952922342</v>
      </c>
      <c r="Z202" s="34">
        <f>IF(Y202="","",IF(I$8="A",(RANK(Y202,Y$11:Y$368,1)+COUNTIF(Y$11:Y202,Y202)-1),(RANK(Y202,Y$11:Y$368)+COUNTIF(Y$11:Y202,Y202)-1)))</f>
        <v>41</v>
      </c>
      <c r="AA202" s="188" t="str">
        <f>IF(L202="","",VLOOKUP($L202,classifications!C:I,7,FALSE))</f>
        <v>Predominantly Rural</v>
      </c>
      <c r="AB202" s="184">
        <f t="shared" si="63"/>
        <v>72.682938952922342</v>
      </c>
      <c r="AC202" s="184">
        <f>IF(AB202="","",IF($I$8="A",(RANK(AB202,AB$11:AB$368)+COUNTIF(AB$11:AB202,AB202)-1),(RANK(AB202,AB$11:AB$368,1)+COUNTIF(AB$11:AB202,AB202)-1)))</f>
        <v>1</v>
      </c>
      <c r="AD202" s="184"/>
      <c r="AE202" s="28" t="str">
        <f t="shared" si="72"/>
        <v/>
      </c>
      <c r="AG202" s="96"/>
      <c r="AH202" s="29"/>
      <c r="AI202" s="38" t="str">
        <f>IF(L202="","",VLOOKUP($L202,classifications!$C:$J,8,FALSE))</f>
        <v>Lincolnshire</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East Midlands</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80.690088061195226</v>
      </c>
      <c r="AY202" s="103"/>
      <c r="AZ202" s="21"/>
    </row>
    <row r="203" spans="1:52">
      <c r="A203" s="56" t="str">
        <f>$D$1&amp;193</f>
        <v>SD193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77.970266597016874</v>
      </c>
      <c r="G203" s="71"/>
      <c r="H203" s="37">
        <f t="shared" ref="H203:H266" si="74">IF(D203=$D$1,HLOOKUP($D$6,$AX$10:$ZZ$368,ROW()-9,FALSE),"")</f>
        <v>77.970266597016874</v>
      </c>
      <c r="I203" s="77">
        <f>IF(H203="","",IF($I$8="A",(RANK(H203,H$11:H$368,1)+COUNTIF(H$11:H203,H203)-1),(RANK(H203,H$11:H$368)+COUNTIF(H$11:H203,H203)-1)))</f>
        <v>164</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77.970266597016874</v>
      </c>
      <c r="AY203" s="103"/>
      <c r="AZ203" s="21"/>
    </row>
    <row r="204" spans="1:52">
      <c r="A204" s="56" t="str">
        <f>$D$1&amp;194</f>
        <v>SD194</v>
      </c>
      <c r="B204" s="57">
        <f>IF(ISERROR(VLOOKUP(A204,classifications!A:C,3,FALSE)),0,VLOOKUP(A204,classifications!A:C,3,FALSE))</f>
        <v>0</v>
      </c>
      <c r="C204" s="8" t="s">
        <v>215</v>
      </c>
      <c r="D204" s="26" t="str">
        <f>VLOOKUP($C204,classifications!$C:$J,4,FALSE)</f>
        <v>L</v>
      </c>
      <c r="E204" s="26">
        <f>VLOOKUP(C204,classifications!C:K,9,FALSE)</f>
        <v>0</v>
      </c>
      <c r="F204" s="36">
        <f t="shared" si="73"/>
        <v>79.226513527376213</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79.226513527376213</v>
      </c>
      <c r="AY204" s="103"/>
      <c r="AZ204" s="21"/>
    </row>
    <row r="205" spans="1:52">
      <c r="A205" s="56" t="str">
        <f>$D$1&amp;195</f>
        <v>SD195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81.75538355622308</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81.75538355622308</v>
      </c>
      <c r="AY205" s="103"/>
      <c r="AZ205" s="21"/>
    </row>
    <row r="206" spans="1:52">
      <c r="A206" s="56" t="str">
        <f>$D$1&amp;196</f>
        <v>SD196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81.713744611381074</v>
      </c>
      <c r="G206" s="71"/>
      <c r="H206" s="37">
        <f t="shared" si="74"/>
        <v>81.713744611381074</v>
      </c>
      <c r="I206" s="77">
        <f>IF(H206="","",IF($I$8="A",(RANK(H206,H$11:H$368,1)+COUNTIF(H$11:H206,H206)-1),(RANK(H206,H$11:H$368)+COUNTIF(H$11:H206,H206)-1)))</f>
        <v>113</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81.713744611381074</v>
      </c>
      <c r="AY206" s="103"/>
      <c r="AZ206" s="21"/>
    </row>
    <row r="207" spans="1:52">
      <c r="A207" s="56" t="str">
        <f>$D$1&amp;197</f>
        <v>SD197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v>
      </c>
      <c r="I207" s="77" t="e">
        <f>IF(H207="","",IF($I$8="A",(RANK(H207,H$11:H$368,1)+COUNTIF(H$11:H207,H207)-1),(RANK(H207,H$11:H$368)+COUNTIF(H$11:H207,H207)-1)))</f>
        <v>#VALUE!</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SD198</v>
      </c>
      <c r="B208" s="57">
        <f>IF(ISERROR(VLOOKUP(A208,classifications!A:C,3,FALSE)),0,VLOOKUP(A208,classifications!A:C,3,FALSE))</f>
        <v>0</v>
      </c>
      <c r="C208" s="8" t="s">
        <v>110</v>
      </c>
      <c r="D208" s="26" t="str">
        <f>VLOOKUP($C208,classifications!$C:$J,4,FALSE)</f>
        <v>SD</v>
      </c>
      <c r="E208" s="26">
        <f>VLOOKUP(C208,classifications!C:K,9,FALSE)</f>
        <v>0</v>
      </c>
      <c r="F208" s="36">
        <f t="shared" si="73"/>
        <v>82.305033352848682</v>
      </c>
      <c r="G208" s="71"/>
      <c r="H208" s="37">
        <f t="shared" si="74"/>
        <v>82.305033352848682</v>
      </c>
      <c r="I208" s="77">
        <f>IF(H208="","",IF($I$8="A",(RANK(H208,H$11:H$368,1)+COUNTIF(H$11:H208,H208)-1),(RANK(H208,H$11:H$368)+COUNTIF(H$11:H208,H208)-1)))</f>
        <v>100</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82.305033352848682</v>
      </c>
      <c r="AY208" s="103"/>
      <c r="AZ208" s="21"/>
    </row>
    <row r="209" spans="1:52">
      <c r="A209" s="56" t="str">
        <f>$D$1&amp;199</f>
        <v>SD199</v>
      </c>
      <c r="B209" s="57">
        <f>IF(ISERROR(VLOOKUP(A209,classifications!A:C,3,FALSE)),0,VLOOKUP(A209,classifications!A:C,3,FALSE))</f>
        <v>0</v>
      </c>
      <c r="C209" s="8" t="s">
        <v>276</v>
      </c>
      <c r="D209" s="26" t="str">
        <f>VLOOKUP($C209,classifications!$C:$J,4,FALSE)</f>
        <v>UA</v>
      </c>
      <c r="E209" s="26">
        <f>VLOOKUP(C209,classifications!C:K,9,FALSE)</f>
        <v>0</v>
      </c>
      <c r="F209" s="36">
        <f t="shared" si="73"/>
        <v>74.110753457806638</v>
      </c>
      <c r="G209" s="71"/>
      <c r="H209" s="37" t="str">
        <f t="shared" si="74"/>
        <v/>
      </c>
      <c r="I209" s="77" t="str">
        <f>IF(H209="","",IF($I$8="A",(RANK(H209,H$11:H$368,1)+COUNTIF(H$11:H209,H209)-1),(RANK(H209,H$11:H$368)+COUNTIF(H$11:H209,H209)-1)))</f>
        <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74.110753457806638</v>
      </c>
      <c r="AY209" s="103"/>
      <c r="AZ209" s="21"/>
    </row>
    <row r="210" spans="1:52">
      <c r="A210" s="56" t="str">
        <f>$D$1&amp;200</f>
        <v>SD200</v>
      </c>
      <c r="B210" s="57">
        <f>IF(ISERROR(VLOOKUP(A210,classifications!A:C,3,FALSE)),0,VLOOKUP(A210,classifications!A:C,3,FALSE))</f>
        <v>0</v>
      </c>
      <c r="C210" s="8" t="s">
        <v>111</v>
      </c>
      <c r="D210" s="26" t="str">
        <f>VLOOKUP($C210,classifications!$C:$J,4,FALSE)</f>
        <v>SD</v>
      </c>
      <c r="E210" s="26">
        <f>VLOOKUP(C210,classifications!C:K,9,FALSE)</f>
        <v>0</v>
      </c>
      <c r="F210" s="36">
        <f t="shared" si="73"/>
        <v>87.469177998201303</v>
      </c>
      <c r="G210" s="71"/>
      <c r="H210" s="37">
        <f t="shared" si="74"/>
        <v>87.469177998201303</v>
      </c>
      <c r="I210" s="77">
        <f>IF(H210="","",IF($I$8="A",(RANK(H210,H$11:H$368,1)+COUNTIF(H$11:H210,H210)-1),(RANK(H210,H$11:H$368)+COUNTIF(H$11:H210,H210)-1)))</f>
        <v>18</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87.469177998201303</v>
      </c>
      <c r="AY210" s="103"/>
      <c r="AZ210" s="21"/>
    </row>
    <row r="211" spans="1:52">
      <c r="A211" s="56" t="str">
        <f>$D$1&amp;201</f>
        <v>SD201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81.826191824274247</v>
      </c>
      <c r="G211" s="71"/>
      <c r="H211" s="37">
        <f t="shared" si="74"/>
        <v>81.826191824274247</v>
      </c>
      <c r="I211" s="77">
        <f>IF(H211="","",IF($I$8="A",(RANK(H211,H$11:H$368,1)+COUNTIF(H$11:H211,H211)-1),(RANK(H211,H$11:H$368)+COUNTIF(H$11:H211,H211)-1)))</f>
        <v>111</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81.826191824274247</v>
      </c>
      <c r="AY211" s="103"/>
      <c r="AZ211" s="21"/>
    </row>
    <row r="212" spans="1:52">
      <c r="A212" s="56" t="str">
        <f>$D$1&amp;202</f>
        <v>SD202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75.210789842839205</v>
      </c>
      <c r="G212" s="71"/>
      <c r="H212" s="37" t="str">
        <f t="shared" si="74"/>
        <v/>
      </c>
      <c r="I212" s="77" t="str">
        <f>IF(H212="","",IF($I$8="A",(RANK(H212,H$11:H$368,1)+COUNTIF(H$11:H212,H212)-1),(RANK(H212,H$11:H$368)+COUNTIF(H$11:H212,H212)-1)))</f>
        <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75.210789842839205</v>
      </c>
      <c r="AY212" s="103"/>
      <c r="AZ212" s="21"/>
    </row>
    <row r="213" spans="1:52">
      <c r="A213" s="56" t="str">
        <f>$D$1&amp;203</f>
        <v>SD203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83.964601414595634</v>
      </c>
      <c r="G213" s="71"/>
      <c r="H213" s="37">
        <f t="shared" si="74"/>
        <v>83.964601414595634</v>
      </c>
      <c r="I213" s="77">
        <f>IF(H213="","",IF($I$8="A",(RANK(H213,H$11:H$368,1)+COUNTIF(H$11:H213,H213)-1),(RANK(H213,H$11:H$368)+COUNTIF(H$11:H213,H213)-1)))</f>
        <v>65</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83.964601414595634</v>
      </c>
      <c r="AY213" s="103"/>
      <c r="AZ213" s="21"/>
    </row>
    <row r="214" spans="1:52">
      <c r="A214" s="56" t="str">
        <f>$D$1&amp;204</f>
        <v>SD204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84.047015474190218</v>
      </c>
      <c r="G214" s="71"/>
      <c r="H214" s="37" t="str">
        <f t="shared" si="74"/>
        <v/>
      </c>
      <c r="I214" s="77" t="str">
        <f>IF(H214="","",IF($I$8="A",(RANK(H214,H$11:H$368,1)+COUNTIF(H$11:H214,H214)-1),(RANK(H214,H$11:H$368)+COUNTIF(H$11:H214,H214)-1)))</f>
        <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84.047015474190218</v>
      </c>
      <c r="AY214" s="103"/>
      <c r="AZ214" s="21"/>
    </row>
    <row r="215" spans="1:52">
      <c r="A215" s="56" t="str">
        <f>$D$1&amp;205</f>
        <v>SD205</v>
      </c>
      <c r="B215" s="57">
        <f>IF(ISERROR(VLOOKUP(A215,classifications!A:C,3,FALSE)),0,VLOOKUP(A215,classifications!A:C,3,FALSE))</f>
        <v>0</v>
      </c>
      <c r="C215" s="8" t="s">
        <v>238</v>
      </c>
      <c r="D215" s="26" t="str">
        <f>VLOOKUP($C215,classifications!$C:$J,4,FALSE)</f>
        <v>MD</v>
      </c>
      <c r="E215" s="26">
        <f>VLOOKUP(C215,classifications!C:K,9,FALSE)</f>
        <v>0</v>
      </c>
      <c r="F215" s="36">
        <f t="shared" si="73"/>
        <v>77.428046096756603</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77.428046096756603</v>
      </c>
      <c r="AY215" s="103"/>
      <c r="AZ215" s="21"/>
    </row>
    <row r="216" spans="1:52">
      <c r="A216" s="56" t="str">
        <f>$D$1&amp;206</f>
        <v>SD206</v>
      </c>
      <c r="B216" s="57">
        <f>IF(ISERROR(VLOOKUP(A216,classifications!A:C,3,FALSE)),0,VLOOKUP(A216,classifications!A:C,3,FALSE))</f>
        <v>0</v>
      </c>
      <c r="C216" s="8" t="s">
        <v>114</v>
      </c>
      <c r="D216" s="26" t="str">
        <f>VLOOKUP($C216,classifications!$C:$J,4,FALSE)</f>
        <v>SD</v>
      </c>
      <c r="E216" s="26">
        <f>VLOOKUP(C216,classifications!C:K,9,FALSE)</f>
        <v>0</v>
      </c>
      <c r="F216" s="36">
        <f t="shared" si="73"/>
        <v>77.300064284355642</v>
      </c>
      <c r="G216" s="71"/>
      <c r="H216" s="37">
        <f t="shared" si="74"/>
        <v>77.300064284355642</v>
      </c>
      <c r="I216" s="77">
        <f>IF(H216="","",IF($I$8="A",(RANK(H216,H$11:H$368,1)+COUNTIF(H$11:H216,H216)-1),(RANK(H216,H$11:H$368)+COUNTIF(H$11:H216,H216)-1)))</f>
        <v>171</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77.300064284355642</v>
      </c>
      <c r="AY216" s="103"/>
      <c r="AZ216" s="21"/>
    </row>
    <row r="217" spans="1:52">
      <c r="A217" s="56" t="str">
        <f>$D$1&amp;207</f>
        <v>SD207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82.385392027866203</v>
      </c>
      <c r="G217" s="71"/>
      <c r="H217" s="37">
        <f t="shared" si="74"/>
        <v>82.385392027866203</v>
      </c>
      <c r="I217" s="77">
        <f>IF(H217="","",IF($I$8="A",(RANK(H217,H$11:H$368,1)+COUNTIF(H$11:H217,H217)-1),(RANK(H217,H$11:H$368)+COUNTIF(H$11:H217,H217)-1)))</f>
        <v>98</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82.385392027866203</v>
      </c>
      <c r="AY217" s="103"/>
      <c r="AZ217" s="21"/>
    </row>
    <row r="218" spans="1:52">
      <c r="A218" s="56" t="str">
        <f>$D$1&amp;208</f>
        <v>SD208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83.963842489910377</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83.963842489910377</v>
      </c>
      <c r="AY218" s="103"/>
      <c r="AZ218" s="21"/>
    </row>
    <row r="219" spans="1:52">
      <c r="A219" s="56" t="str">
        <f>$D$1&amp;209</f>
        <v>SD209</v>
      </c>
      <c r="B219" s="57">
        <f>IF(ISERROR(VLOOKUP(A219,classifications!A:C,3,FALSE)),0,VLOOKUP(A219,classifications!A:C,3,FALSE))</f>
        <v>0</v>
      </c>
      <c r="C219" s="8" t="s">
        <v>116</v>
      </c>
      <c r="D219" s="26" t="str">
        <f>VLOOKUP($C219,classifications!$C:$J,4,FALSE)</f>
        <v>SD</v>
      </c>
      <c r="E219" s="26">
        <f>VLOOKUP(C219,classifications!C:K,9,FALSE)</f>
        <v>0</v>
      </c>
      <c r="F219" s="36">
        <f t="shared" si="73"/>
        <v>75.921860953740193</v>
      </c>
      <c r="G219" s="71"/>
      <c r="H219" s="37">
        <f t="shared" si="74"/>
        <v>75.921860953740193</v>
      </c>
      <c r="I219" s="77">
        <f>IF(H219="","",IF($I$8="A",(RANK(H219,H$11:H$368,1)+COUNTIF(H$11:H219,H219)-1),(RANK(H219,H$11:H$368)+COUNTIF(H$11:H219,H219)-1)))</f>
        <v>182</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75.921860953740193</v>
      </c>
      <c r="AY219" s="103"/>
      <c r="AZ219" s="21"/>
    </row>
    <row r="220" spans="1:52">
      <c r="A220" s="56" t="str">
        <f>$D$1&amp;210</f>
        <v>SD210</v>
      </c>
      <c r="B220" s="57">
        <f>IF(ISERROR(VLOOKUP(A220,classifications!A:C,3,FALSE)),0,VLOOKUP(A220,classifications!A:C,3,FALSE))</f>
        <v>0</v>
      </c>
      <c r="C220" s="8" t="s">
        <v>321</v>
      </c>
      <c r="D220" s="26" t="str">
        <f>VLOOKUP($C220,classifications!$C:$J,4,FALSE)</f>
        <v>SC</v>
      </c>
      <c r="E220" s="26">
        <f>VLOOKUP(C220,classifications!C:K,9,FALSE)</f>
        <v>0</v>
      </c>
      <c r="F220" s="36">
        <f t="shared" si="73"/>
        <v>79.79867780945284</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79.79867780945284</v>
      </c>
      <c r="AY220" s="103"/>
      <c r="AZ220" s="21"/>
    </row>
    <row r="221" spans="1:52">
      <c r="A221" s="56" t="str">
        <f>$D$1&amp;211</f>
        <v>SD211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84.749168702818679</v>
      </c>
      <c r="G221" s="71"/>
      <c r="H221" s="37" t="str">
        <f t="shared" si="74"/>
        <v/>
      </c>
      <c r="I221" s="77" t="str">
        <f>IF(H221="","",IF($I$8="A",(RANK(H221,H$11:H$368,1)+COUNTIF(H$11:H221,H221)-1),(RANK(H221,H$11:H$368)+COUNTIF(H$11:H221,H221)-1)))</f>
        <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84.749168702818679</v>
      </c>
      <c r="AY221" s="103"/>
      <c r="AZ221" s="21"/>
    </row>
    <row r="222" spans="1:52">
      <c r="A222" s="56" t="str">
        <f>$D$1&amp;212</f>
        <v>SD212</v>
      </c>
      <c r="B222" s="57">
        <f>IF(ISERROR(VLOOKUP(A222,classifications!A:C,3,FALSE)),0,VLOOKUP(A222,classifications!A:C,3,FALSE))</f>
        <v>0</v>
      </c>
      <c r="C222" s="8" t="s">
        <v>117</v>
      </c>
      <c r="D222" s="26" t="str">
        <f>VLOOKUP($C222,classifications!$C:$J,4,FALSE)</f>
        <v>SD</v>
      </c>
      <c r="E222" s="26">
        <f>VLOOKUP(C222,classifications!C:K,9,FALSE)</f>
        <v>0</v>
      </c>
      <c r="F222" s="36">
        <f t="shared" si="73"/>
        <v>87.667255896741864</v>
      </c>
      <c r="G222" s="71"/>
      <c r="H222" s="37">
        <f t="shared" si="74"/>
        <v>87.667255896741864</v>
      </c>
      <c r="I222" s="77">
        <f>IF(H222="","",IF($I$8="A",(RANK(H222,H$11:H$368,1)+COUNTIF(H$11:H222,H222)-1),(RANK(H222,H$11:H$368)+COUNTIF(H$11:H222,H222)-1)))</f>
        <v>14</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87.667255896741864</v>
      </c>
      <c r="AY222" s="103"/>
      <c r="AZ222" s="21"/>
    </row>
    <row r="223" spans="1:52">
      <c r="A223" s="56" t="str">
        <f>$D$1&amp;213</f>
        <v>SD213</v>
      </c>
      <c r="B223" s="57">
        <f>IF(ISERROR(VLOOKUP(A223,classifications!A:C,3,FALSE)),0,VLOOKUP(A223,classifications!A:C,3,FALSE))</f>
        <v>0</v>
      </c>
      <c r="C223" s="8" t="s">
        <v>279</v>
      </c>
      <c r="D223" s="26" t="str">
        <f>VLOOKUP($C223,classifications!$C:$J,4,FALSE)</f>
        <v>UA</v>
      </c>
      <c r="E223" s="26">
        <f>VLOOKUP(C223,classifications!C:K,9,FALSE)</f>
        <v>0</v>
      </c>
      <c r="F223" s="36">
        <f t="shared" si="73"/>
        <v>79.213544996271906</v>
      </c>
      <c r="G223" s="71"/>
      <c r="H223" s="37" t="str">
        <f t="shared" si="74"/>
        <v/>
      </c>
      <c r="I223" s="77" t="str">
        <f>IF(H223="","",IF($I$8="A",(RANK(H223,H$11:H$368,1)+COUNTIF(H$11:H223,H223)-1),(RANK(H223,H$11:H$368)+COUNTIF(H$11:H223,H223)-1)))</f>
        <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79.213544996271906</v>
      </c>
      <c r="AY223" s="103"/>
      <c r="AZ223" s="21"/>
    </row>
    <row r="224" spans="1:52">
      <c r="A224" s="56" t="str">
        <f>$D$1&amp;214</f>
        <v>SD214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80.365637953863711</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80.365637953863711</v>
      </c>
      <c r="AY224" s="103"/>
      <c r="AZ224" s="21"/>
    </row>
    <row r="225" spans="1:52">
      <c r="A225" s="56" t="str">
        <f>$D$1&amp;215</f>
        <v>SD215</v>
      </c>
      <c r="B225" s="57">
        <f>IF(ISERROR(VLOOKUP(A225,classifications!A:C,3,FALSE)),0,VLOOKUP(A225,classifications!A:C,3,FALSE))</f>
        <v>0</v>
      </c>
      <c r="C225" s="8" t="s">
        <v>346</v>
      </c>
      <c r="D225" s="26" t="str">
        <f>VLOOKUP($C225,classifications!$C:$J,4,FALSE)</f>
        <v>SD</v>
      </c>
      <c r="E225" s="26">
        <f>VLOOKUP(C225,classifications!C:K,9,FALSE)</f>
        <v>0</v>
      </c>
      <c r="F225" s="36">
        <f t="shared" si="73"/>
        <v>74.132264342587916</v>
      </c>
      <c r="G225" s="71"/>
      <c r="H225" s="37">
        <f t="shared" si="74"/>
        <v>74.132264342587916</v>
      </c>
      <c r="I225" s="77">
        <f>IF(H225="","",IF($I$8="A",(RANK(H225,H$11:H$368,1)+COUNTIF(H$11:H225,H225)-1),(RANK(H225,H$11:H$368)+COUNTIF(H$11:H225,H225)-1)))</f>
        <v>189</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74.132264342587916</v>
      </c>
      <c r="AY225" s="103"/>
      <c r="AZ225" s="21"/>
    </row>
    <row r="226" spans="1:52">
      <c r="A226" s="56" t="str">
        <f>$D$1&amp;216</f>
        <v>SD216</v>
      </c>
      <c r="B226" s="57">
        <f>IF(ISERROR(VLOOKUP(A226,classifications!A:C,3,FALSE)),0,VLOOKUP(A226,classifications!A:C,3,FALSE))</f>
        <v>0</v>
      </c>
      <c r="C226" s="8" t="s">
        <v>347</v>
      </c>
      <c r="D226" s="26" t="str">
        <f>VLOOKUP($C226,classifications!$C:$J,4,FALSE)</f>
        <v>SD</v>
      </c>
      <c r="E226" s="26">
        <f>VLOOKUP(C226,classifications!C:K,9,FALSE)</f>
        <v>0</v>
      </c>
      <c r="F226" s="36">
        <f t="shared" si="73"/>
        <v>79.971389270307597</v>
      </c>
      <c r="G226" s="71"/>
      <c r="H226" s="37">
        <f t="shared" si="74"/>
        <v>79.971389270307597</v>
      </c>
      <c r="I226" s="77">
        <f>IF(H226="","",IF($I$8="A",(RANK(H226,H$11:H$368,1)+COUNTIF(H$11:H226,H226)-1),(RANK(H226,H$11:H$368)+COUNTIF(H$11:H226,H226)-1)))</f>
        <v>145</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79.971389270307597</v>
      </c>
      <c r="AY226" s="103"/>
      <c r="AZ226" s="21"/>
    </row>
    <row r="227" spans="1:52">
      <c r="A227" s="56" t="str">
        <f>$D$1&amp;217</f>
        <v>SD217</v>
      </c>
      <c r="B227" s="57">
        <f>IF(ISERROR(VLOOKUP(A227,classifications!A:C,3,FALSE)),0,VLOOKUP(A227,classifications!A:C,3,FALSE))</f>
        <v>0</v>
      </c>
      <c r="C227" s="8" t="s">
        <v>239</v>
      </c>
      <c r="D227" s="26" t="str">
        <f>VLOOKUP($C227,classifications!$C:$J,4,FALSE)</f>
        <v>MD</v>
      </c>
      <c r="E227" s="26">
        <f>VLOOKUP(C227,classifications!C:K,9,FALSE)</f>
        <v>0</v>
      </c>
      <c r="F227" s="36">
        <f t="shared" si="73"/>
        <v>71.172151536990555</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71.172151536990555</v>
      </c>
      <c r="AY227" s="103"/>
      <c r="AZ227" s="21"/>
    </row>
    <row r="228" spans="1:52">
      <c r="A228" s="56" t="str">
        <f>$D$1&amp;218</f>
        <v>SD218</v>
      </c>
      <c r="B228" s="57">
        <f>IF(ISERROR(VLOOKUP(A228,classifications!A:C,3,FALSE)),0,VLOOKUP(A228,classifications!A:C,3,FALSE))</f>
        <v>0</v>
      </c>
      <c r="C228" s="8" t="s">
        <v>118</v>
      </c>
      <c r="D228" s="26" t="str">
        <f>VLOOKUP($C228,classifications!$C:$J,4,FALSE)</f>
        <v>SD</v>
      </c>
      <c r="E228" s="26">
        <f>VLOOKUP(C228,classifications!C:K,9,FALSE)</f>
        <v>0</v>
      </c>
      <c r="F228" s="36">
        <f t="shared" si="73"/>
        <v>90.450497364548298</v>
      </c>
      <c r="G228" s="71"/>
      <c r="H228" s="37">
        <f t="shared" si="74"/>
        <v>90.450497364548298</v>
      </c>
      <c r="I228" s="77">
        <f>IF(H228="","",IF($I$8="A",(RANK(H228,H$11:H$368,1)+COUNTIF(H$11:H228,H228)-1),(RANK(H228,H$11:H$368)+COUNTIF(H$11:H228,H228)-1)))</f>
        <v>1</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90.450497364548298</v>
      </c>
      <c r="AY228" s="103"/>
      <c r="AZ228" s="21"/>
    </row>
    <row r="229" spans="1:52">
      <c r="A229" s="56" t="str">
        <f>$D$1&amp;219</f>
        <v>SD219</v>
      </c>
      <c r="B229" s="57">
        <f>IF(ISERROR(VLOOKUP(A229,classifications!A:C,3,FALSE)),0,VLOOKUP(A229,classifications!A:C,3,FALSE))</f>
        <v>0</v>
      </c>
      <c r="C229" s="8" t="s">
        <v>324</v>
      </c>
      <c r="D229" s="26" t="str">
        <f>VLOOKUP($C229,classifications!$C:$J,4,FALSE)</f>
        <v>SC</v>
      </c>
      <c r="E229" s="26">
        <f>VLOOKUP(C229,classifications!C:K,9,FALSE)</f>
        <v>0</v>
      </c>
      <c r="F229" s="36">
        <f t="shared" si="73"/>
        <v>87.874989098739817</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87.874989098739817</v>
      </c>
      <c r="AY229" s="103"/>
      <c r="AZ229" s="21"/>
    </row>
    <row r="230" spans="1:52">
      <c r="A230" s="56" t="str">
        <f>$D$1&amp;220</f>
        <v>SD220</v>
      </c>
      <c r="B230" s="57">
        <f>IF(ISERROR(VLOOKUP(A230,classifications!A:C,3,FALSE)),0,VLOOKUP(A230,classifications!A:C,3,FALSE))</f>
        <v>0</v>
      </c>
      <c r="C230" s="8" t="s">
        <v>119</v>
      </c>
      <c r="D230" s="26" t="str">
        <f>VLOOKUP($C230,classifications!$C:$J,4,FALSE)</f>
        <v>SD</v>
      </c>
      <c r="E230" s="26">
        <f>VLOOKUP(C230,classifications!C:K,9,FALSE)</f>
        <v>0</v>
      </c>
      <c r="F230" s="36">
        <f t="shared" si="73"/>
        <v>75.635752488429077</v>
      </c>
      <c r="G230" s="71"/>
      <c r="H230" s="37">
        <f t="shared" si="74"/>
        <v>75.635752488429077</v>
      </c>
      <c r="I230" s="77">
        <f>IF(H230="","",IF($I$8="A",(RANK(H230,H$11:H$368,1)+COUNTIF(H$11:H230,H230)-1),(RANK(H230,H$11:H$368)+COUNTIF(H$11:H230,H230)-1)))</f>
        <v>184</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75.635752488429077</v>
      </c>
      <c r="AY230" s="103"/>
      <c r="AZ230" s="21"/>
    </row>
    <row r="231" spans="1:52">
      <c r="A231" s="56" t="str">
        <f>$D$1&amp;221</f>
        <v>SD221</v>
      </c>
      <c r="B231" s="57">
        <f>IF(ISERROR(VLOOKUP(A231,classifications!A:C,3,FALSE)),0,VLOOKUP(A231,classifications!A:C,3,FALSE))</f>
        <v>0</v>
      </c>
      <c r="C231" s="8" t="s">
        <v>280</v>
      </c>
      <c r="D231" s="26" t="str">
        <f>VLOOKUP($C231,classifications!$C:$J,4,FALSE)</f>
        <v>UA</v>
      </c>
      <c r="E231" s="26">
        <f>VLOOKUP(C231,classifications!C:K,9,FALSE)</f>
        <v>0</v>
      </c>
      <c r="F231" s="36">
        <f t="shared" si="73"/>
        <v>78.442350379171074</v>
      </c>
      <c r="G231" s="71"/>
      <c r="H231" s="37" t="str">
        <f t="shared" si="74"/>
        <v/>
      </c>
      <c r="I231" s="77" t="str">
        <f>IF(H231="","",IF($I$8="A",(RANK(H231,H$11:H$368,1)+COUNTIF(H$11:H231,H231)-1),(RANK(H231,H$11:H$368)+COUNTIF(H$11:H231,H231)-1)))</f>
        <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78.442350379171074</v>
      </c>
      <c r="AY231" s="103"/>
      <c r="AZ231" s="21"/>
    </row>
    <row r="232" spans="1:52">
      <c r="A232" s="56" t="str">
        <f>$D$1&amp;222</f>
        <v>SD222</v>
      </c>
      <c r="B232" s="57">
        <f>IF(ISERROR(VLOOKUP(A232,classifications!A:C,3,FALSE)),0,VLOOKUP(A232,classifications!A:C,3,FALSE))</f>
        <v>0</v>
      </c>
      <c r="C232" s="8" t="s">
        <v>281</v>
      </c>
      <c r="D232" s="26" t="str">
        <f>VLOOKUP($C232,classifications!$C:$J,4,FALSE)</f>
        <v>UA</v>
      </c>
      <c r="E232" s="26">
        <f>VLOOKUP(C232,classifications!C:K,9,FALSE)</f>
        <v>0</v>
      </c>
      <c r="F232" s="36">
        <f t="shared" si="73"/>
        <v>81.902072060518705</v>
      </c>
      <c r="G232" s="71"/>
      <c r="H232" s="37" t="str">
        <f t="shared" si="74"/>
        <v/>
      </c>
      <c r="I232" s="77" t="str">
        <f>IF(H232="","",IF($I$8="A",(RANK(H232,H$11:H$368,1)+COUNTIF(H$11:H232,H232)-1),(RANK(H232,H$11:H$368)+COUNTIF(H$11:H232,H232)-1)))</f>
        <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81.902072060518705</v>
      </c>
      <c r="AY232" s="103"/>
      <c r="AZ232" s="21"/>
    </row>
    <row r="233" spans="1:52">
      <c r="A233" s="56" t="str">
        <f>$D$1&amp;223</f>
        <v>SD223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
      </c>
      <c r="I233" s="77" t="str">
        <f>IF(H233="","",IF($I$8="A",(RANK(H233,H$11:H$368,1)+COUNTIF(H$11:H233,H233)-1),(RANK(H233,H$11:H$368)+COUNTIF(H$11:H233,H233)-1)))</f>
        <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SD224</v>
      </c>
      <c r="B234" s="57">
        <f>IF(ISERROR(VLOOKUP(A234,classifications!A:C,3,FALSE)),0,VLOOKUP(A234,classifications!A:C,3,FALSE))</f>
        <v>0</v>
      </c>
      <c r="C234" s="8" t="s">
        <v>283</v>
      </c>
      <c r="D234" s="26" t="str">
        <f>VLOOKUP($C234,classifications!$C:$J,4,FALSE)</f>
        <v>UA</v>
      </c>
      <c r="E234" s="26">
        <f>VLOOKUP(C234,classifications!C:K,9,FALSE)</f>
        <v>0</v>
      </c>
      <c r="F234" s="36">
        <f t="shared" si="73"/>
        <v>83.722046138343117</v>
      </c>
      <c r="G234" s="71"/>
      <c r="H234" s="37" t="str">
        <f t="shared" si="74"/>
        <v/>
      </c>
      <c r="I234" s="77" t="str">
        <f>IF(H234="","",IF($I$8="A",(RANK(H234,H$11:H$368,1)+COUNTIF(H$11:H234,H234)-1),(RANK(H234,H$11:H$368)+COUNTIF(H$11:H234,H234)-1)))</f>
        <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83.722046138343117</v>
      </c>
      <c r="AY234" s="103"/>
      <c r="AZ234" s="21"/>
    </row>
    <row r="235" spans="1:52">
      <c r="A235" s="56" t="str">
        <f>$D$1&amp;225</f>
        <v>SD225</v>
      </c>
      <c r="B235" s="57">
        <f>IF(ISERROR(VLOOKUP(A235,classifications!A:C,3,FALSE)),0,VLOOKUP(A235,classifications!A:C,3,FALSE))</f>
        <v>0</v>
      </c>
      <c r="C235" s="8" t="s">
        <v>120</v>
      </c>
      <c r="D235" s="26" t="str">
        <f>VLOOKUP($C235,classifications!$C:$J,4,FALSE)</f>
        <v>SD</v>
      </c>
      <c r="E235" s="26">
        <f>VLOOKUP(C235,classifications!C:K,9,FALSE)</f>
        <v>0</v>
      </c>
      <c r="F235" s="36">
        <f t="shared" si="73"/>
        <v>79.710929981788055</v>
      </c>
      <c r="G235" s="71"/>
      <c r="H235" s="37">
        <f t="shared" si="74"/>
        <v>79.710929981788055</v>
      </c>
      <c r="I235" s="77">
        <f>IF(H235="","",IF($I$8="A",(RANK(H235,H$11:H$368,1)+COUNTIF(H$11:H235,H235)-1),(RANK(H235,H$11:H$368)+COUNTIF(H$11:H235,H235)-1)))</f>
        <v>147</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79.710929981788055</v>
      </c>
      <c r="AY235" s="103"/>
      <c r="AZ235" s="21"/>
    </row>
    <row r="236" spans="1:52">
      <c r="A236" s="56" t="str">
        <f>$D$1&amp;226</f>
        <v>SD226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v>
      </c>
      <c r="I236" s="77" t="e">
        <f>IF(H236="","",IF($I$8="A",(RANK(H236,H$11:H$368,1)+COUNTIF(H$11:H236,H236)-1),(RANK(H236,H$11:H$368)+COUNTIF(H$11:H236,H236)-1)))</f>
        <v>#VALUE!</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SD227</v>
      </c>
      <c r="B237" s="57">
        <f>IF(ISERROR(VLOOKUP(A237,classifications!A:C,3,FALSE)),0,VLOOKUP(A237,classifications!A:C,3,FALSE))</f>
        <v>0</v>
      </c>
      <c r="C237" s="8" t="s">
        <v>284</v>
      </c>
      <c r="D237" s="26" t="str">
        <f>VLOOKUP($C237,classifications!$C:$J,4,FALSE)</f>
        <v>UA</v>
      </c>
      <c r="E237" s="26">
        <f>VLOOKUP(C237,classifications!C:K,9,FALSE)</f>
        <v>0</v>
      </c>
      <c r="F237" s="36">
        <f t="shared" si="73"/>
        <v>79.30048938847051</v>
      </c>
      <c r="G237" s="71"/>
      <c r="H237" s="37" t="str">
        <f t="shared" si="74"/>
        <v/>
      </c>
      <c r="I237" s="77" t="str">
        <f>IF(H237="","",IF($I$8="A",(RANK(H237,H$11:H$368,1)+COUNTIF(H$11:H237,H237)-1),(RANK(H237,H$11:H$368)+COUNTIF(H$11:H237,H237)-1)))</f>
        <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79.30048938847051</v>
      </c>
      <c r="AY237" s="103"/>
      <c r="AZ237" s="21"/>
    </row>
    <row r="238" spans="1:52">
      <c r="A238" s="56" t="str">
        <f>$D$1&amp;228</f>
        <v>SD228</v>
      </c>
      <c r="B238" s="57">
        <f>IF(ISERROR(VLOOKUP(A238,classifications!A:C,3,FALSE)),0,VLOOKUP(A238,classifications!A:C,3,FALSE))</f>
        <v>0</v>
      </c>
      <c r="C238" s="8" t="s">
        <v>216</v>
      </c>
      <c r="D238" s="26" t="str">
        <f>VLOOKUP($C238,classifications!$C:$J,4,FALSE)</f>
        <v>L</v>
      </c>
      <c r="E238" s="26">
        <f>VLOOKUP(C238,classifications!C:K,9,FALSE)</f>
        <v>0</v>
      </c>
      <c r="F238" s="36">
        <f t="shared" si="73"/>
        <v>76.104783692477454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76.104783692477454</v>
      </c>
      <c r="AY238" s="103"/>
      <c r="AZ238" s="21"/>
    </row>
    <row r="239" spans="1:52">
      <c r="A239" s="56" t="str">
        <f>$D$1&amp;229</f>
        <v>SD229</v>
      </c>
      <c r="B239" s="57">
        <f>IF(ISERROR(VLOOKUP(A239,classifications!A:C,3,FALSE)),0,VLOOKUP(A239,classifications!A:C,3,FALSE))</f>
        <v>0</v>
      </c>
      <c r="C239" s="8" t="s">
        <v>809</v>
      </c>
      <c r="D239" s="26" t="str">
        <f>VLOOKUP($C239,classifications!$C:$J,4,FALSE)</f>
        <v>UA</v>
      </c>
      <c r="E239" s="26">
        <f>VLOOKUP(C239,classifications!C:K,9,FALSE)</f>
        <v>0</v>
      </c>
      <c r="F239" s="36">
        <f t="shared" si="73"/>
        <v>81.614039414475286</v>
      </c>
      <c r="G239" s="71"/>
      <c r="H239" s="37" t="str">
        <f t="shared" si="74"/>
        <v/>
      </c>
      <c r="I239" s="77" t="str">
        <f>IF(H239="","",IF($I$8="A",(RANK(H239,H$11:H$368,1)+COUNTIF(H$11:H239,H239)-1),(RANK(H239,H$11:H$368)+COUNTIF(H$11:H239,H239)-1)))</f>
        <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81.614039414475286</v>
      </c>
      <c r="AY239" s="103"/>
      <c r="AZ239" s="21"/>
    </row>
    <row r="240" spans="1:52">
      <c r="A240" s="56" t="str">
        <f>$D$1&amp;230</f>
        <v>SD230</v>
      </c>
      <c r="B240" s="57">
        <f>IF(ISERROR(VLOOKUP(A240,classifications!A:C,3,FALSE)),0,VLOOKUP(A240,classifications!A:C,3,FALSE))</f>
        <v>0</v>
      </c>
      <c r="C240" s="8" t="s">
        <v>122</v>
      </c>
      <c r="D240" s="26" t="str">
        <f>VLOOKUP($C240,classifications!$C:$J,4,FALSE)</f>
        <v>SD</v>
      </c>
      <c r="E240" s="26">
        <f>VLOOKUP(C240,classifications!C:K,9,FALSE)</f>
        <v>0</v>
      </c>
      <c r="F240" s="36">
        <f t="shared" si="73"/>
        <v>76.059769934592339</v>
      </c>
      <c r="G240" s="71"/>
      <c r="H240" s="37">
        <f t="shared" si="74"/>
        <v>76.059769934592339</v>
      </c>
      <c r="I240" s="77">
        <f>IF(H240="","",IF($I$8="A",(RANK(H240,H$11:H$368,1)+COUNTIF(H$11:H240,H240)-1),(RANK(H240,H$11:H$368)+COUNTIF(H$11:H240,H240)-1)))</f>
        <v>180</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76.059769934592339</v>
      </c>
      <c r="AY240" s="103"/>
      <c r="AZ240" s="21"/>
    </row>
    <row r="241" spans="1:52">
      <c r="A241" s="56" t="str">
        <f>$D$1&amp;231</f>
        <v>SD231</v>
      </c>
      <c r="B241" s="57">
        <f>IF(ISERROR(VLOOKUP(A241,classifications!A:C,3,FALSE)),0,VLOOKUP(A241,classifications!A:C,3,FALSE))</f>
        <v>0</v>
      </c>
      <c r="C241" s="8" t="s">
        <v>348</v>
      </c>
      <c r="D241" s="26" t="str">
        <f>VLOOKUP($C241,classifications!$C:$J,4,FALSE)</f>
        <v>SD</v>
      </c>
      <c r="E241" s="26">
        <f>VLOOKUP(C241,classifications!C:K,9,FALSE)</f>
        <v>0</v>
      </c>
      <c r="F241" s="36">
        <f t="shared" si="73"/>
        <v>83.841518911555866</v>
      </c>
      <c r="G241" s="71"/>
      <c r="H241" s="37">
        <f t="shared" si="74"/>
        <v>83.841518911555866</v>
      </c>
      <c r="I241" s="77">
        <f>IF(H241="","",IF($I$8="A",(RANK(H241,H$11:H$368,1)+COUNTIF(H$11:H241,H241)-1),(RANK(H241,H$11:H$368)+COUNTIF(H$11:H241,H241)-1)))</f>
        <v>70</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83.841518911555866</v>
      </c>
      <c r="AY241" s="103"/>
      <c r="AZ241" s="21"/>
    </row>
    <row r="242" spans="1:52">
      <c r="A242" s="56" t="str">
        <f>$D$1&amp;232</f>
        <v>SD232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86.534664357842871</v>
      </c>
      <c r="G242" s="71"/>
      <c r="H242" s="37">
        <f t="shared" si="74"/>
        <v>86.534664357842871</v>
      </c>
      <c r="I242" s="77">
        <f>IF(H242="","",IF($I$8="A",(RANK(H242,H$11:H$368,1)+COUNTIF(H$11:H242,H242)-1),(RANK(H242,H$11:H$368)+COUNTIF(H$11:H242,H242)-1)))</f>
        <v>28</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86.534664357842871</v>
      </c>
      <c r="AY242" s="103"/>
      <c r="AZ242" s="21"/>
    </row>
    <row r="243" spans="1:52">
      <c r="A243" s="56" t="str">
        <f>$D$1&amp;233</f>
        <v>SD233</v>
      </c>
      <c r="B243" s="57">
        <f>IF(ISERROR(VLOOKUP(A243,classifications!A:C,3,FALSE)),0,VLOOKUP(A243,classifications!A:C,3,FALSE))</f>
        <v>0</v>
      </c>
      <c r="C243" s="8" t="s">
        <v>393</v>
      </c>
      <c r="D243" s="26" t="str">
        <f>VLOOKUP($C243,classifications!$C:$J,4,FALSE)</f>
        <v>L</v>
      </c>
      <c r="E243" s="26">
        <f>VLOOKUP(C243,classifications!C:K,9,FALSE)</f>
        <v>0</v>
      </c>
      <c r="F243" s="36">
        <f t="shared" si="73"/>
        <v>91.991643707185773</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91.991643707185773</v>
      </c>
      <c r="AY243" s="103"/>
      <c r="AZ243" s="21"/>
    </row>
    <row r="244" spans="1:52">
      <c r="A244" s="56" t="str">
        <f>$D$1&amp;234</f>
        <v>SD234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85.027168137497483</v>
      </c>
      <c r="G244" s="71"/>
      <c r="H244" s="37">
        <f t="shared" si="74"/>
        <v>85.027168137497483</v>
      </c>
      <c r="I244" s="77">
        <f>IF(H244="","",IF($I$8="A",(RANK(H244,H$11:H$368,1)+COUNTIF(H$11:H244,H244)-1),(RANK(H244,H$11:H$368)+COUNTIF(H$11:H244,H244)-1)))</f>
        <v>49</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85.027168137497483</v>
      </c>
      <c r="AY244" s="103"/>
      <c r="AZ244" s="21"/>
    </row>
    <row r="245" spans="1:52">
      <c r="A245" s="56" t="str">
        <f>$D$1&amp;235</f>
        <v>SD235</v>
      </c>
      <c r="B245" s="57">
        <f>IF(ISERROR(VLOOKUP(A245,classifications!A:C,3,FALSE)),0,VLOOKUP(A245,classifications!A:C,3,FALSE))</f>
        <v>0</v>
      </c>
      <c r="C245" s="8" t="s">
        <v>240</v>
      </c>
      <c r="D245" s="26" t="str">
        <f>VLOOKUP($C245,classifications!$C:$J,4,FALSE)</f>
        <v>MD</v>
      </c>
      <c r="E245" s="26">
        <f>VLOOKUP(C245,classifications!C:K,9,FALSE)</f>
        <v>0</v>
      </c>
      <c r="F245" s="36">
        <f t="shared" si="73"/>
        <v>75.291741438130259</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75.291741438130259</v>
      </c>
      <c r="AY245" s="103"/>
      <c r="AZ245" s="21"/>
    </row>
    <row r="246" spans="1:52">
      <c r="A246" s="56" t="str">
        <f>$D$1&amp;236</f>
        <v>SD236</v>
      </c>
      <c r="B246" s="57">
        <f>IF(ISERROR(VLOOKUP(A246,classifications!A:C,3,FALSE)),0,VLOOKUP(A246,classifications!A:C,3,FALSE))</f>
        <v>0</v>
      </c>
      <c r="C246" s="8" t="s">
        <v>125</v>
      </c>
      <c r="D246" s="26" t="str">
        <f>VLOOKUP($C246,classifications!$C:$J,4,FALSE)</f>
        <v>SD</v>
      </c>
      <c r="E246" s="26">
        <f>VLOOKUP(C246,classifications!C:K,9,FALSE)</f>
        <v>0</v>
      </c>
      <c r="F246" s="36">
        <f t="shared" si="73"/>
        <v>86.613854711442926</v>
      </c>
      <c r="G246" s="71"/>
      <c r="H246" s="37">
        <f t="shared" si="74"/>
        <v>86.613854711442926</v>
      </c>
      <c r="I246" s="77">
        <f>IF(H246="","",IF($I$8="A",(RANK(H246,H$11:H$368,1)+COUNTIF(H$11:H246,H246)-1),(RANK(H246,H$11:H$368)+COUNTIF(H$11:H246,H246)-1)))</f>
        <v>25</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86.613854711442926</v>
      </c>
      <c r="AY246" s="103"/>
      <c r="AZ246" s="21"/>
    </row>
    <row r="247" spans="1:52">
      <c r="A247" s="56" t="str">
        <f>$D$1&amp;237</f>
        <v>SD237</v>
      </c>
      <c r="B247" s="57">
        <f>IF(ISERROR(VLOOKUP(A247,classifications!A:C,3,FALSE)),0,VLOOKUP(A247,classifications!A:C,3,FALSE))</f>
        <v>0</v>
      </c>
      <c r="C247" s="8" t="s">
        <v>126</v>
      </c>
      <c r="D247" s="26" t="str">
        <f>VLOOKUP($C247,classifications!$C:$J,4,FALSE)</f>
        <v>SD</v>
      </c>
      <c r="E247" s="26">
        <f>VLOOKUP(C247,classifications!C:K,9,FALSE)</f>
        <v>0</v>
      </c>
      <c r="F247" s="36">
        <f t="shared" si="73"/>
        <v>76.997319645735686</v>
      </c>
      <c r="G247" s="71"/>
      <c r="H247" s="37">
        <f t="shared" si="74"/>
        <v>76.997319645735686</v>
      </c>
      <c r="I247" s="77">
        <f>IF(H247="","",IF($I$8="A",(RANK(H247,H$11:H$368,1)+COUNTIF(H$11:H247,H247)-1),(RANK(H247,H$11:H$368)+COUNTIF(H$11:H247,H247)-1)))</f>
        <v>172</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76.997319645735686</v>
      </c>
      <c r="AY247" s="103"/>
      <c r="AZ247" s="21"/>
    </row>
    <row r="248" spans="1:52">
      <c r="A248" s="56" t="str">
        <f>$D$1&amp;238</f>
        <v>SD238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83.007360126079334</v>
      </c>
      <c r="G248" s="71"/>
      <c r="H248" s="37">
        <f t="shared" si="74"/>
        <v>83.007360126079334</v>
      </c>
      <c r="I248" s="77">
        <f>IF(H248="","",IF($I$8="A",(RANK(H248,H$11:H$368,1)+COUNTIF(H$11:H248,H248)-1),(RANK(H248,H$11:H$368)+COUNTIF(H$11:H248,H248)-1)))</f>
        <v>91</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83.007360126079334</v>
      </c>
      <c r="AY248" s="103"/>
      <c r="AZ248" s="21"/>
    </row>
    <row r="249" spans="1:52">
      <c r="A249" s="56" t="str">
        <f>$D$1&amp;239</f>
        <v>SD239</v>
      </c>
      <c r="B249" s="57">
        <f>IF(ISERROR(VLOOKUP(A249,classifications!A:C,3,FALSE)),0,VLOOKUP(A249,classifications!A:C,3,FALSE))</f>
        <v>0</v>
      </c>
      <c r="C249" s="8" t="s">
        <v>241</v>
      </c>
      <c r="D249" s="26" t="str">
        <f>VLOOKUP($C249,classifications!$C:$J,4,FALSE)</f>
        <v>MD</v>
      </c>
      <c r="E249" s="26">
        <f>VLOOKUP(C249,classifications!C:K,9,FALSE)</f>
        <v>0</v>
      </c>
      <c r="F249" s="36">
        <f t="shared" si="73"/>
        <v>74.957151826490644</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74.957151826490644</v>
      </c>
      <c r="AY249" s="103"/>
      <c r="AZ249" s="21"/>
    </row>
    <row r="250" spans="1:52">
      <c r="A250" s="56" t="str">
        <f>$D$1&amp;240</f>
        <v>SD240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75.92105706500837</v>
      </c>
      <c r="G250" s="71"/>
      <c r="H250" s="37">
        <f t="shared" si="74"/>
        <v>75.92105706500837</v>
      </c>
      <c r="I250" s="77">
        <f>IF(H250="","",IF($I$8="A",(RANK(H250,H$11:H$368,1)+COUNTIF(H$11:H250,H250)-1),(RANK(H250,H$11:H$368)+COUNTIF(H$11:H250,H250)-1)))</f>
        <v>183</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75.92105706500837</v>
      </c>
      <c r="AY250" s="103"/>
      <c r="AZ250" s="21"/>
    </row>
    <row r="251" spans="1:52">
      <c r="A251" s="56" t="str">
        <f>$D$1&amp;241</f>
        <v>SD241</v>
      </c>
      <c r="B251" s="57">
        <f>IF(ISERROR(VLOOKUP(A251,classifications!A:C,3,FALSE)),0,VLOOKUP(A251,classifications!A:C,3,FALSE))</f>
        <v>0</v>
      </c>
      <c r="C251" s="8" t="s">
        <v>129</v>
      </c>
      <c r="D251" s="26" t="str">
        <f>VLOOKUP($C251,classifications!$C:$J,4,FALSE)</f>
        <v>SD</v>
      </c>
      <c r="E251" s="26">
        <f>VLOOKUP(C251,classifications!C:K,9,FALSE)</f>
        <v>0</v>
      </c>
      <c r="F251" s="36">
        <f t="shared" si="73"/>
        <v>84.329753971580772</v>
      </c>
      <c r="G251" s="71"/>
      <c r="H251" s="37">
        <f t="shared" si="74"/>
        <v>84.329753971580772</v>
      </c>
      <c r="I251" s="77">
        <f>IF(H251="","",IF($I$8="A",(RANK(H251,H$11:H$368,1)+COUNTIF(H$11:H251,H251)-1),(RANK(H251,H$11:H$368)+COUNTIF(H$11:H251,H251)-1)))</f>
        <v>61</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84.329753971580772</v>
      </c>
      <c r="AY251" s="103"/>
      <c r="AZ251" s="21"/>
    </row>
    <row r="252" spans="1:52">
      <c r="A252" s="56" t="str">
        <f>$D$1&amp;242</f>
        <v>SD242</v>
      </c>
      <c r="B252" s="57">
        <f>IF(ISERROR(VLOOKUP(A252,classifications!A:C,3,FALSE)),0,VLOOKUP(A252,classifications!A:C,3,FALSE))</f>
        <v>0</v>
      </c>
      <c r="C252" s="8" t="s">
        <v>130</v>
      </c>
      <c r="D252" s="26" t="str">
        <f>VLOOKUP($C252,classifications!$C:$J,4,FALSE)</f>
        <v>SD</v>
      </c>
      <c r="E252" s="26">
        <f>VLOOKUP(C252,classifications!C:K,9,FALSE)</f>
        <v>0</v>
      </c>
      <c r="F252" s="36">
        <f t="shared" si="73"/>
        <v>83.438744533859193</v>
      </c>
      <c r="G252" s="71"/>
      <c r="H252" s="37">
        <f t="shared" si="74"/>
        <v>83.438744533859193</v>
      </c>
      <c r="I252" s="77">
        <f>IF(H252="","",IF($I$8="A",(RANK(H252,H$11:H$368,1)+COUNTIF(H$11:H252,H252)-1),(RANK(H252,H$11:H$368)+COUNTIF(H$11:H252,H252)-1)))</f>
        <v>85</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83.438744533859193</v>
      </c>
      <c r="AY252" s="103"/>
      <c r="AZ252" s="21"/>
    </row>
    <row r="253" spans="1:52">
      <c r="A253" s="56" t="str">
        <f>$D$1&amp;243</f>
        <v>SD243</v>
      </c>
      <c r="B253" s="57">
        <f>IF(ISERROR(VLOOKUP(A253,classifications!A:C,3,FALSE)),0,VLOOKUP(A253,classifications!A:C,3,FALSE))</f>
        <v>0</v>
      </c>
      <c r="C253" s="8" t="s">
        <v>131</v>
      </c>
      <c r="D253" s="26" t="str">
        <f>VLOOKUP($C253,classifications!$C:$J,4,FALSE)</f>
        <v>SD</v>
      </c>
      <c r="E253" s="26">
        <f>VLOOKUP(C253,classifications!C:K,9,FALSE)</f>
        <v>0</v>
      </c>
      <c r="F253" s="36">
        <f t="shared" si="73"/>
        <v>78.312667209779903</v>
      </c>
      <c r="G253" s="71"/>
      <c r="H253" s="37">
        <f t="shared" si="74"/>
        <v>78.312667209779903</v>
      </c>
      <c r="I253" s="77">
        <f>IF(H253="","",IF($I$8="A",(RANK(H253,H$11:H$368,1)+COUNTIF(H$11:H253,H253)-1),(RANK(H253,H$11:H$368)+COUNTIF(H$11:H253,H253)-1)))</f>
        <v>162</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78.312667209779903</v>
      </c>
      <c r="AY253" s="103"/>
      <c r="AZ253" s="21"/>
    </row>
    <row r="254" spans="1:52">
      <c r="A254" s="56" t="str">
        <f>$D$1&amp;244</f>
        <v>SD244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81.61192367139229</v>
      </c>
      <c r="G254" s="71"/>
      <c r="H254" s="37" t="str">
        <f t="shared" si="74"/>
        <v/>
      </c>
      <c r="I254" s="77" t="str">
        <f>IF(H254="","",IF($I$8="A",(RANK(H254,H$11:H$368,1)+COUNTIF(H$11:H254,H254)-1),(RANK(H254,H$11:H$368)+COUNTIF(H$11:H254,H254)-1)))</f>
        <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81.61192367139229</v>
      </c>
      <c r="AY254" s="103"/>
      <c r="AZ254" s="21"/>
    </row>
    <row r="255" spans="1:52">
      <c r="A255" s="56" t="str">
        <f>$D$1&amp;245</f>
        <v>SD245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82.233358963034703</v>
      </c>
      <c r="G255" s="71"/>
      <c r="H255" s="37">
        <f t="shared" si="74"/>
        <v>82.233358963034703</v>
      </c>
      <c r="I255" s="77">
        <f>IF(H255="","",IF($I$8="A",(RANK(H255,H$11:H$368,1)+COUNTIF(H$11:H255,H255)-1),(RANK(H255,H$11:H$368)+COUNTIF(H$11:H255,H255)-1)))</f>
        <v>103</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82.233358963034703</v>
      </c>
      <c r="AY255" s="103"/>
      <c r="AZ255" s="21"/>
    </row>
    <row r="256" spans="1:52">
      <c r="A256" s="56" t="str">
        <f>$D$1&amp;246</f>
        <v>SD246</v>
      </c>
      <c r="B256" s="57">
        <f>IF(ISERROR(VLOOKUP(A256,classifications!A:C,3,FALSE)),0,VLOOKUP(A256,classifications!A:C,3,FALSE))</f>
        <v>0</v>
      </c>
      <c r="C256" s="8" t="s">
        <v>242</v>
      </c>
      <c r="D256" s="26" t="str">
        <f>VLOOKUP($C256,classifications!$C:$J,4,FALSE)</f>
        <v>MD</v>
      </c>
      <c r="E256" s="26">
        <f>VLOOKUP(C256,classifications!C:K,9,FALSE)</f>
        <v>0</v>
      </c>
      <c r="F256" s="36">
        <f t="shared" si="73"/>
        <v>81.544853660043032</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81.544853660043032</v>
      </c>
      <c r="AY256" s="103"/>
      <c r="AZ256" s="21"/>
    </row>
    <row r="257" spans="1:52">
      <c r="A257" s="56" t="str">
        <f>$D$1&amp;247</f>
        <v>SD247</v>
      </c>
      <c r="B257" s="57">
        <f>IF(ISERROR(VLOOKUP(A257,classifications!A:C,3,FALSE)),0,VLOOKUP(A257,classifications!A:C,3,FALSE))</f>
        <v>0</v>
      </c>
      <c r="C257" s="8" t="s">
        <v>243</v>
      </c>
      <c r="D257" s="26" t="str">
        <f>VLOOKUP($C257,classifications!$C:$J,4,FALSE)</f>
        <v>MD</v>
      </c>
      <c r="E257" s="26">
        <f>VLOOKUP(C257,classifications!C:K,9,FALSE)</f>
        <v>0</v>
      </c>
      <c r="F257" s="36">
        <f t="shared" si="73"/>
        <v>66.072755904419523</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66.072755904419523</v>
      </c>
      <c r="AY257" s="103"/>
      <c r="AZ257" s="21"/>
    </row>
    <row r="258" spans="1:52">
      <c r="A258" s="56" t="str">
        <f>$D$1&amp;248</f>
        <v>SD248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82.576163755771162</v>
      </c>
      <c r="G258" s="71"/>
      <c r="H258" s="37">
        <f t="shared" si="74"/>
        <v>82.576163755771162</v>
      </c>
      <c r="I258" s="77">
        <f>IF(H258="","",IF($I$8="A",(RANK(H258,H$11:H$368,1)+COUNTIF(H$11:H258,H258)-1),(RANK(H258,H$11:H$368)+COUNTIF(H$11:H258,H258)-1)))</f>
        <v>95</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82.576163755771162</v>
      </c>
      <c r="AY258" s="103"/>
      <c r="AZ258" s="21"/>
    </row>
    <row r="259" spans="1:52">
      <c r="A259" s="56" t="str">
        <f>$D$1&amp;249</f>
        <v>SD249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80.987988076128133</v>
      </c>
      <c r="G259" s="71"/>
      <c r="H259" s="37">
        <f t="shared" si="74"/>
        <v>80.987988076128133</v>
      </c>
      <c r="I259" s="77">
        <f>IF(H259="","",IF($I$8="A",(RANK(H259,H$11:H$368,1)+COUNTIF(H$11:H259,H259)-1),(RANK(H259,H$11:H$368)+COUNTIF(H$11:H259,H259)-1)))</f>
        <v>129</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80.987988076128133</v>
      </c>
      <c r="AY259" s="103"/>
      <c r="AZ259" s="21"/>
    </row>
    <row r="260" spans="1:52">
      <c r="A260" s="56" t="str">
        <f>$D$1&amp;250</f>
        <v>SD250</v>
      </c>
      <c r="B260" s="57">
        <f>IF(ISERROR(VLOOKUP(A260,classifications!A:C,3,FALSE)),0,VLOOKUP(A260,classifications!A:C,3,FALSE))</f>
        <v>0</v>
      </c>
      <c r="C260" s="8" t="s">
        <v>244</v>
      </c>
      <c r="D260" s="26" t="str">
        <f>VLOOKUP($C260,classifications!$C:$J,4,FALSE)</f>
        <v>MD</v>
      </c>
      <c r="E260" s="26">
        <f>VLOOKUP(C260,classifications!C:K,9,FALSE)</f>
        <v>0</v>
      </c>
      <c r="F260" s="36">
        <f t="shared" si="73"/>
        <v>79.853902396339464</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79.853902396339464</v>
      </c>
      <c r="AY260" s="103"/>
      <c r="AZ260" s="21"/>
    </row>
    <row r="261" spans="1:52">
      <c r="A261" s="56" t="str">
        <f>$D$1&amp;251</f>
        <v>SD251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82.07013394594594</v>
      </c>
      <c r="G261" s="71"/>
      <c r="H261" s="37">
        <f t="shared" si="74"/>
        <v>82.07013394594594</v>
      </c>
      <c r="I261" s="77">
        <f>IF(H261="","",IF($I$8="A",(RANK(H261,H$11:H$368,1)+COUNTIF(H$11:H261,H261)-1),(RANK(H261,H$11:H$368)+COUNTIF(H$11:H261,H261)-1)))</f>
        <v>108</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82.07013394594594</v>
      </c>
      <c r="AY261" s="103"/>
      <c r="AZ261" s="21"/>
    </row>
    <row r="262" spans="1:52">
      <c r="A262" s="56" t="str">
        <f>$D$1&amp;252</f>
        <v>SD252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83.403242624283962</v>
      </c>
      <c r="G262" s="71"/>
      <c r="H262" s="37">
        <f t="shared" si="74"/>
        <v>83.403242624283962</v>
      </c>
      <c r="I262" s="77">
        <f>IF(H262="","",IF($I$8="A",(RANK(H262,H$11:H$368,1)+COUNTIF(H$11:H262,H262)-1),(RANK(H262,H$11:H$368)+COUNTIF(H$11:H262,H262)-1)))</f>
        <v>86</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83.403242624283962</v>
      </c>
      <c r="AY262" s="103"/>
      <c r="AZ262" s="21"/>
    </row>
    <row r="263" spans="1:52">
      <c r="A263" s="56" t="str">
        <f>$D$1&amp;253</f>
        <v>SD253</v>
      </c>
      <c r="B263" s="57">
        <f>IF(ISERROR(VLOOKUP(A263,classifications!A:C,3,FALSE)),0,VLOOKUP(A263,classifications!A:C,3,FALSE))</f>
        <v>0</v>
      </c>
      <c r="C263" s="8" t="s">
        <v>245</v>
      </c>
      <c r="D263" s="26" t="str">
        <f>VLOOKUP($C263,classifications!$C:$J,4,FALSE)</f>
        <v>MD</v>
      </c>
      <c r="E263" s="26">
        <f>VLOOKUP(C263,classifications!C:K,9,FALSE)</f>
        <v>0</v>
      </c>
      <c r="F263" s="36">
        <f t="shared" si="73"/>
        <v>80.057201862067416</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80.057201862067416</v>
      </c>
      <c r="AY263" s="103"/>
      <c r="AZ263" s="21"/>
    </row>
    <row r="264" spans="1:52">
      <c r="A264" s="56" t="str">
        <f>$D$1&amp;254</f>
        <v>SD254</v>
      </c>
      <c r="B264" s="57">
        <f>IF(ISERROR(VLOOKUP(A264,classifications!A:C,3,FALSE)),0,VLOOKUP(A264,classifications!A:C,3,FALSE))</f>
        <v>0</v>
      </c>
      <c r="C264" s="8" t="s">
        <v>897</v>
      </c>
      <c r="D264" s="26" t="str">
        <f>VLOOKUP($C264,classifications!$C:$J,4,FALSE)</f>
        <v>SD</v>
      </c>
      <c r="E264" s="26">
        <f>VLOOKUP(C264,classifications!C:K,9,FALSE)</f>
        <v>0</v>
      </c>
      <c r="F264" s="36">
        <f t="shared" si="73"/>
        <v>78.87145783625418</v>
      </c>
      <c r="G264" s="71"/>
      <c r="H264" s="37">
        <f t="shared" si="74"/>
        <v>78.87145783625418</v>
      </c>
      <c r="I264" s="77">
        <f>IF(H264="","",IF($I$8="A",(RANK(H264,H$11:H$368,1)+COUNTIF(H$11:H264,H264)-1),(RANK(H264,H$11:H$368)+COUNTIF(H$11:H264,H264)-1)))</f>
        <v>156</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78.87145783625418</v>
      </c>
      <c r="AY264" s="103"/>
      <c r="AZ264" s="21"/>
    </row>
    <row r="265" spans="1:52">
      <c r="A265" s="56" t="str">
        <f>$D$1&amp;255</f>
        <v>SD255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81.262706667325276</v>
      </c>
      <c r="G265" s="71"/>
      <c r="H265" s="37" t="str">
        <f t="shared" si="74"/>
        <v/>
      </c>
      <c r="I265" s="77" t="str">
        <f>IF(H265="","",IF($I$8="A",(RANK(H265,H$11:H$368,1)+COUNTIF(H$11:H265,H265)-1),(RANK(H265,H$11:H$368)+COUNTIF(H$11:H265,H265)-1)))</f>
        <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81.262706667325276</v>
      </c>
      <c r="AY265" s="103"/>
      <c r="AZ265" s="21"/>
    </row>
    <row r="266" spans="1:52">
      <c r="A266" s="56" t="str">
        <f>$D$1&amp;256</f>
        <v>SD256</v>
      </c>
      <c r="B266" s="57">
        <f>IF(ISERROR(VLOOKUP(A266,classifications!A:C,3,FALSE)),0,VLOOKUP(A266,classifications!A:C,3,FALSE))</f>
        <v>0</v>
      </c>
      <c r="C266" s="8" t="s">
        <v>286</v>
      </c>
      <c r="D266" s="26" t="str">
        <f>VLOOKUP($C266,classifications!$C:$J,4,FALSE)</f>
        <v>UA</v>
      </c>
      <c r="E266" s="26">
        <f>VLOOKUP(C266,classifications!C:K,9,FALSE)</f>
        <v>0</v>
      </c>
      <c r="F266" s="36">
        <f t="shared" si="73"/>
        <v>71.66128613397585</v>
      </c>
      <c r="G266" s="71"/>
      <c r="H266" s="37" t="str">
        <f t="shared" si="74"/>
        <v/>
      </c>
      <c r="I266" s="77" t="str">
        <f>IF(H266="","",IF($I$8="A",(RANK(H266,H$11:H$368,1)+COUNTIF(H$11:H266,H266)-1),(RANK(H266,H$11:H$368)+COUNTIF(H$11:H266,H266)-1)))</f>
        <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71.66128613397585</v>
      </c>
      <c r="AY266" s="103"/>
      <c r="AZ266" s="21"/>
    </row>
    <row r="267" spans="1:52">
      <c r="A267" s="56" t="str">
        <f>$D$1&amp;257</f>
        <v>SD257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83.574346282408229</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83.574346282408229</v>
      </c>
      <c r="AY267" s="103"/>
      <c r="AZ267" s="21"/>
    </row>
    <row r="268" spans="1:52">
      <c r="A268" s="56" t="str">
        <f>$D$1&amp;258</f>
        <v>SD258</v>
      </c>
      <c r="B268" s="57">
        <f>IF(ISERROR(VLOOKUP(A268,classifications!A:C,3,FALSE)),0,VLOOKUP(A268,classifications!A:C,3,FALSE))</f>
        <v>0</v>
      </c>
      <c r="C268" s="8" t="s">
        <v>326</v>
      </c>
      <c r="D268" s="26" t="str">
        <f>VLOOKUP($C268,classifications!$C:$J,4,FALSE)</f>
        <v>SC</v>
      </c>
      <c r="E268" s="26">
        <f>VLOOKUP(C268,classifications!C:K,9,FALSE)</f>
        <v>0</v>
      </c>
      <c r="F268" s="36">
        <f t="shared" si="97"/>
        <v>83.236095220846323</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83.236095220846323</v>
      </c>
      <c r="AY268" s="103"/>
      <c r="AZ268" s="21"/>
    </row>
    <row r="269" spans="1:52">
      <c r="A269" s="56" t="str">
        <f>$D$1&amp;259</f>
        <v>SD259</v>
      </c>
      <c r="B269" s="57">
        <f>IF(ISERROR(VLOOKUP(A269,classifications!A:C,3,FALSE)),0,VLOOKUP(A269,classifications!A:C,3,FALSE))</f>
        <v>0</v>
      </c>
      <c r="C269" s="8" t="s">
        <v>906</v>
      </c>
      <c r="D269" s="26" t="str">
        <f>VLOOKUP($C269,classifications!$C:$J,4,FALSE)</f>
        <v>SD</v>
      </c>
      <c r="E269" s="26" t="str">
        <f>VLOOKUP(C269,classifications!C:K,9,FALSE)</f>
        <v>Sparse</v>
      </c>
      <c r="F269" s="36">
        <f t="shared" si="97"/>
        <v>83.146927184978921</v>
      </c>
      <c r="G269" s="71"/>
      <c r="H269" s="37">
        <f t="shared" si="98"/>
        <v>83.146927184978921</v>
      </c>
      <c r="I269" s="77">
        <f>IF(H269="","",IF($I$8="A",(RANK(H269,H$11:H$368,1)+COUNTIF(H$11:H269,H269)-1),(RANK(H269,H$11:H$368)+COUNTIF(H$11:H269,H269)-1)))</f>
        <v>89</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83.146927184978921</v>
      </c>
      <c r="AY269" s="103"/>
      <c r="AZ269" s="21"/>
    </row>
    <row r="270" spans="1:52">
      <c r="A270" s="56" t="str">
        <f>$D$1&amp;260</f>
        <v>SD260</v>
      </c>
      <c r="B270" s="57">
        <f>IF(ISERROR(VLOOKUP(A270,classifications!A:C,3,FALSE)),0,VLOOKUP(A270,classifications!A:C,3,FALSE))</f>
        <v>0</v>
      </c>
      <c r="C270" s="8" t="s">
        <v>137</v>
      </c>
      <c r="D270" s="26" t="str">
        <f>VLOOKUP($C270,classifications!$C:$J,4,FALSE)</f>
        <v>SD</v>
      </c>
      <c r="E270" s="26">
        <f>VLOOKUP(C270,classifications!C:K,9,FALSE)</f>
        <v>0</v>
      </c>
      <c r="F270" s="36">
        <f t="shared" si="97"/>
        <v>80.06415858676192</v>
      </c>
      <c r="G270" s="71"/>
      <c r="H270" s="37">
        <f t="shared" si="98"/>
        <v>80.06415858676192</v>
      </c>
      <c r="I270" s="77">
        <f>IF(H270="","",IF($I$8="A",(RANK(H270,H$11:H$368,1)+COUNTIF(H$11:H270,H270)-1),(RANK(H270,H$11:H$368)+COUNTIF(H$11:H270,H270)-1)))</f>
        <v>144</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80.06415858676192</v>
      </c>
      <c r="AY270" s="103"/>
      <c r="AZ270" s="21"/>
    </row>
    <row r="271" spans="1:52">
      <c r="A271" s="56" t="str">
        <f>$D$1&amp;261</f>
        <v>SD261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85.854298338940708</v>
      </c>
      <c r="G271" s="71"/>
      <c r="H271" s="37">
        <f t="shared" si="98"/>
        <v>85.854298338940708</v>
      </c>
      <c r="I271" s="77">
        <f>IF(H271="","",IF($I$8="A",(RANK(H271,H$11:H$368,1)+COUNTIF(H$11:H271,H271)-1),(RANK(H271,H$11:H$368)+COUNTIF(H$11:H271,H271)-1)))</f>
        <v>40</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85.854298338940708</v>
      </c>
      <c r="AY271" s="103"/>
      <c r="AZ271" s="21"/>
    </row>
    <row r="272" spans="1:52">
      <c r="A272" s="56" t="str">
        <f>$D$1&amp;262</f>
        <v>SD262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76.551521459605794</v>
      </c>
      <c r="G272" s="71"/>
      <c r="H272" s="37">
        <f t="shared" si="98"/>
        <v>76.551521459605794</v>
      </c>
      <c r="I272" s="77">
        <f>IF(H272="","",IF($I$8="A",(RANK(H272,H$11:H$368,1)+COUNTIF(H$11:H272,H272)-1),(RANK(H272,H$11:H$368)+COUNTIF(H$11:H272,H272)-1)))</f>
        <v>175</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76.551521459605794</v>
      </c>
      <c r="AY272" s="103"/>
      <c r="AZ272" s="21"/>
    </row>
    <row r="273" spans="1:52">
      <c r="A273" s="56" t="str">
        <f>$D$1&amp;263</f>
        <v>SD263</v>
      </c>
      <c r="B273" s="57">
        <f>IF(ISERROR(VLOOKUP(A273,classifications!A:C,3,FALSE)),0,VLOOKUP(A273,classifications!A:C,3,FALSE))</f>
        <v>0</v>
      </c>
      <c r="C273" s="8" t="s">
        <v>287</v>
      </c>
      <c r="D273" s="26" t="str">
        <f>VLOOKUP($C273,classifications!$C:$J,4,FALSE)</f>
        <v>UA</v>
      </c>
      <c r="E273" s="26">
        <f>VLOOKUP(C273,classifications!C:K,9,FALSE)</f>
        <v>0</v>
      </c>
      <c r="F273" s="36">
        <f t="shared" si="97"/>
        <v>86.169250060231562</v>
      </c>
      <c r="G273" s="71"/>
      <c r="H273" s="37" t="str">
        <f t="shared" si="98"/>
        <v/>
      </c>
      <c r="I273" s="77" t="str">
        <f>IF(H273="","",IF($I$8="A",(RANK(H273,H$11:H$368,1)+COUNTIF(H$11:H273,H273)-1),(RANK(H273,H$11:H$368)+COUNTIF(H$11:H273,H273)-1)))</f>
        <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86.169250060231562</v>
      </c>
      <c r="AY273" s="103"/>
      <c r="AZ273" s="21"/>
    </row>
    <row r="274" spans="1:52">
      <c r="A274" s="56" t="str">
        <f>$D$1&amp;264</f>
        <v>SD264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88.114833574245324</v>
      </c>
      <c r="G274" s="71"/>
      <c r="H274" s="37">
        <f t="shared" si="98"/>
        <v>88.114833574245324</v>
      </c>
      <c r="I274" s="77">
        <f>IF(H274="","",IF($I$8="A",(RANK(H274,H$11:H$368,1)+COUNTIF(H$11:H274,H274)-1),(RANK(H274,H$11:H$368)+COUNTIF(H$11:H274,H274)-1)))</f>
        <v>9</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88.114833574245324</v>
      </c>
      <c r="AY274" s="103"/>
      <c r="AZ274" s="21"/>
    </row>
    <row r="275" spans="1:52">
      <c r="A275" s="56" t="str">
        <f>$D$1&amp;265</f>
        <v>SD265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74.535433975926495</v>
      </c>
      <c r="G275" s="71"/>
      <c r="H275" s="37">
        <f t="shared" si="98"/>
        <v>74.535433975926495</v>
      </c>
      <c r="I275" s="77">
        <f>IF(H275="","",IF($I$8="A",(RANK(H275,H$11:H$368,1)+COUNTIF(H$11:H275,H275)-1),(RANK(H275,H$11:H$368)+COUNTIF(H$11:H275,H275)-1)))</f>
        <v>187</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74.535433975926495</v>
      </c>
      <c r="AY275" s="103"/>
      <c r="AZ275" s="21"/>
    </row>
    <row r="276" spans="1:52">
      <c r="A276" s="56" t="str">
        <f>$D$1&amp;266</f>
        <v>SD266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76.277737156810716</v>
      </c>
      <c r="G276" s="71"/>
      <c r="H276" s="37">
        <f t="shared" si="98"/>
        <v>76.277737156810716</v>
      </c>
      <c r="I276" s="77">
        <f>IF(H276="","",IF($I$8="A",(RANK(H276,H$11:H$368,1)+COUNTIF(H$11:H276,H276)-1),(RANK(H276,H$11:H$368)+COUNTIF(H$11:H276,H276)-1)))</f>
        <v>178</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76.277737156810716</v>
      </c>
      <c r="AY276" s="103"/>
      <c r="AZ276" s="21"/>
    </row>
    <row r="277" spans="1:52">
      <c r="A277" s="56" t="str">
        <f>$D$1&amp;267</f>
        <v>SD267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86.127920184335537</v>
      </c>
      <c r="G277" s="71"/>
      <c r="H277" s="37">
        <f t="shared" si="98"/>
        <v>86.127920184335537</v>
      </c>
      <c r="I277" s="77">
        <f>IF(H277="","",IF($I$8="A",(RANK(H277,H$11:H$368,1)+COUNTIF(H$11:H277,H277)-1),(RANK(H277,H$11:H$368)+COUNTIF(H$11:H277,H277)-1)))</f>
        <v>35</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86.127920184335537</v>
      </c>
      <c r="AY277" s="103"/>
      <c r="AZ277" s="21"/>
    </row>
    <row r="278" spans="1:52">
      <c r="A278" s="56" t="str">
        <f>$D$1&amp;268</f>
        <v>SD268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83.687660389800357</v>
      </c>
      <c r="G278" s="71"/>
      <c r="H278" s="37">
        <f t="shared" si="98"/>
        <v>83.687660389800357</v>
      </c>
      <c r="I278" s="77">
        <f>IF(H278="","",IF($I$8="A",(RANK(H278,H$11:H$368,1)+COUNTIF(H$11:H278,H278)-1),(RANK(H278,H$11:H$368)+COUNTIF(H$11:H278,H278)-1)))</f>
        <v>75</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83.687660389800357</v>
      </c>
      <c r="AY278" s="103"/>
      <c r="AZ278" s="21"/>
    </row>
    <row r="279" spans="1:52">
      <c r="A279" s="56" t="str">
        <f>$D$1&amp;269</f>
        <v>SD269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83.691511995421209</v>
      </c>
      <c r="G279" s="71"/>
      <c r="H279" s="37">
        <f t="shared" si="98"/>
        <v>83.691511995421209</v>
      </c>
      <c r="I279" s="77">
        <f>IF(H279="","",IF($I$8="A",(RANK(H279,H$11:H$368,1)+COUNTIF(H$11:H279,H279)-1),(RANK(H279,H$11:H$368)+COUNTIF(H$11:H279,H279)-1)))</f>
        <v>74</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83.691511995421209</v>
      </c>
      <c r="AY279" s="103"/>
      <c r="AZ279" s="21"/>
    </row>
    <row r="280" spans="1:52">
      <c r="A280" s="56" t="str">
        <f>$D$1&amp;270</f>
        <v>SD270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86.607379837809205</v>
      </c>
      <c r="G280" s="71"/>
      <c r="H280" s="37">
        <f t="shared" si="98"/>
        <v>86.607379837809205</v>
      </c>
      <c r="I280" s="77">
        <f>IF(H280="","",IF($I$8="A",(RANK(H280,H$11:H$368,1)+COUNTIF(H$11:H280,H280)-1),(RANK(H280,H$11:H$368)+COUNTIF(H$11:H280,H280)-1)))</f>
        <v>26</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86.607379837809205</v>
      </c>
      <c r="AY280" s="103"/>
      <c r="AZ280" s="21"/>
    </row>
    <row r="281" spans="1:52">
      <c r="A281" s="56" t="str">
        <f>$D$1&amp;271</f>
        <v>SD271</v>
      </c>
      <c r="B281" s="57">
        <f>IF(ISERROR(VLOOKUP(A281,classifications!A:C,3,FALSE)),0,VLOOKUP(A281,classifications!A:C,3,FALSE))</f>
        <v>0</v>
      </c>
      <c r="C281" s="8" t="s">
        <v>147</v>
      </c>
      <c r="D281" s="26" t="str">
        <f>VLOOKUP($C281,classifications!$C:$J,4,FALSE)</f>
        <v>SD</v>
      </c>
      <c r="E281" s="26">
        <f>VLOOKUP(C281,classifications!C:K,9,FALSE)</f>
        <v>0</v>
      </c>
      <c r="F281" s="36">
        <f t="shared" si="97"/>
        <v>83.096861801507984</v>
      </c>
      <c r="G281" s="71"/>
      <c r="H281" s="37">
        <f t="shared" si="98"/>
        <v>83.096861801507984</v>
      </c>
      <c r="I281" s="77">
        <f>IF(H281="","",IF($I$8="A",(RANK(H281,H$11:H$368,1)+COUNTIF(H$11:H281,H281)-1),(RANK(H281,H$11:H$368)+COUNTIF(H$11:H281,H281)-1)))</f>
        <v>90</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83.096861801507984</v>
      </c>
      <c r="AY281" s="103"/>
      <c r="AZ281" s="21"/>
    </row>
    <row r="282" spans="1:52">
      <c r="A282" s="56" t="str">
        <f>$D$1&amp;272</f>
        <v>SD272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82.960311715456797</v>
      </c>
      <c r="G282" s="71"/>
      <c r="H282" s="37">
        <f t="shared" si="98"/>
        <v>82.960311715456797</v>
      </c>
      <c r="I282" s="77">
        <f>IF(H282="","",IF($I$8="A",(RANK(H282,H$11:H$368,1)+COUNTIF(H$11:H282,H282)-1),(RANK(H282,H$11:H$368)+COUNTIF(H$11:H282,H282)-1)))</f>
        <v>92</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82.960311715456797</v>
      </c>
      <c r="AY282" s="103"/>
      <c r="AZ282" s="21"/>
    </row>
    <row r="283" spans="1:52">
      <c r="A283" s="56" t="str">
        <f>$D$1&amp;273</f>
        <v>SD273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77.878464707712496</v>
      </c>
      <c r="G283" s="71"/>
      <c r="H283" s="37">
        <f t="shared" si="98"/>
        <v>77.878464707712496</v>
      </c>
      <c r="I283" s="77">
        <f>IF(H283="","",IF($I$8="A",(RANK(H283,H$11:H$368,1)+COUNTIF(H$11:H283,H283)-1),(RANK(H283,H$11:H$368)+COUNTIF(H$11:H283,H283)-1)))</f>
        <v>167</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77.878464707712496</v>
      </c>
      <c r="AY283" s="103"/>
      <c r="AZ283" s="21"/>
    </row>
    <row r="284" spans="1:52">
      <c r="A284" s="56" t="str">
        <f>$D$1&amp;274</f>
        <v>SD274</v>
      </c>
      <c r="B284" s="57">
        <f>IF(ISERROR(VLOOKUP(A284,classifications!A:C,3,FALSE)),0,VLOOKUP(A284,classifications!A:C,3,FALSE))</f>
        <v>0</v>
      </c>
      <c r="C284" s="8" t="s">
        <v>247</v>
      </c>
      <c r="D284" s="26" t="str">
        <f>VLOOKUP($C284,classifications!$C:$J,4,FALSE)</f>
        <v>MD</v>
      </c>
      <c r="E284" s="26">
        <f>VLOOKUP(C284,classifications!C:K,9,FALSE)</f>
        <v>0</v>
      </c>
      <c r="F284" s="36">
        <f t="shared" si="97"/>
        <v>79.897493596827786</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79.897493596827786</v>
      </c>
      <c r="AY284" s="103"/>
      <c r="AZ284" s="21"/>
    </row>
    <row r="285" spans="1:52">
      <c r="A285" s="56" t="str">
        <f>$D$1&amp;275</f>
        <v>SD275</v>
      </c>
      <c r="B285" s="57">
        <f>IF(ISERROR(VLOOKUP(A285,classifications!A:C,3,FALSE)),0,VLOOKUP(A285,classifications!A:C,3,FALSE))</f>
        <v>0</v>
      </c>
      <c r="C285" s="8" t="s">
        <v>288</v>
      </c>
      <c r="D285" s="26" t="str">
        <f>VLOOKUP($C285,classifications!$C:$J,4,FALSE)</f>
        <v>UA</v>
      </c>
      <c r="E285" s="26">
        <f>VLOOKUP(C285,classifications!C:K,9,FALSE)</f>
        <v>0</v>
      </c>
      <c r="F285" s="36">
        <f t="shared" si="97"/>
        <v>84.463162833012163</v>
      </c>
      <c r="G285" s="71"/>
      <c r="H285" s="37" t="str">
        <f t="shared" si="98"/>
        <v/>
      </c>
      <c r="I285" s="77" t="str">
        <f>IF(H285="","",IF($I$8="A",(RANK(H285,H$11:H$368,1)+COUNTIF(H$11:H285,H285)-1),(RANK(H285,H$11:H$368)+COUNTIF(H$11:H285,H285)-1)))</f>
        <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84.463162833012163</v>
      </c>
      <c r="AY285" s="103"/>
      <c r="AZ285" s="21"/>
    </row>
    <row r="286" spans="1:52">
      <c r="A286" s="56" t="str">
        <f>$D$1&amp;276</f>
        <v>SD276</v>
      </c>
      <c r="B286" s="57">
        <f>IF(ISERROR(VLOOKUP(A286,classifications!A:C,3,FALSE)),0,VLOOKUP(A286,classifications!A:C,3,FALSE))</f>
        <v>0</v>
      </c>
      <c r="C286" s="8" t="s">
        <v>289</v>
      </c>
      <c r="D286" s="26" t="str">
        <f>VLOOKUP($C286,classifications!$C:$J,4,FALSE)</f>
        <v>UA</v>
      </c>
      <c r="E286" s="26">
        <f>VLOOKUP(C286,classifications!C:K,9,FALSE)</f>
        <v>0</v>
      </c>
      <c r="F286" s="36">
        <f t="shared" si="97"/>
        <v>76.94998961504443</v>
      </c>
      <c r="G286" s="71"/>
      <c r="H286" s="37" t="str">
        <f t="shared" si="98"/>
        <v/>
      </c>
      <c r="I286" s="77" t="str">
        <f>IF(H286="","",IF($I$8="A",(RANK(H286,H$11:H$368,1)+COUNTIF(H$11:H286,H286)-1),(RANK(H286,H$11:H$368)+COUNTIF(H$11:H286,H286)-1)))</f>
        <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76.94998961504443</v>
      </c>
      <c r="AY286" s="103"/>
      <c r="AZ286" s="21"/>
    </row>
    <row r="287" spans="1:52">
      <c r="A287" s="56" t="str">
        <f>$D$1&amp;277</f>
        <v>SD277</v>
      </c>
      <c r="B287" s="57">
        <f>IF(ISERROR(VLOOKUP(A287,classifications!A:C,3,FALSE)),0,VLOOKUP(A287,classifications!A:C,3,FALSE))</f>
        <v>0</v>
      </c>
      <c r="C287" s="8" t="s">
        <v>217</v>
      </c>
      <c r="D287" s="26" t="str">
        <f>VLOOKUP($C287,classifications!$C:$J,4,FALSE)</f>
        <v>L</v>
      </c>
      <c r="E287" s="26">
        <f>VLOOKUP(C287,classifications!C:K,9,FALSE)</f>
        <v>0</v>
      </c>
      <c r="F287" s="36">
        <f t="shared" si="97"/>
        <v>84.343569969916516</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84.343569969916516</v>
      </c>
      <c r="AY287" s="103"/>
      <c r="AZ287" s="21"/>
    </row>
    <row r="288" spans="1:52">
      <c r="A288" s="56" t="str">
        <f>$D$1&amp;278</f>
        <v>SD278</v>
      </c>
      <c r="B288" s="57">
        <f>IF(ISERROR(VLOOKUP(A288,classifications!A:C,3,FALSE)),0,VLOOKUP(A288,classifications!A:C,3,FALSE))</f>
        <v>0</v>
      </c>
      <c r="C288" s="8" t="s">
        <v>150</v>
      </c>
      <c r="D288" s="26" t="str">
        <f>VLOOKUP($C288,classifications!$C:$J,4,FALSE)</f>
        <v>SD</v>
      </c>
      <c r="E288" s="26">
        <f>VLOOKUP(C288,classifications!C:K,9,FALSE)</f>
        <v>0</v>
      </c>
      <c r="F288" s="36">
        <f t="shared" si="97"/>
        <v>82.285651741674101</v>
      </c>
      <c r="G288" s="71"/>
      <c r="H288" s="37">
        <f t="shared" si="98"/>
        <v>82.285651741674101</v>
      </c>
      <c r="I288" s="77">
        <f>IF(H288="","",IF($I$8="A",(RANK(H288,H$11:H$368,1)+COUNTIF(H$11:H288,H288)-1),(RANK(H288,H$11:H$368)+COUNTIF(H$11:H288,H288)-1)))</f>
        <v>101</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82.285651741674101</v>
      </c>
      <c r="AY288" s="103"/>
      <c r="AZ288" s="21"/>
    </row>
    <row r="289" spans="1:52">
      <c r="A289" s="56" t="str">
        <f>$D$1&amp;279</f>
        <v>SD279</v>
      </c>
      <c r="B289" s="57">
        <f>IF(ISERROR(VLOOKUP(A289,classifications!A:C,3,FALSE)),0,VLOOKUP(A289,classifications!A:C,3,FALSE))</f>
        <v>0</v>
      </c>
      <c r="C289" s="8" t="s">
        <v>151</v>
      </c>
      <c r="D289" s="26" t="str">
        <f>VLOOKUP($C289,classifications!$C:$J,4,FALSE)</f>
        <v>SD</v>
      </c>
      <c r="E289" s="26">
        <f>VLOOKUP(C289,classifications!C:K,9,FALSE)</f>
        <v>0</v>
      </c>
      <c r="F289" s="36">
        <f t="shared" si="97"/>
        <v>86.168577447552352</v>
      </c>
      <c r="G289" s="71"/>
      <c r="H289" s="37">
        <f t="shared" si="98"/>
        <v>86.168577447552352</v>
      </c>
      <c r="I289" s="77">
        <f>IF(H289="","",IF($I$8="A",(RANK(H289,H$11:H$368,1)+COUNTIF(H$11:H289,H289)-1),(RANK(H289,H$11:H$368)+COUNTIF(H$11:H289,H289)-1)))</f>
        <v>32</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86.168577447552352</v>
      </c>
      <c r="AY289" s="103"/>
      <c r="AZ289" s="21"/>
    </row>
    <row r="290" spans="1:52">
      <c r="A290" s="56" t="str">
        <f>$D$1&amp;280</f>
        <v>SD280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v>
      </c>
      <c r="I290" s="77" t="e">
        <f>IF(H290="","",IF($I$8="A",(RANK(H290,H$11:H$368,1)+COUNTIF(H$11:H290,H290)-1),(RANK(H290,H$11:H$368)+COUNTIF(H$11:H290,H290)-1)))</f>
        <v>#VALUE!</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SD281</v>
      </c>
      <c r="B291" s="57">
        <f>IF(ISERROR(VLOOKUP(A291,classifications!A:C,3,FALSE)),0,VLOOKUP(A291,classifications!A:C,3,FALSE))</f>
        <v>0</v>
      </c>
      <c r="C291" s="8" t="s">
        <v>248</v>
      </c>
      <c r="D291" s="26" t="str">
        <f>VLOOKUP($C291,classifications!$C:$J,4,FALSE)</f>
        <v>MD</v>
      </c>
      <c r="E291" s="26">
        <f>VLOOKUP(C291,classifications!C:K,9,FALSE)</f>
        <v>0</v>
      </c>
      <c r="F291" s="36">
        <f t="shared" si="97"/>
        <v>77.535024896980801</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77.535024896980801</v>
      </c>
      <c r="AY291" s="103"/>
      <c r="AZ291" s="21"/>
    </row>
    <row r="292" spans="1:52">
      <c r="A292" s="56" t="str">
        <f>$D$1&amp;282</f>
        <v>SD282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80.628429131598295</v>
      </c>
      <c r="G292" s="71"/>
      <c r="H292" s="37">
        <f t="shared" si="98"/>
        <v>80.628429131598295</v>
      </c>
      <c r="I292" s="77">
        <f>IF(H292="","",IF($I$8="A",(RANK(H292,H$11:H$368,1)+COUNTIF(H$11:H292,H292)-1),(RANK(H292,H$11:H$368)+COUNTIF(H$11:H292,H292)-1)))</f>
        <v>133</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80.628429131598295</v>
      </c>
      <c r="AY292" s="103"/>
      <c r="AZ292" s="21"/>
    </row>
    <row r="293" spans="1:52">
      <c r="A293" s="56" t="str">
        <f>$D$1&amp;283</f>
        <v>SD283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78.750029660967968</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78.750029660967968</v>
      </c>
      <c r="AY293" s="103"/>
      <c r="AZ293" s="21"/>
    </row>
    <row r="294" spans="1:52">
      <c r="A294" s="56" t="str">
        <f>$D$1&amp;284</f>
        <v>SD284</v>
      </c>
      <c r="B294" s="57">
        <f>IF(ISERROR(VLOOKUP(A294,classifications!A:C,3,FALSE)),0,VLOOKUP(A294,classifications!A:C,3,FALSE))</f>
        <v>0</v>
      </c>
      <c r="C294" s="8" t="s">
        <v>154</v>
      </c>
      <c r="D294" s="26" t="str">
        <f>VLOOKUP($C294,classifications!$C:$J,4,FALSE)</f>
        <v>SD</v>
      </c>
      <c r="E294" s="26">
        <f>VLOOKUP(C294,classifications!C:K,9,FALSE)</f>
        <v>0</v>
      </c>
      <c r="F294" s="36">
        <f t="shared" si="97"/>
        <v>78.783205335978252</v>
      </c>
      <c r="G294" s="71"/>
      <c r="H294" s="37">
        <f t="shared" si="98"/>
        <v>78.783205335978252</v>
      </c>
      <c r="I294" s="77">
        <f>IF(H294="","",IF($I$8="A",(RANK(H294,H$11:H$368,1)+COUNTIF(H$11:H294,H294)-1),(RANK(H294,H$11:H$368)+COUNTIF(H$11:H294,H294)-1)))</f>
        <v>157</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78.783205335978252</v>
      </c>
      <c r="AY294" s="103"/>
      <c r="AZ294" s="21"/>
    </row>
    <row r="295" spans="1:52">
      <c r="A295" s="56" t="str">
        <f>$D$1&amp;285</f>
        <v>SD285</v>
      </c>
      <c r="B295" s="57">
        <f>IF(ISERROR(VLOOKUP(A295,classifications!A:C,3,FALSE)),0,VLOOKUP(A295,classifications!A:C,3,FALSE))</f>
        <v>0</v>
      </c>
      <c r="C295" s="8" t="s">
        <v>155</v>
      </c>
      <c r="D295" s="26" t="str">
        <f>VLOOKUP($C295,classifications!$C:$J,4,FALSE)</f>
        <v>SD</v>
      </c>
      <c r="E295" s="26">
        <f>VLOOKUP(C295,classifications!C:K,9,FALSE)</f>
        <v>0</v>
      </c>
      <c r="F295" s="36">
        <f t="shared" si="97"/>
        <v>80.749600024003115</v>
      </c>
      <c r="G295" s="71"/>
      <c r="H295" s="37">
        <f t="shared" si="98"/>
        <v>80.749600024003115</v>
      </c>
      <c r="I295" s="77">
        <f>IF(H295="","",IF($I$8="A",(RANK(H295,H$11:H$368,1)+COUNTIF(H$11:H295,H295)-1),(RANK(H295,H$11:H$368)+COUNTIF(H$11:H295,H295)-1)))</f>
        <v>130</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80.749600024003115</v>
      </c>
      <c r="AY295" s="103"/>
      <c r="AZ295" s="21"/>
    </row>
    <row r="296" spans="1:52">
      <c r="A296" s="56" t="str">
        <f>$D$1&amp;286</f>
        <v>SD286</v>
      </c>
      <c r="B296" s="57">
        <f>IF(ISERROR(VLOOKUP(A296,classifications!A:C,3,FALSE)),0,VLOOKUP(A296,classifications!A:C,3,FALSE))</f>
        <v>0</v>
      </c>
      <c r="C296" s="8" t="s">
        <v>249</v>
      </c>
      <c r="D296" s="26" t="str">
        <f>VLOOKUP($C296,classifications!$C:$J,4,FALSE)</f>
        <v>MD</v>
      </c>
      <c r="E296" s="26">
        <f>VLOOKUP(C296,classifications!C:K,9,FALSE)</f>
        <v>0</v>
      </c>
      <c r="F296" s="36">
        <f t="shared" si="97"/>
        <v>79.423947416717681</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79.423947416717681</v>
      </c>
      <c r="AY296" s="103"/>
      <c r="AZ296" s="21"/>
    </row>
    <row r="297" spans="1:52">
      <c r="A297" s="56" t="str">
        <f>$D$1&amp;287</f>
        <v>SD287</v>
      </c>
      <c r="B297" s="57">
        <f>IF(ISERROR(VLOOKUP(A297,classifications!A:C,3,FALSE)),0,VLOOKUP(A297,classifications!A:C,3,FALSE))</f>
        <v>0</v>
      </c>
      <c r="C297" s="8" t="s">
        <v>290</v>
      </c>
      <c r="D297" s="26" t="str">
        <f>VLOOKUP($C297,classifications!$C:$J,4,FALSE)</f>
        <v>UA</v>
      </c>
      <c r="E297" s="26">
        <f>VLOOKUP(C297,classifications!C:K,9,FALSE)</f>
        <v>0</v>
      </c>
      <c r="F297" s="36">
        <f t="shared" si="97"/>
        <v>78.520943762207935</v>
      </c>
      <c r="G297" s="71"/>
      <c r="H297" s="37" t="str">
        <f t="shared" si="98"/>
        <v/>
      </c>
      <c r="I297" s="77" t="str">
        <f>IF(H297="","",IF($I$8="A",(RANK(H297,H$11:H$368,1)+COUNTIF(H$11:H297,H297)-1),(RANK(H297,H$11:H$368)+COUNTIF(H$11:H297,H297)-1)))</f>
        <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78.520943762207935</v>
      </c>
      <c r="AY297" s="103"/>
      <c r="AZ297" s="21"/>
    </row>
    <row r="298" spans="1:52">
      <c r="A298" s="56" t="str">
        <f>$D$1&amp;288</f>
        <v>SD288</v>
      </c>
      <c r="B298" s="57">
        <f>IF(ISERROR(VLOOKUP(A298,classifications!A:C,3,FALSE)),0,VLOOKUP(A298,classifications!A:C,3,FALSE))</f>
        <v>0</v>
      </c>
      <c r="C298" s="8" t="s">
        <v>291</v>
      </c>
      <c r="D298" s="26" t="str">
        <f>VLOOKUP($C298,classifications!$C:$J,4,FALSE)</f>
        <v>UA</v>
      </c>
      <c r="E298" s="26">
        <f>VLOOKUP(C298,classifications!C:K,9,FALSE)</f>
        <v>0</v>
      </c>
      <c r="F298" s="36">
        <f t="shared" si="97"/>
        <v>70.543197211140722</v>
      </c>
      <c r="G298" s="71"/>
      <c r="H298" s="37" t="str">
        <f t="shared" si="98"/>
        <v/>
      </c>
      <c r="I298" s="77" t="str">
        <f>IF(H298="","",IF($I$8="A",(RANK(H298,H$11:H$368,1)+COUNTIF(H$11:H298,H298)-1),(RANK(H298,H$11:H$368)+COUNTIF(H$11:H298,H298)-1)))</f>
        <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70.543197211140722</v>
      </c>
      <c r="AY298" s="103"/>
      <c r="AZ298" s="21"/>
    </row>
    <row r="299" spans="1:52">
      <c r="A299" s="56" t="str">
        <f>$D$1&amp;289</f>
        <v>SD289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81.494755210460639</v>
      </c>
      <c r="G299" s="71"/>
      <c r="H299" s="37">
        <f t="shared" si="98"/>
        <v>81.494755210460639</v>
      </c>
      <c r="I299" s="77">
        <f>IF(H299="","",IF($I$8="A",(RANK(H299,H$11:H$368,1)+COUNTIF(H$11:H299,H299)-1),(RANK(H299,H$11:H$368)+COUNTIF(H$11:H299,H299)-1)))</f>
        <v>119</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81.494755210460639</v>
      </c>
      <c r="AY299" s="103"/>
      <c r="AZ299" s="21"/>
    </row>
    <row r="300" spans="1:52">
      <c r="A300" s="56" t="str">
        <f>$D$1&amp;290</f>
        <v>SD290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86.591064229964161</v>
      </c>
      <c r="G300" s="71"/>
      <c r="H300" s="37">
        <f t="shared" si="98"/>
        <v>86.591064229964161</v>
      </c>
      <c r="I300" s="77">
        <f>IF(H300="","",IF($I$8="A",(RANK(H300,H$11:H$368,1)+COUNTIF(H$11:H300,H300)-1),(RANK(H300,H$11:H$368)+COUNTIF(H$11:H300,H300)-1)))</f>
        <v>27</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86.591064229964161</v>
      </c>
      <c r="AY300" s="103"/>
      <c r="AZ300" s="21"/>
    </row>
    <row r="301" spans="1:52">
      <c r="A301" s="56" t="str">
        <f>$D$1&amp;291</f>
        <v>SD291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82.364696744200316</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82.364696744200316</v>
      </c>
      <c r="AY301" s="103"/>
      <c r="AZ301" s="21"/>
    </row>
    <row r="302" spans="1:52">
      <c r="A302" s="56" t="str">
        <f>$D$1&amp;292</f>
        <v>SD292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v>
      </c>
      <c r="I302" s="77" t="e">
        <f>IF(H302="","",IF($I$8="A",(RANK(H302,H$11:H$368,1)+COUNTIF(H$11:H302,H302)-1),(RANK(H302,H$11:H$368)+COUNTIF(H$11:H302,H302)-1)))</f>
        <v>#VALUE!</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SD293</v>
      </c>
      <c r="B303" s="57">
        <f>IF(ISERROR(VLOOKUP(A303,classifications!A:C,3,FALSE)),0,VLOOKUP(A303,classifications!A:C,3,FALSE))</f>
        <v>0</v>
      </c>
      <c r="C303" s="8" t="s">
        <v>250</v>
      </c>
      <c r="D303" s="26" t="str">
        <f>VLOOKUP($C303,classifications!$C:$J,4,FALSE)</f>
        <v>MD</v>
      </c>
      <c r="E303" s="26">
        <f>VLOOKUP(C303,classifications!C:K,9,FALSE)</f>
        <v>0</v>
      </c>
      <c r="F303" s="36">
        <f t="shared" si="97"/>
        <v>72.967386372492712</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72.967386372492712</v>
      </c>
      <c r="AY303" s="103"/>
      <c r="AZ303" s="21"/>
    </row>
    <row r="304" spans="1:52">
      <c r="A304" s="56" t="str">
        <f>$D$1&amp;294</f>
        <v>SD294</v>
      </c>
      <c r="B304" s="57">
        <f>IF(ISERROR(VLOOKUP(A304,classifications!A:C,3,FALSE)),0,VLOOKUP(A304,classifications!A:C,3,FALSE))</f>
        <v>0</v>
      </c>
      <c r="C304" s="8" t="s">
        <v>329</v>
      </c>
      <c r="D304" s="26" t="str">
        <f>VLOOKUP($C304,classifications!$C:$J,4,FALSE)</f>
        <v>SC</v>
      </c>
      <c r="E304" s="26">
        <f>VLOOKUP(C304,classifications!C:K,9,FALSE)</f>
        <v>0</v>
      </c>
      <c r="F304" s="36">
        <f t="shared" si="97"/>
        <v>84.966154875457107</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84.966154875457107</v>
      </c>
      <c r="AY304" s="103"/>
      <c r="AZ304" s="21"/>
    </row>
    <row r="305" spans="1:52">
      <c r="A305" s="56" t="str">
        <f>$D$1&amp;295</f>
        <v>SD295</v>
      </c>
      <c r="B305" s="57">
        <f>IF(ISERROR(VLOOKUP(A305,classifications!A:C,3,FALSE)),0,VLOOKUP(A305,classifications!A:C,3,FALSE))</f>
        <v>0</v>
      </c>
      <c r="C305" s="8" t="s">
        <v>159</v>
      </c>
      <c r="D305" s="26" t="str">
        <f>VLOOKUP($C305,classifications!$C:$J,4,FALSE)</f>
        <v>SD</v>
      </c>
      <c r="E305" s="26">
        <f>VLOOKUP(C305,classifications!C:K,9,FALSE)</f>
        <v>0</v>
      </c>
      <c r="F305" s="36">
        <f t="shared" si="97"/>
        <v>83.863003731213638</v>
      </c>
      <c r="G305" s="71"/>
      <c r="H305" s="37">
        <f t="shared" si="98"/>
        <v>83.863003731213638</v>
      </c>
      <c r="I305" s="77">
        <f>IF(H305="","",IF($I$8="A",(RANK(H305,H$11:H$368,1)+COUNTIF(H$11:H305,H305)-1),(RANK(H305,H$11:H$368)+COUNTIF(H$11:H305,H305)-1)))</f>
        <v>69</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83.863003731213638</v>
      </c>
      <c r="AY305" s="103"/>
      <c r="AZ305" s="21"/>
    </row>
    <row r="306" spans="1:52">
      <c r="A306" s="56" t="str">
        <f>$D$1&amp;296</f>
        <v>SD296</v>
      </c>
      <c r="B306" s="57">
        <f>IF(ISERROR(VLOOKUP(A306,classifications!A:C,3,FALSE)),0,VLOOKUP(A306,classifications!A:C,3,FALSE))</f>
        <v>0</v>
      </c>
      <c r="C306" s="8" t="s">
        <v>218</v>
      </c>
      <c r="D306" s="26" t="str">
        <f>VLOOKUP($C306,classifications!$C:$J,4,FALSE)</f>
        <v>L</v>
      </c>
      <c r="E306" s="26">
        <f>VLOOKUP(C306,classifications!C:K,9,FALSE)</f>
        <v>0</v>
      </c>
      <c r="F306" s="36">
        <f t="shared" si="97"/>
        <v>81.70288423607785</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81.70288423607785</v>
      </c>
      <c r="AY306" s="103"/>
      <c r="AZ306" s="21"/>
    </row>
    <row r="307" spans="1:52">
      <c r="A307" s="56" t="str">
        <f>$D$1&amp;297</f>
        <v>SD297</v>
      </c>
      <c r="B307" s="57">
        <f>IF(ISERROR(VLOOKUP(A307,classifications!A:C,3,FALSE)),0,VLOOKUP(A307,classifications!A:C,3,FALSE))</f>
        <v>0</v>
      </c>
      <c r="C307" s="8" t="s">
        <v>160</v>
      </c>
      <c r="D307" s="26" t="str">
        <f>VLOOKUP($C307,classifications!$C:$J,4,FALSE)</f>
        <v>SD</v>
      </c>
      <c r="E307" s="26">
        <f>VLOOKUP(C307,classifications!C:K,9,FALSE)</f>
        <v>0</v>
      </c>
      <c r="F307" s="36">
        <f t="shared" si="97"/>
        <v>77.923250980222676</v>
      </c>
      <c r="G307" s="71"/>
      <c r="H307" s="37">
        <f t="shared" si="98"/>
        <v>77.923250980222676</v>
      </c>
      <c r="I307" s="77">
        <f>IF(H307="","",IF($I$8="A",(RANK(H307,H$11:H$368,1)+COUNTIF(H$11:H307,H307)-1),(RANK(H307,H$11:H$368)+COUNTIF(H$11:H307,H307)-1)))</f>
        <v>165</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77.923250980222676</v>
      </c>
      <c r="AY307" s="103"/>
      <c r="AZ307" s="21"/>
    </row>
    <row r="308" spans="1:52">
      <c r="A308" s="56" t="str">
        <f>$D$1&amp;298</f>
        <v>SD298</v>
      </c>
      <c r="B308" s="57">
        <f>IF(ISERROR(VLOOKUP(A308,classifications!A:C,3,FALSE)),0,VLOOKUP(A308,classifications!A:C,3,FALSE))</f>
        <v>0</v>
      </c>
      <c r="C308" s="8" t="s">
        <v>292</v>
      </c>
      <c r="D308" s="26" t="str">
        <f>VLOOKUP($C308,classifications!$C:$J,4,FALSE)</f>
        <v>UA</v>
      </c>
      <c r="E308" s="26">
        <f>VLOOKUP(C308,classifications!C:K,9,FALSE)</f>
        <v>0</v>
      </c>
      <c r="F308" s="36">
        <f t="shared" si="97"/>
        <v>78.592708651842358</v>
      </c>
      <c r="G308" s="71"/>
      <c r="H308" s="37" t="str">
        <f t="shared" si="98"/>
        <v/>
      </c>
      <c r="I308" s="77" t="str">
        <f>IF(H308="","",IF($I$8="A",(RANK(H308,H$11:H$368,1)+COUNTIF(H$11:H308,H308)-1),(RANK(H308,H$11:H$368)+COUNTIF(H$11:H308,H308)-1)))</f>
        <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78.592708651842358</v>
      </c>
      <c r="AY308" s="103"/>
      <c r="AZ308" s="21"/>
    </row>
    <row r="309" spans="1:52">
      <c r="A309" s="56" t="str">
        <f>$D$1&amp;299</f>
        <v>SD299</v>
      </c>
      <c r="B309" s="57">
        <f>IF(ISERROR(VLOOKUP(A309,classifications!A:C,3,FALSE)),0,VLOOKUP(A309,classifications!A:C,3,FALSE))</f>
        <v>0</v>
      </c>
      <c r="C309" s="8" t="s">
        <v>251</v>
      </c>
      <c r="D309" s="26" t="str">
        <f>VLOOKUP($C309,classifications!$C:$J,4,FALSE)</f>
        <v>MD</v>
      </c>
      <c r="E309" s="26">
        <f>VLOOKUP(C309,classifications!C:K,9,FALSE)</f>
        <v>0</v>
      </c>
      <c r="F309" s="36">
        <f t="shared" si="97"/>
        <v>77.951891590323129</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77.951891590323129</v>
      </c>
      <c r="AY309" s="103"/>
      <c r="AZ309" s="21"/>
    </row>
    <row r="310" spans="1:52">
      <c r="A310" s="56" t="str">
        <f>$D$1&amp;300</f>
        <v>SD300</v>
      </c>
      <c r="B310" s="57">
        <f>IF(ISERROR(VLOOKUP(A310,classifications!A:C,3,FALSE)),0,VLOOKUP(A310,classifications!A:C,3,FALSE))</f>
        <v>0</v>
      </c>
      <c r="C310" s="8" t="s">
        <v>161</v>
      </c>
      <c r="D310" s="26" t="str">
        <f>VLOOKUP($C310,classifications!$C:$J,4,FALSE)</f>
        <v>SD</v>
      </c>
      <c r="E310" s="26">
        <f>VLOOKUP(C310,classifications!C:K,9,FALSE)</f>
        <v>0</v>
      </c>
      <c r="F310" s="36">
        <f t="shared" si="97"/>
        <v>80.519686940843357</v>
      </c>
      <c r="G310" s="71"/>
      <c r="H310" s="37">
        <f t="shared" si="98"/>
        <v>80.519686940843357</v>
      </c>
      <c r="I310" s="77">
        <f>IF(H310="","",IF($I$8="A",(RANK(H310,H$11:H$368,1)+COUNTIF(H$11:H310,H310)-1),(RANK(H310,H$11:H$368)+COUNTIF(H$11:H310,H310)-1)))</f>
        <v>135</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80.519686940843357</v>
      </c>
      <c r="AY310" s="103"/>
      <c r="AZ310" s="21"/>
    </row>
    <row r="311" spans="1:52">
      <c r="A311" s="56" t="str">
        <f>$D$1&amp;301</f>
        <v>SD301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80.236066546602927</v>
      </c>
      <c r="G311" s="71"/>
      <c r="H311" s="37">
        <f t="shared" si="98"/>
        <v>80.236066546602927</v>
      </c>
      <c r="I311" s="77">
        <f>IF(H311="","",IF($I$8="A",(RANK(H311,H$11:H$368,1)+COUNTIF(H$11:H311,H311)-1),(RANK(H311,H$11:H$368)+COUNTIF(H$11:H311,H311)-1)))</f>
        <v>142</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80.236066546602927</v>
      </c>
      <c r="AY311" s="103"/>
      <c r="AZ311" s="21"/>
    </row>
    <row r="312" spans="1:52">
      <c r="A312" s="56" t="str">
        <f>$D$1&amp;302</f>
        <v>SD302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v>
      </c>
      <c r="I312" s="77" t="e">
        <f>IF(H312="","",IF($I$8="A",(RANK(H312,H$11:H$368,1)+COUNTIF(H$11:H312,H312)-1),(RANK(H312,H$11:H$368)+COUNTIF(H$11:H312,H312)-1)))</f>
        <v>#VALUE!</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SD303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86.165762834249961</v>
      </c>
      <c r="G313" s="71"/>
      <c r="H313" s="37">
        <f t="shared" si="98"/>
        <v>86.165762834249961</v>
      </c>
      <c r="I313" s="77">
        <f>IF(H313="","",IF($I$8="A",(RANK(H313,H$11:H$368,1)+COUNTIF(H$11:H313,H313)-1),(RANK(H313,H$11:H$368)+COUNTIF(H$11:H313,H313)-1)))</f>
        <v>33</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86.165762834249961</v>
      </c>
      <c r="AY313" s="103"/>
      <c r="AZ313" s="21"/>
    </row>
    <row r="314" spans="1:52">
      <c r="A314" s="56" t="str">
        <f>$D$1&amp;304</f>
        <v>SD304</v>
      </c>
      <c r="B314" s="57">
        <f>IF(ISERROR(VLOOKUP(A314,classifications!A:C,3,FALSE)),0,VLOOKUP(A314,classifications!A:C,3,FALSE))</f>
        <v>0</v>
      </c>
      <c r="C314" s="8" t="s">
        <v>813</v>
      </c>
      <c r="D314" s="26" t="str">
        <f>VLOOKUP($C314,classifications!$C:$J,4,FALSE)</f>
        <v>UA</v>
      </c>
      <c r="E314" s="26">
        <f>VLOOKUP(C314,classifications!C:K,9,FALSE)</f>
        <v>0</v>
      </c>
      <c r="F314" s="36">
        <f t="shared" si="97"/>
        <v>79.331956276130626</v>
      </c>
      <c r="G314" s="71"/>
      <c r="H314" s="37" t="str">
        <f t="shared" si="98"/>
        <v/>
      </c>
      <c r="I314" s="77" t="str">
        <f>IF(H314="","",IF($I$8="A",(RANK(H314,H$11:H$368,1)+COUNTIF(H$11:H314,H314)-1),(RANK(H314,H$11:H$368)+COUNTIF(H$11:H314,H314)-1)))</f>
        <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79.331956276130626</v>
      </c>
      <c r="AY314" s="103"/>
      <c r="AZ314" s="21"/>
    </row>
    <row r="315" spans="1:52">
      <c r="A315" s="56" t="str">
        <f>$D$1&amp;305</f>
        <v>SD305</v>
      </c>
      <c r="B315" s="57">
        <f>IF(ISERROR(VLOOKUP(A315,classifications!A:C,3,FALSE)),0,VLOOKUP(A315,classifications!A:C,3,FALSE))</f>
        <v>0</v>
      </c>
      <c r="C315" s="8" t="s">
        <v>165</v>
      </c>
      <c r="D315" s="26" t="str">
        <f>VLOOKUP($C315,classifications!$C:$J,4,FALSE)</f>
        <v>SD</v>
      </c>
      <c r="E315" s="26">
        <f>VLOOKUP(C315,classifications!C:K,9,FALSE)</f>
        <v>0</v>
      </c>
      <c r="F315" s="36">
        <f t="shared" si="97"/>
        <v>79.378053689378845</v>
      </c>
      <c r="G315" s="71"/>
      <c r="H315" s="37">
        <f t="shared" si="98"/>
        <v>79.378053689378845</v>
      </c>
      <c r="I315" s="77">
        <f>IF(H315="","",IF($I$8="A",(RANK(H315,H$11:H$368,1)+COUNTIF(H$11:H315,H315)-1),(RANK(H315,H$11:H$368)+COUNTIF(H$11:H315,H315)-1)))</f>
        <v>150</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79.378053689378845</v>
      </c>
      <c r="AY315" s="103"/>
      <c r="AZ315" s="21"/>
    </row>
    <row r="316" spans="1:52">
      <c r="A316" s="56" t="str">
        <f>$D$1&amp;306</f>
        <v>SD306</v>
      </c>
      <c r="B316" s="57">
        <f>IF(ISERROR(VLOOKUP(A316,classifications!A:C,3,FALSE)),0,VLOOKUP(A316,classifications!A:C,3,FALSE))</f>
        <v>0</v>
      </c>
      <c r="C316" s="8" t="s">
        <v>166</v>
      </c>
      <c r="D316" s="26" t="str">
        <f>VLOOKUP($C316,classifications!$C:$J,4,FALSE)</f>
        <v>SD</v>
      </c>
      <c r="E316" s="26">
        <f>VLOOKUP(C316,classifications!C:K,9,FALSE)</f>
        <v>0</v>
      </c>
      <c r="F316" s="36">
        <f t="shared" si="97"/>
        <v>81.629870580627141</v>
      </c>
      <c r="G316" s="71"/>
      <c r="H316" s="37">
        <f t="shared" si="98"/>
        <v>81.629870580627141</v>
      </c>
      <c r="I316" s="77">
        <f>IF(H316="","",IF($I$8="A",(RANK(H316,H$11:H$368,1)+COUNTIF(H$11:H316,H316)-1),(RANK(H316,H$11:H$368)+COUNTIF(H$11:H316,H316)-1)))</f>
        <v>118</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81.629870580627141</v>
      </c>
      <c r="AY316" s="103"/>
      <c r="AZ316" s="21"/>
    </row>
    <row r="317" spans="1:52">
      <c r="A317" s="56" t="str">
        <f>$D$1&amp;307</f>
        <v>SD307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84.392635536883759</v>
      </c>
      <c r="G317" s="71"/>
      <c r="H317" s="37">
        <f t="shared" si="98"/>
        <v>84.392635536883759</v>
      </c>
      <c r="I317" s="77">
        <f>IF(H317="","",IF($I$8="A",(RANK(H317,H$11:H$368,1)+COUNTIF(H$11:H317,H317)-1),(RANK(H317,H$11:H$368)+COUNTIF(H$11:H317,H317)-1)))</f>
        <v>60</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84.392635536883759</v>
      </c>
      <c r="AY317" s="103"/>
      <c r="AZ317" s="21"/>
    </row>
    <row r="318" spans="1:52">
      <c r="A318" s="56" t="str">
        <f>$D$1&amp;308</f>
        <v>SD308</v>
      </c>
      <c r="B318" s="57">
        <f>IF(ISERROR(VLOOKUP(A318,classifications!A:C,3,FALSE)),0,VLOOKUP(A318,classifications!A:C,3,FALSE))</f>
        <v>0</v>
      </c>
      <c r="C318" s="8" t="s">
        <v>168</v>
      </c>
      <c r="D318" s="26" t="str">
        <f>VLOOKUP($C318,classifications!$C:$J,4,FALSE)</f>
        <v>SD</v>
      </c>
      <c r="E318" s="26">
        <f>VLOOKUP(C318,classifications!C:K,9,FALSE)</f>
        <v>0</v>
      </c>
      <c r="F318" s="36">
        <f t="shared" si="97"/>
        <v>83.903318587367835</v>
      </c>
      <c r="G318" s="71"/>
      <c r="H318" s="37">
        <f t="shared" si="98"/>
        <v>83.903318587367835</v>
      </c>
      <c r="I318" s="77">
        <f>IF(H318="","",IF($I$8="A",(RANK(H318,H$11:H$368,1)+COUNTIF(H$11:H318,H318)-1),(RANK(H318,H$11:H$368)+COUNTIF(H$11:H318,H318)-1)))</f>
        <v>66</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83.903318587367835</v>
      </c>
      <c r="AY318" s="103"/>
      <c r="AZ318" s="21"/>
    </row>
    <row r="319" spans="1:52">
      <c r="A319" s="56" t="str">
        <f>$D$1&amp;309</f>
        <v>SD309</v>
      </c>
      <c r="B319" s="57">
        <f>IF(ISERROR(VLOOKUP(A319,classifications!A:C,3,FALSE)),0,VLOOKUP(A319,classifications!A:C,3,FALSE))</f>
        <v>0</v>
      </c>
      <c r="C319" s="8" t="s">
        <v>169</v>
      </c>
      <c r="D319" s="26" t="str">
        <f>VLOOKUP($C319,classifications!$C:$J,4,FALSE)</f>
        <v>SD</v>
      </c>
      <c r="E319" s="26">
        <f>VLOOKUP(C319,classifications!C:K,9,FALSE)</f>
        <v>0</v>
      </c>
      <c r="F319" s="36">
        <f t="shared" si="97"/>
        <v>83.278576579806554</v>
      </c>
      <c r="G319" s="71"/>
      <c r="H319" s="37">
        <f t="shared" si="98"/>
        <v>83.278576579806554</v>
      </c>
      <c r="I319" s="77">
        <f>IF(H319="","",IF($I$8="A",(RANK(H319,H$11:H$368,1)+COUNTIF(H$11:H319,H319)-1),(RANK(H319,H$11:H$368)+COUNTIF(H$11:H319,H319)-1)))</f>
        <v>88</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83.278576579806554</v>
      </c>
      <c r="AY319" s="103"/>
      <c r="AZ319" s="21"/>
    </row>
    <row r="320" spans="1:52">
      <c r="A320" s="56" t="str">
        <f>$D$1&amp;310</f>
        <v>SD310</v>
      </c>
      <c r="B320" s="57">
        <f>IF(ISERROR(VLOOKUP(A320,classifications!A:C,3,FALSE)),0,VLOOKUP(A320,classifications!A:C,3,FALSE))</f>
        <v>0</v>
      </c>
      <c r="C320" s="8" t="s">
        <v>293</v>
      </c>
      <c r="D320" s="26" t="str">
        <f>VLOOKUP($C320,classifications!$C:$J,4,FALSE)</f>
        <v>UA</v>
      </c>
      <c r="E320" s="26">
        <f>VLOOKUP(C320,classifications!C:K,9,FALSE)</f>
        <v>0</v>
      </c>
      <c r="F320" s="36">
        <f t="shared" si="97"/>
        <v>75.422032795731582</v>
      </c>
      <c r="G320" s="71"/>
      <c r="H320" s="37" t="str">
        <f t="shared" si="98"/>
        <v/>
      </c>
      <c r="I320" s="77" t="str">
        <f>IF(H320="","",IF($I$8="A",(RANK(H320,H$11:H$368,1)+COUNTIF(H$11:H320,H320)-1),(RANK(H320,H$11:H$368)+COUNTIF(H$11:H320,H320)-1)))</f>
        <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75.422032795731582</v>
      </c>
      <c r="AY320" s="103"/>
      <c r="AZ320" s="21"/>
    </row>
    <row r="321" spans="1:52">
      <c r="A321" s="56" t="str">
        <f>$D$1&amp;311</f>
        <v>SD311</v>
      </c>
      <c r="B321" s="57">
        <f>IF(ISERROR(VLOOKUP(A321,classifications!A:C,3,FALSE)),0,VLOOKUP(A321,classifications!A:C,3,FALSE))</f>
        <v>0</v>
      </c>
      <c r="C321" s="8" t="s">
        <v>349</v>
      </c>
      <c r="D321" s="26" t="str">
        <f>VLOOKUP($C321,classifications!$C:$J,4,FALSE)</f>
        <v>SD</v>
      </c>
      <c r="E321" s="26">
        <f>VLOOKUP(C321,classifications!C:K,9,FALSE)</f>
        <v>0</v>
      </c>
      <c r="F321" s="36">
        <f t="shared" si="97"/>
        <v>84.822746132255403</v>
      </c>
      <c r="G321" s="71"/>
      <c r="H321" s="37">
        <f t="shared" si="98"/>
        <v>84.822746132255403</v>
      </c>
      <c r="I321" s="77">
        <f>IF(H321="","",IF($I$8="A",(RANK(H321,H$11:H$368,1)+COUNTIF(H$11:H321,H321)-1),(RANK(H321,H$11:H$368)+COUNTIF(H$11:H321,H321)-1)))</f>
        <v>51</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84.822746132255403</v>
      </c>
      <c r="AY321" s="103"/>
      <c r="AZ321" s="21"/>
    </row>
    <row r="322" spans="1:52">
      <c r="A322" s="56" t="str">
        <f>$D$1&amp;312</f>
        <v>SD312</v>
      </c>
      <c r="B322" s="57">
        <f>IF(ISERROR(VLOOKUP(A322,classifications!A:C,3,FALSE)),0,VLOOKUP(A322,classifications!A:C,3,FALSE))</f>
        <v>0</v>
      </c>
      <c r="C322" s="8" t="s">
        <v>294</v>
      </c>
      <c r="D322" s="26" t="str">
        <f>VLOOKUP($C322,classifications!$C:$J,4,FALSE)</f>
        <v>UA</v>
      </c>
      <c r="E322" s="26">
        <f>VLOOKUP(C322,classifications!C:K,9,FALSE)</f>
        <v>0</v>
      </c>
      <c r="F322" s="36">
        <f t="shared" si="97"/>
        <v>81.982597529541096</v>
      </c>
      <c r="G322" s="71"/>
      <c r="H322" s="37" t="str">
        <f t="shared" si="98"/>
        <v/>
      </c>
      <c r="I322" s="77" t="str">
        <f>IF(H322="","",IF($I$8="A",(RANK(H322,H$11:H$368,1)+COUNTIF(H$11:H322,H322)-1),(RANK(H322,H$11:H$368)+COUNTIF(H$11:H322,H322)-1)))</f>
        <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81.982597529541096</v>
      </c>
      <c r="AY322" s="103"/>
      <c r="AZ322" s="21"/>
    </row>
    <row r="323" spans="1:52">
      <c r="A323" s="56" t="str">
        <f>$D$1&amp;313</f>
        <v>SD313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78.94026222564095</v>
      </c>
      <c r="G323" s="71"/>
      <c r="H323" s="37">
        <f t="shared" si="98"/>
        <v>78.94026222564095</v>
      </c>
      <c r="I323" s="77">
        <f>IF(H323="","",IF($I$8="A",(RANK(H323,H$11:H$368,1)+COUNTIF(H$11:H323,H323)-1),(RANK(H323,H$11:H$368)+COUNTIF(H$11:H323,H323)-1)))</f>
        <v>154</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78.94026222564095</v>
      </c>
      <c r="AY323" s="103"/>
      <c r="AZ323" s="21"/>
    </row>
    <row r="324" spans="1:52">
      <c r="A324" s="56" t="str">
        <f>$D$1&amp;314</f>
        <v>SD314</v>
      </c>
      <c r="B324" s="57">
        <f>IF(ISERROR(VLOOKUP(A324,classifications!A:C,3,FALSE)),0,VLOOKUP(A324,classifications!A:C,3,FALSE))</f>
        <v>0</v>
      </c>
      <c r="C324" s="8" t="s">
        <v>219</v>
      </c>
      <c r="D324" s="26" t="str">
        <f>VLOOKUP($C324,classifications!$C:$J,4,FALSE)</f>
        <v>L</v>
      </c>
      <c r="E324" s="26">
        <f>VLOOKUP(C324,classifications!C:K,9,FALSE)</f>
        <v>0</v>
      </c>
      <c r="F324" s="36">
        <f t="shared" si="97"/>
        <v>85.727763301209819</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85.727763301209819</v>
      </c>
      <c r="AY324" s="103"/>
      <c r="AZ324" s="21"/>
    </row>
    <row r="325" spans="1:52">
      <c r="A325" s="56" t="str">
        <f>$D$1&amp;315</f>
        <v>SD315</v>
      </c>
      <c r="B325" s="57">
        <f>IF(ISERROR(VLOOKUP(A325,classifications!A:C,3,FALSE)),0,VLOOKUP(A325,classifications!A:C,3,FALSE))</f>
        <v>0</v>
      </c>
      <c r="C325" s="8" t="s">
        <v>252</v>
      </c>
      <c r="D325" s="26" t="str">
        <f>VLOOKUP($C325,classifications!$C:$J,4,FALSE)</f>
        <v>MD</v>
      </c>
      <c r="E325" s="26">
        <f>VLOOKUP(C325,classifications!C:K,9,FALSE)</f>
        <v>0</v>
      </c>
      <c r="F325" s="36">
        <f t="shared" si="97"/>
        <v>84.433069740392156</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84.433069740392156</v>
      </c>
      <c r="AY325" s="103"/>
      <c r="AZ325" s="21"/>
    </row>
    <row r="326" spans="1:52">
      <c r="A326" s="56" t="str">
        <f>$D$1&amp;316</f>
        <v>SD316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87.850206267883763</v>
      </c>
      <c r="G326" s="71"/>
      <c r="H326" s="37">
        <f t="shared" si="98"/>
        <v>87.850206267883763</v>
      </c>
      <c r="I326" s="77">
        <f>IF(H326="","",IF($I$8="A",(RANK(H326,H$11:H$368,1)+COUNTIF(H$11:H326,H326)-1),(RANK(H326,H$11:H$368)+COUNTIF(H$11:H326,H326)-1)))</f>
        <v>12</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87.850206267883763</v>
      </c>
      <c r="AY326" s="103"/>
      <c r="AZ326" s="21"/>
    </row>
    <row r="327" spans="1:52">
      <c r="A327" s="56" t="str">
        <f>$D$1&amp;317</f>
        <v>SD317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84.209913044611554</v>
      </c>
      <c r="G327" s="71"/>
      <c r="H327" s="37">
        <f t="shared" si="98"/>
        <v>84.209913044611554</v>
      </c>
      <c r="I327" s="77">
        <f>IF(H327="","",IF($I$8="A",(RANK(H327,H$11:H$368,1)+COUNTIF(H$11:H327,H327)-1),(RANK(H327,H$11:H$368)+COUNTIF(H$11:H327,H327)-1)))</f>
        <v>62</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84.209913044611554</v>
      </c>
      <c r="AY327" s="103"/>
      <c r="AZ327" s="21"/>
    </row>
    <row r="328" spans="1:52">
      <c r="A328" s="56" t="str">
        <f>$D$1&amp;318</f>
        <v>SD318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89.410573933239718</v>
      </c>
      <c r="G328" s="71"/>
      <c r="H328" s="37">
        <f t="shared" si="98"/>
        <v>89.410573933239718</v>
      </c>
      <c r="I328" s="77">
        <f>IF(H328="","",IF($I$8="A",(RANK(H328,H$11:H$368,1)+COUNTIF(H$11:H328,H328)-1),(RANK(H328,H$11:H$368)+COUNTIF(H$11:H328,H328)-1)))</f>
        <v>5</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89.410573933239718</v>
      </c>
      <c r="AY328" s="103"/>
      <c r="AZ328" s="21"/>
    </row>
    <row r="329" spans="1:52">
      <c r="A329" s="56" t="str">
        <f>$D$1&amp;319</f>
        <v>SD319</v>
      </c>
      <c r="B329" s="57">
        <f>IF(ISERROR(VLOOKUP(A329,classifications!A:C,3,FALSE)),0,VLOOKUP(A329,classifications!A:C,3,FALSE))</f>
        <v>0</v>
      </c>
      <c r="C329" s="8" t="s">
        <v>253</v>
      </c>
      <c r="D329" s="26" t="str">
        <f>VLOOKUP($C329,classifications!$C:$J,4,FALSE)</f>
        <v>MD</v>
      </c>
      <c r="E329" s="26">
        <f>VLOOKUP(C329,classifications!C:K,9,FALSE)</f>
        <v>0</v>
      </c>
      <c r="F329" s="36">
        <f t="shared" si="97"/>
        <v>79.059075341871832</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79.059075341871832</v>
      </c>
      <c r="AY329" s="103"/>
      <c r="AZ329" s="21"/>
    </row>
    <row r="330" spans="1:52">
      <c r="A330" s="56" t="str">
        <f>$D$1&amp;320</f>
        <v>SD320</v>
      </c>
      <c r="B330" s="57">
        <f>IF(ISERROR(VLOOKUP(A330,classifications!A:C,3,FALSE)),0,VLOOKUP(A330,classifications!A:C,3,FALSE))</f>
        <v>0</v>
      </c>
      <c r="C330" s="8" t="s">
        <v>254</v>
      </c>
      <c r="D330" s="26" t="str">
        <f>VLOOKUP($C330,classifications!$C:$J,4,FALSE)</f>
        <v>MD</v>
      </c>
      <c r="E330" s="26">
        <f>VLOOKUP(C330,classifications!C:K,9,FALSE)</f>
        <v>0</v>
      </c>
      <c r="F330" s="36">
        <f t="shared" si="97"/>
        <v>71.556342339670266</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71.556342339670266</v>
      </c>
      <c r="AY330" s="103"/>
      <c r="AZ330" s="21"/>
    </row>
    <row r="331" spans="1:52">
      <c r="A331" s="56" t="str">
        <f>$D$1&amp;321</f>
        <v>SD321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82.817142083257067</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82.817142083257067</v>
      </c>
      <c r="AY331" s="103"/>
      <c r="AZ331" s="21"/>
    </row>
    <row r="332" spans="1:52">
      <c r="A332" s="56" t="str">
        <f>$D$1&amp;322</f>
        <v>SD322</v>
      </c>
      <c r="B332" s="57">
        <f>IF(ISERROR(VLOOKUP(A332,classifications!A:C,3,FALSE)),0,VLOOKUP(A332,classifications!A:C,3,FALSE))</f>
        <v>0</v>
      </c>
      <c r="C332" s="8" t="s">
        <v>221</v>
      </c>
      <c r="D332" s="26" t="str">
        <f>VLOOKUP($C332,classifications!$C:$J,4,FALSE)</f>
        <v>L</v>
      </c>
      <c r="E332" s="26">
        <f>VLOOKUP(C332,classifications!C:K,9,FALSE)</f>
        <v>0</v>
      </c>
      <c r="F332" s="36">
        <f t="shared" si="120"/>
        <v>91.6899005614966</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91.6899005614966</v>
      </c>
      <c r="AY332" s="103"/>
      <c r="AZ332" s="21"/>
    </row>
    <row r="333" spans="1:52">
      <c r="A333" s="56" t="str">
        <f>$D$1&amp;323</f>
        <v>SD323</v>
      </c>
      <c r="B333" s="57">
        <f>IF(ISERROR(VLOOKUP(A333,classifications!A:C,3,FALSE)),0,VLOOKUP(A333,classifications!A:C,3,FALSE))</f>
        <v>0</v>
      </c>
      <c r="C333" s="8" t="s">
        <v>295</v>
      </c>
      <c r="D333" s="26" t="str">
        <f>VLOOKUP($C333,classifications!$C:$J,4,FALSE)</f>
        <v>UA</v>
      </c>
      <c r="E333" s="26">
        <f>VLOOKUP(C333,classifications!C:K,9,FALSE)</f>
        <v>0</v>
      </c>
      <c r="F333" s="36">
        <f t="shared" si="120"/>
        <v>81.030229891384977</v>
      </c>
      <c r="G333" s="71"/>
      <c r="H333" s="37" t="str">
        <f t="shared" si="121"/>
        <v/>
      </c>
      <c r="I333" s="77" t="str">
        <f>IF(H333="","",IF($I$8="A",(RANK(H333,H$11:H$368,1)+COUNTIF(H$11:H333,H333)-1),(RANK(H333,H$11:H$368)+COUNTIF(H$11:H333,H333)-1)))</f>
        <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81.030229891384977</v>
      </c>
      <c r="AY333" s="103"/>
      <c r="AZ333" s="21"/>
    </row>
    <row r="334" spans="1:52">
      <c r="A334" s="56" t="str">
        <f>$D$1&amp;324</f>
        <v>SD324</v>
      </c>
      <c r="B334" s="57">
        <f>IF(ISERROR(VLOOKUP(A334,classifications!A:C,3,FALSE)),0,VLOOKUP(A334,classifications!A:C,3,FALSE))</f>
        <v>0</v>
      </c>
      <c r="C334" s="8" t="s">
        <v>174</v>
      </c>
      <c r="D334" s="26" t="str">
        <f>VLOOKUP($C334,classifications!$C:$J,4,FALSE)</f>
        <v>SD</v>
      </c>
      <c r="E334" s="26">
        <f>VLOOKUP(C334,classifications!C:K,9,FALSE)</f>
        <v>0</v>
      </c>
      <c r="F334" s="36">
        <f t="shared" si="120"/>
        <v>79.937146240817597</v>
      </c>
      <c r="G334" s="71"/>
      <c r="H334" s="37">
        <f t="shared" si="121"/>
        <v>79.937146240817597</v>
      </c>
      <c r="I334" s="77">
        <f>IF(H334="","",IF($I$8="A",(RANK(H334,H$11:H$368,1)+COUNTIF(H$11:H334,H334)-1),(RANK(H334,H$11:H$368)+COUNTIF(H$11:H334,H334)-1)))</f>
        <v>146</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79.937146240817597</v>
      </c>
      <c r="AY334" s="103"/>
      <c r="AZ334" s="21"/>
    </row>
    <row r="335" spans="1:52">
      <c r="A335" s="56" t="str">
        <f>$D$1&amp;325</f>
        <v>SD325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77.957041174917606</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77.957041174917606</v>
      </c>
      <c r="AY335" s="103"/>
      <c r="AZ335" s="21"/>
    </row>
    <row r="336" spans="1:52">
      <c r="A336" s="56" t="str">
        <f>$D$1&amp;326</f>
        <v>SD326</v>
      </c>
      <c r="B336" s="57">
        <f>IF(ISERROR(VLOOKUP(A336,classifications!A:C,3,FALSE)),0,VLOOKUP(A336,classifications!A:C,3,FALSE))</f>
        <v>0</v>
      </c>
      <c r="C336" s="8" t="s">
        <v>175</v>
      </c>
      <c r="D336" s="26" t="str">
        <f>VLOOKUP($C336,classifications!$C:$J,4,FALSE)</f>
        <v>SD</v>
      </c>
      <c r="E336" s="26">
        <f>VLOOKUP(C336,classifications!C:K,9,FALSE)</f>
        <v>0</v>
      </c>
      <c r="F336" s="36">
        <f t="shared" si="120"/>
        <v>82.368862451168795</v>
      </c>
      <c r="G336" s="71"/>
      <c r="H336" s="37">
        <f t="shared" si="121"/>
        <v>82.368862451168795</v>
      </c>
      <c r="I336" s="77">
        <f>IF(H336="","",IF($I$8="A",(RANK(H336,H$11:H$368,1)+COUNTIF(H$11:H336,H336)-1),(RANK(H336,H$11:H$368)+COUNTIF(H$11:H336,H336)-1)))</f>
        <v>99</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82.368862451168795</v>
      </c>
      <c r="AY336" s="103"/>
      <c r="AZ336" s="21"/>
    </row>
    <row r="337" spans="1:52">
      <c r="A337" s="56" t="str">
        <f>$D$1&amp;327</f>
        <v>SD327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v>
      </c>
      <c r="I337" s="77" t="e">
        <f>IF(H337="","",IF($I$8="A",(RANK(H337,H$11:H$368,1)+COUNTIF(H$11:H337,H337)-1),(RANK(H337,H$11:H$368)+COUNTIF(H$11:H337,H337)-1)))</f>
        <v>#VALUE!</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SD328</v>
      </c>
      <c r="B338" s="57">
        <f>IF(ISERROR(VLOOKUP(A338,classifications!A:C,3,FALSE)),0,VLOOKUP(A338,classifications!A:C,3,FALSE))</f>
        <v>0</v>
      </c>
      <c r="C338" s="8" t="s">
        <v>177</v>
      </c>
      <c r="D338" s="26" t="str">
        <f>VLOOKUP($C338,classifications!$C:$J,4,FALSE)</f>
        <v>SD</v>
      </c>
      <c r="E338" s="26">
        <f>VLOOKUP(C338,classifications!C:K,9,FALSE)</f>
        <v>0</v>
      </c>
      <c r="F338" s="36">
        <f t="shared" si="120"/>
        <v>89.385768010507832</v>
      </c>
      <c r="G338" s="71"/>
      <c r="H338" s="37">
        <f t="shared" si="121"/>
        <v>89.385768010507832</v>
      </c>
      <c r="I338" s="77">
        <f>IF(H338="","",IF($I$8="A",(RANK(H338,H$11:H$368,1)+COUNTIF(H$11:H338,H338)-1),(RANK(H338,H$11:H$368)+COUNTIF(H$11:H338,H338)-1)))</f>
        <v>6</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89.385768010507832</v>
      </c>
      <c r="AY338" s="103"/>
      <c r="AZ338" s="21"/>
    </row>
    <row r="339" spans="1:52">
      <c r="A339" s="56" t="str">
        <f>$D$1&amp;329</f>
        <v>SD329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82.162549633028988</v>
      </c>
      <c r="G339" s="71"/>
      <c r="H339" s="37">
        <f t="shared" si="121"/>
        <v>82.162549633028988</v>
      </c>
      <c r="I339" s="77">
        <f>IF(H339="","",IF($I$8="A",(RANK(H339,H$11:H$368,1)+COUNTIF(H$11:H339,H339)-1),(RANK(H339,H$11:H$368)+COUNTIF(H$11:H339,H339)-1)))</f>
        <v>106</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82.162549633028988</v>
      </c>
      <c r="AY339" s="103"/>
      <c r="AZ339" s="21"/>
    </row>
    <row r="340" spans="1:52">
      <c r="A340" s="56" t="str">
        <f>$D$1&amp;330</f>
        <v>SD330</v>
      </c>
      <c r="B340" s="57">
        <f>IF(ISERROR(VLOOKUP(A340,classifications!A:C,3,FALSE)),0,VLOOKUP(A340,classifications!A:C,3,FALSE))</f>
        <v>0</v>
      </c>
      <c r="C340" s="8" t="s">
        <v>179</v>
      </c>
      <c r="D340" s="26" t="str">
        <f>VLOOKUP($C340,classifications!$C:$J,4,FALSE)</f>
        <v>SD</v>
      </c>
      <c r="E340" s="26">
        <f>VLOOKUP(C340,classifications!C:K,9,FALSE)</f>
        <v>0</v>
      </c>
      <c r="F340" s="36">
        <f t="shared" si="120"/>
        <v>81.003820275127808</v>
      </c>
      <c r="G340" s="71"/>
      <c r="H340" s="37">
        <f t="shared" si="121"/>
        <v>81.003820275127808</v>
      </c>
      <c r="I340" s="77">
        <f>IF(H340="","",IF($I$8="A",(RANK(H340,H$11:H$368,1)+COUNTIF(H$11:H340,H340)-1),(RANK(H340,H$11:H$368)+COUNTIF(H$11:H340,H340)-1)))</f>
        <v>128</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81.003820275127808</v>
      </c>
      <c r="AY340" s="103"/>
      <c r="AZ340" s="21"/>
    </row>
    <row r="341" spans="1:52">
      <c r="A341" s="56" t="str">
        <f>$D$1&amp;331</f>
        <v>SD331</v>
      </c>
      <c r="B341" s="57">
        <f>IF(ISERROR(VLOOKUP(A341,classifications!A:C,3,FALSE)),0,VLOOKUP(A341,classifications!A:C,3,FALSE))</f>
        <v>0</v>
      </c>
      <c r="C341" s="8" t="s">
        <v>180</v>
      </c>
      <c r="D341" s="26" t="str">
        <f>VLOOKUP($C341,classifications!$C:$J,4,FALSE)</f>
        <v>SD</v>
      </c>
      <c r="E341" s="26">
        <f>VLOOKUP(C341,classifications!C:K,9,FALSE)</f>
        <v>0</v>
      </c>
      <c r="F341" s="36">
        <f t="shared" si="120"/>
        <v>80.306839481483934</v>
      </c>
      <c r="G341" s="71"/>
      <c r="H341" s="37">
        <f t="shared" si="121"/>
        <v>80.306839481483934</v>
      </c>
      <c r="I341" s="77">
        <f>IF(H341="","",IF($I$8="A",(RANK(H341,H$11:H$368,1)+COUNTIF(H$11:H341,H341)-1),(RANK(H341,H$11:H$368)+COUNTIF(H$11:H341,H341)-1)))</f>
        <v>140</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80.306839481483934</v>
      </c>
      <c r="AY341" s="103"/>
      <c r="AZ341" s="21"/>
    </row>
    <row r="342" spans="1:52">
      <c r="A342" s="56" t="str">
        <f>$D$1&amp;332</f>
        <v>SD332</v>
      </c>
      <c r="B342" s="57">
        <f>IF(ISERROR(VLOOKUP(A342,classifications!A:C,3,FALSE)),0,VLOOKUP(A342,classifications!A:C,3,FALSE))</f>
        <v>0</v>
      </c>
      <c r="C342" s="8" t="s">
        <v>296</v>
      </c>
      <c r="D342" s="26" t="str">
        <f>VLOOKUP($C342,classifications!$C:$J,4,FALSE)</f>
        <v>UA</v>
      </c>
      <c r="E342" s="26">
        <f>VLOOKUP(C342,classifications!C:K,9,FALSE)</f>
        <v>0</v>
      </c>
      <c r="F342" s="36">
        <f t="shared" si="120"/>
        <v>83.677896886079182</v>
      </c>
      <c r="G342" s="71"/>
      <c r="H342" s="37" t="str">
        <f t="shared" si="121"/>
        <v/>
      </c>
      <c r="I342" s="77" t="str">
        <f>IF(H342="","",IF($I$8="A",(RANK(H342,H$11:H$368,1)+COUNTIF(H$11:H342,H342)-1),(RANK(H342,H$11:H$368)+COUNTIF(H$11:H342,H342)-1)))</f>
        <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83.677896886079182</v>
      </c>
      <c r="AY342" s="103"/>
      <c r="AZ342" s="21"/>
    </row>
    <row r="343" spans="1:52">
      <c r="A343" s="56" t="str">
        <f>$D$1&amp;333</f>
        <v>SD333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84.546138016991605</v>
      </c>
      <c r="G343" s="71"/>
      <c r="H343" s="37">
        <f t="shared" si="121"/>
        <v>84.546138016991605</v>
      </c>
      <c r="I343" s="77">
        <f>IF(H343="","",IF($I$8="A",(RANK(H343,H$11:H$368,1)+COUNTIF(H$11:H343,H343)-1),(RANK(H343,H$11:H$368)+COUNTIF(H$11:H343,H343)-1)))</f>
        <v>58</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84.546138016991605</v>
      </c>
      <c r="AY343" s="103"/>
      <c r="AZ343" s="21"/>
    </row>
    <row r="344" spans="1:52">
      <c r="A344" s="56" t="str">
        <f>$D$1&amp;334</f>
        <v>SD334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v>
      </c>
      <c r="I344" s="77" t="e">
        <f>IF(H344="","",IF($I$8="A",(RANK(H344,H$11:H$368,1)+COUNTIF(H$11:H344,H344)-1),(RANK(H344,H$11:H$368)+COUNTIF(H$11:H344,H344)-1)))</f>
        <v>#VALUE!</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SD335</v>
      </c>
      <c r="B345" s="57">
        <f>IF(ISERROR(VLOOKUP(A345,classifications!A:C,3,FALSE)),0,VLOOKUP(A345,classifications!A:C,3,FALSE))</f>
        <v>0</v>
      </c>
      <c r="C345" s="8" t="s">
        <v>183</v>
      </c>
      <c r="D345" s="26" t="str">
        <f>VLOOKUP($C345,classifications!$C:$J,4,FALSE)</f>
        <v>SD</v>
      </c>
      <c r="E345" s="26">
        <f>VLOOKUP(C345,classifications!C:K,9,FALSE)</f>
        <v>0</v>
      </c>
      <c r="F345" s="36">
        <f t="shared" si="120"/>
        <v>76.980907264177205</v>
      </c>
      <c r="G345" s="71"/>
      <c r="H345" s="37">
        <f t="shared" si="121"/>
        <v>76.980907264177205</v>
      </c>
      <c r="I345" s="77">
        <f>IF(H345="","",IF($I$8="A",(RANK(H345,H$11:H$368,1)+COUNTIF(H$11:H345,H345)-1),(RANK(H345,H$11:H$368)+COUNTIF(H$11:H345,H345)-1)))</f>
        <v>173</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76.980907264177205</v>
      </c>
      <c r="AY345" s="103"/>
      <c r="AZ345" s="21"/>
    </row>
    <row r="346" spans="1:52">
      <c r="A346" s="56" t="str">
        <f>$D$1&amp;336</f>
        <v>SD336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72.682938952922342</v>
      </c>
      <c r="G346" s="71"/>
      <c r="H346" s="37">
        <f t="shared" si="121"/>
        <v>72.682938952922342</v>
      </c>
      <c r="I346" s="77">
        <f>IF(H346="","",IF($I$8="A",(RANK(H346,H$11:H$368,1)+COUNTIF(H$11:H346,H346)-1),(RANK(H346,H$11:H$368)+COUNTIF(H$11:H346,H346)-1)))</f>
        <v>192</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72.682938952922342</v>
      </c>
      <c r="AY346" s="103"/>
      <c r="AZ346" s="21"/>
    </row>
    <row r="347" spans="1:52">
      <c r="A347" s="56" t="str">
        <f>$D$1&amp;337</f>
        <v>SD337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85.541862026731749</v>
      </c>
      <c r="G347" s="71"/>
      <c r="H347" s="37">
        <f t="shared" si="121"/>
        <v>85.541862026731749</v>
      </c>
      <c r="I347" s="77">
        <f>IF(H347="","",IF($I$8="A",(RANK(H347,H$11:H$368,1)+COUNTIF(H$11:H347,H347)-1),(RANK(H347,H$11:H$368)+COUNTIF(H$11:H347,H347)-1)))</f>
        <v>43</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85.541862026731749</v>
      </c>
      <c r="AY347" s="103"/>
      <c r="AZ347" s="21"/>
    </row>
    <row r="348" spans="1:52">
      <c r="A348" s="56" t="str">
        <f>$D$1&amp;338</f>
        <v>SD338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v>
      </c>
      <c r="I348" s="77" t="e">
        <f>IF(H348="","",IF($I$8="A",(RANK(H348,H$11:H$368,1)+COUNTIF(H$11:H348,H348)-1),(RANK(H348,H$11:H$368)+COUNTIF(H$11:H348,H348)-1)))</f>
        <v>#VALUE!</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SD339</v>
      </c>
      <c r="B349" s="57">
        <f>IF(ISERROR(VLOOKUP(A349,classifications!A:C,3,FALSE)),0,VLOOKUP(A349,classifications!A:C,3,FALSE))</f>
        <v>0</v>
      </c>
      <c r="C349" s="8" t="s">
        <v>907</v>
      </c>
      <c r="D349" s="26" t="str">
        <f>VLOOKUP($C349,classifications!$C:$J,4,FALSE)</f>
        <v>SD</v>
      </c>
      <c r="E349" s="26" t="str">
        <f>VLOOKUP(C349,classifications!C:K,9,FALSE)</f>
        <v>Sparse</v>
      </c>
      <c r="F349" s="36">
        <f t="shared" si="120"/>
        <v>84.445353929306265</v>
      </c>
      <c r="G349" s="71"/>
      <c r="H349" s="37">
        <f t="shared" si="121"/>
        <v>84.445353929306265</v>
      </c>
      <c r="I349" s="77">
        <f>IF(H349="","",IF($I$8="A",(RANK(H349,H$11:H$368,1)+COUNTIF(H$11:H349,H349)-1),(RANK(H349,H$11:H$368)+COUNTIF(H$11:H349,H349)-1)))</f>
        <v>59</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84.445353929306265</v>
      </c>
      <c r="AY349" s="103"/>
      <c r="AZ349" s="21"/>
    </row>
    <row r="350" spans="1:52">
      <c r="A350" s="56" t="str">
        <f>$D$1&amp;340</f>
        <v>SD340</v>
      </c>
      <c r="B350" s="57">
        <f>IF(ISERROR(VLOOKUP(A350,classifications!A:C,3,FALSE)),0,VLOOKUP(A350,classifications!A:C,3,FALSE))</f>
        <v>0</v>
      </c>
      <c r="C350" s="8" t="s">
        <v>331</v>
      </c>
      <c r="D350" s="26" t="str">
        <f>VLOOKUP($C350,classifications!$C:$J,4,FALSE)</f>
        <v>SC</v>
      </c>
      <c r="E350" s="26">
        <f>VLOOKUP(C350,classifications!C:K,9,FALSE)</f>
        <v>0</v>
      </c>
      <c r="F350" s="36">
        <f t="shared" si="120"/>
        <v>84.411781583716433</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84.411781583716433</v>
      </c>
      <c r="AY350" s="103"/>
      <c r="AZ350" s="21"/>
    </row>
    <row r="351" spans="1:52">
      <c r="A351" s="56" t="str">
        <f>$D$1&amp;341</f>
        <v>SD341</v>
      </c>
      <c r="B351" s="57">
        <f>IF(ISERROR(VLOOKUP(A351,classifications!A:C,3,FALSE)),0,VLOOKUP(A351,classifications!A:C,3,FALSE))</f>
        <v>0</v>
      </c>
      <c r="C351" s="8" t="s">
        <v>187</v>
      </c>
      <c r="D351" s="26" t="str">
        <f>VLOOKUP($C351,classifications!$C:$J,4,FALSE)</f>
        <v>L</v>
      </c>
      <c r="E351" s="26">
        <f>VLOOKUP(C351,classifications!C:K,9,FALSE)</f>
        <v>0</v>
      </c>
      <c r="F351" s="36">
        <f t="shared" si="120"/>
        <v>89.092278053533519</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89.092278053533519</v>
      </c>
      <c r="AY351" s="103"/>
      <c r="AZ351" s="21"/>
    </row>
    <row r="352" spans="1:52">
      <c r="A352" s="56" t="str">
        <f>$D$1&amp;342</f>
        <v>SD342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v>
      </c>
      <c r="I352" s="77" t="e">
        <f>IF(H352="","",IF($I$8="A",(RANK(H352,H$11:H$368,1)+COUNTIF(H$11:H352,H352)-1),(RANK(H352,H$11:H$368)+COUNTIF(H$11:H352,H352)-1)))</f>
        <v>#VALUE!</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SD343</v>
      </c>
      <c r="B353" s="57">
        <f>IF(ISERROR(VLOOKUP(A353,classifications!A:C,3,FALSE)),0,VLOOKUP(A353,classifications!A:C,3,FALSE))</f>
        <v>0</v>
      </c>
      <c r="C353" s="8" t="s">
        <v>255</v>
      </c>
      <c r="D353" s="26" t="str">
        <f>VLOOKUP($C353,classifications!$C:$J,4,FALSE)</f>
        <v>MD</v>
      </c>
      <c r="E353" s="26">
        <f>VLOOKUP(C353,classifications!C:K,9,FALSE)</f>
        <v>0</v>
      </c>
      <c r="F353" s="36">
        <f t="shared" si="120"/>
        <v>78.483402859974234</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78.483402859974234</v>
      </c>
      <c r="AY353" s="103"/>
      <c r="AZ353" s="21"/>
    </row>
    <row r="354" spans="1:735">
      <c r="A354" s="56" t="str">
        <f>$D$1&amp;344</f>
        <v>SD344</v>
      </c>
      <c r="B354" s="57">
        <f>IF(ISERROR(VLOOKUP(A354,classifications!A:C,3,FALSE)),0,VLOOKUP(A354,classifications!A:C,3,FALSE))</f>
        <v>0</v>
      </c>
      <c r="C354" s="8" t="s">
        <v>297</v>
      </c>
      <c r="D354" s="26" t="str">
        <f>VLOOKUP($C354,classifications!$C:$J,4,FALSE)</f>
        <v>UA</v>
      </c>
      <c r="E354" s="26">
        <f>VLOOKUP(C354,classifications!C:K,9,FALSE)</f>
        <v>0</v>
      </c>
      <c r="F354" s="36">
        <f t="shared" si="120"/>
        <v>86.966877840269134</v>
      </c>
      <c r="G354" s="71"/>
      <c r="H354" s="37" t="str">
        <f t="shared" si="121"/>
        <v/>
      </c>
      <c r="I354" s="77" t="str">
        <f>IF(H354="","",IF($I$8="A",(RANK(H354,H$11:H$368,1)+COUNTIF(H$11:H354,H354)-1),(RANK(H354,H$11:H$368)+COUNTIF(H$11:H354,H354)-1)))</f>
        <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86.966877840269134</v>
      </c>
      <c r="AY354" s="103"/>
      <c r="AZ354" s="21"/>
    </row>
    <row r="355" spans="1:735">
      <c r="A355" s="56" t="str">
        <f>$D$1&amp;345</f>
        <v>SD345</v>
      </c>
      <c r="B355" s="57">
        <f>IF(ISERROR(VLOOKUP(A355,classifications!A:C,3,FALSE)),0,VLOOKUP(A355,classifications!A:C,3,FALSE))</f>
        <v>0</v>
      </c>
      <c r="C355" s="8" t="s">
        <v>188</v>
      </c>
      <c r="D355" s="26" t="str">
        <f>VLOOKUP($C355,classifications!$C:$J,4,FALSE)</f>
        <v>SD</v>
      </c>
      <c r="E355" s="26">
        <f>VLOOKUP(C355,classifications!C:K,9,FALSE)</f>
        <v>0</v>
      </c>
      <c r="F355" s="36">
        <f t="shared" si="120"/>
        <v>88.154799004680399</v>
      </c>
      <c r="G355" s="71"/>
      <c r="H355" s="37">
        <f t="shared" si="121"/>
        <v>88.154799004680399</v>
      </c>
      <c r="I355" s="77">
        <f>IF(H355="","",IF($I$8="A",(RANK(H355,H$11:H$368,1)+COUNTIF(H$11:H355,H355)-1),(RANK(H355,H$11:H$368)+COUNTIF(H$11:H355,H355)-1)))</f>
        <v>8</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88.154799004680399</v>
      </c>
      <c r="AY355" s="103"/>
      <c r="AZ355" s="21"/>
    </row>
    <row r="356" spans="1:735">
      <c r="A356" s="56" t="str">
        <f>$D$1&amp;346</f>
        <v>SD346</v>
      </c>
      <c r="B356" s="57">
        <f>IF(ISERROR(VLOOKUP(A356,classifications!A:C,3,FALSE)),0,VLOOKUP(A356,classifications!A:C,3,FALSE))</f>
        <v>0</v>
      </c>
      <c r="C356" s="8" t="s">
        <v>814</v>
      </c>
      <c r="D356" s="26" t="str">
        <f>VLOOKUP($C356,classifications!$C:$J,4,FALSE)</f>
        <v>UA</v>
      </c>
      <c r="E356" s="26">
        <f>VLOOKUP(C356,classifications!C:K,9,FALSE)</f>
        <v>0</v>
      </c>
      <c r="F356" s="36">
        <f t="shared" si="120"/>
        <v>88.075317677372368</v>
      </c>
      <c r="G356" s="71"/>
      <c r="H356" s="37" t="str">
        <f t="shared" si="121"/>
        <v/>
      </c>
      <c r="I356" s="77" t="str">
        <f>IF(H356="","",IF($I$8="A",(RANK(H356,H$11:H$368,1)+COUNTIF(H$11:H356,H356)-1),(RANK(H356,H$11:H$368)+COUNTIF(H$11:H356,H356)-1)))</f>
        <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88.075317677372368</v>
      </c>
      <c r="AY356" s="103"/>
      <c r="AZ356" s="21"/>
    </row>
    <row r="357" spans="1:735">
      <c r="A357" s="56" t="str">
        <f>$D$1&amp;347</f>
        <v>SD347</v>
      </c>
      <c r="B357" s="57">
        <f>IF(ISERROR(VLOOKUP(A357,classifications!A:C,3,FALSE)),0,VLOOKUP(A357,classifications!A:C,3,FALSE))</f>
        <v>0</v>
      </c>
      <c r="C357" s="8" t="s">
        <v>256</v>
      </c>
      <c r="D357" s="26" t="str">
        <f>VLOOKUP($C357,classifications!$C:$J,4,FALSE)</f>
        <v>MD</v>
      </c>
      <c r="E357" s="26">
        <f>VLOOKUP(C357,classifications!C:K,9,FALSE)</f>
        <v>0</v>
      </c>
      <c r="F357" s="36">
        <f t="shared" si="120"/>
        <v>81.957688718342894</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81.957688718342894</v>
      </c>
      <c r="AY357" s="103"/>
      <c r="AZ357" s="21"/>
    </row>
    <row r="358" spans="1:735">
      <c r="A358" s="56" t="str">
        <f>$D$1&amp;348</f>
        <v>SD348</v>
      </c>
      <c r="B358" s="57">
        <f>IF(ISERROR(VLOOKUP(A358,classifications!A:C,3,FALSE)),0,VLOOKUP(A358,classifications!A:C,3,FALSE))</f>
        <v>0</v>
      </c>
      <c r="C358" s="8" t="s">
        <v>189</v>
      </c>
      <c r="D358" s="26" t="str">
        <f>VLOOKUP($C358,classifications!$C:$J,4,FALSE)</f>
        <v>SD</v>
      </c>
      <c r="E358" s="26">
        <f>VLOOKUP(C358,classifications!C:K,9,FALSE)</f>
        <v>0</v>
      </c>
      <c r="F358" s="36">
        <f t="shared" si="120"/>
        <v>82.398000952590905</v>
      </c>
      <c r="G358" s="71"/>
      <c r="H358" s="37">
        <f t="shared" si="121"/>
        <v>82.398000952590905</v>
      </c>
      <c r="I358" s="77">
        <f>IF(H358="","",IF($I$8="A",(RANK(H358,H$11:H$368,1)+COUNTIF(H$11:H358,H358)-1),(RANK(H358,H$11:H$368)+COUNTIF(H$11:H358,H358)-1)))</f>
        <v>97</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82.398000952590905</v>
      </c>
      <c r="AY358" s="103"/>
      <c r="AZ358" s="21"/>
    </row>
    <row r="359" spans="1:735">
      <c r="A359" s="56" t="str">
        <f>$D$1&amp;349</f>
        <v>SD349</v>
      </c>
      <c r="B359" s="57">
        <f>IF(ISERROR(VLOOKUP(A359,classifications!A:C,3,FALSE)),0,VLOOKUP(A359,classifications!A:C,3,FALSE))</f>
        <v>0</v>
      </c>
      <c r="C359" s="8" t="s">
        <v>298</v>
      </c>
      <c r="D359" s="26" t="str">
        <f>VLOOKUP($C359,classifications!$C:$J,4,FALSE)</f>
        <v>UA</v>
      </c>
      <c r="E359" s="26">
        <f>VLOOKUP(C359,classifications!C:K,9,FALSE)</f>
        <v>0</v>
      </c>
      <c r="F359" s="36">
        <f t="shared" si="120"/>
        <v>89.743171006484772</v>
      </c>
      <c r="G359" s="71"/>
      <c r="H359" s="37" t="str">
        <f t="shared" si="121"/>
        <v/>
      </c>
      <c r="I359" s="77" t="str">
        <f>IF(H359="","",IF($I$8="A",(RANK(H359,H$11:H$368,1)+COUNTIF(H$11:H359,H359)-1),(RANK(H359,H$11:H$368)+COUNTIF(H$11:H359,H359)-1)))</f>
        <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89.743171006484772</v>
      </c>
      <c r="AY359" s="103"/>
      <c r="AZ359" s="21"/>
    </row>
    <row r="360" spans="1:735">
      <c r="A360" s="56" t="str">
        <f>$D$1&amp;350</f>
        <v>SD350</v>
      </c>
      <c r="B360" s="57">
        <f>IF(ISERROR(VLOOKUP(A360,classifications!A:C,3,FALSE)),0,VLOOKUP(A360,classifications!A:C,3,FALSE))</f>
        <v>0</v>
      </c>
      <c r="C360" s="8" t="s">
        <v>257</v>
      </c>
      <c r="D360" s="26" t="str">
        <f>VLOOKUP($C360,classifications!$C:$J,4,FALSE)</f>
        <v>MD</v>
      </c>
      <c r="E360" s="26">
        <f>VLOOKUP(C360,classifications!C:K,9,FALSE)</f>
        <v>0</v>
      </c>
      <c r="F360" s="36">
        <f t="shared" si="120"/>
        <v>68.163622444981812</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68.163622444981812</v>
      </c>
      <c r="AY360" s="103"/>
      <c r="AZ360" s="21"/>
    </row>
    <row r="361" spans="1:735">
      <c r="A361" s="56" t="str">
        <f>$D$1&amp;351</f>
        <v>SD351</v>
      </c>
      <c r="B361" s="57">
        <f>IF(ISERROR(VLOOKUP(A361,classifications!A:C,3,FALSE)),0,VLOOKUP(A361,classifications!A:C,3,FALSE))</f>
        <v>0</v>
      </c>
      <c r="C361" s="8" t="s">
        <v>190</v>
      </c>
      <c r="D361" s="26" t="str">
        <f>VLOOKUP($C361,classifications!$C:$J,4,FALSE)</f>
        <v>SD</v>
      </c>
      <c r="E361" s="26">
        <f>VLOOKUP(C361,classifications!C:K,9,FALSE)</f>
        <v>0</v>
      </c>
      <c r="F361" s="36">
        <f t="shared" si="120"/>
        <v>84.592552123348014</v>
      </c>
      <c r="G361" s="71"/>
      <c r="H361" s="37">
        <f t="shared" si="121"/>
        <v>84.592552123348014</v>
      </c>
      <c r="I361" s="77">
        <f>IF(H361="","",IF($I$8="A",(RANK(H361,H$11:H$368,1)+COUNTIF(H$11:H361,H361)-1),(RANK(H361,H$11:H$368)+COUNTIF(H$11:H361,H361)-1)))</f>
        <v>57</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84.592552123348014</v>
      </c>
      <c r="AY361" s="103"/>
      <c r="AZ361" s="21"/>
    </row>
    <row r="362" spans="1:735">
      <c r="A362" s="56" t="str">
        <f>$D$1&amp;352</f>
        <v>SD352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83.530583979642358</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83.530583979642358</v>
      </c>
      <c r="AY362" s="103"/>
      <c r="AZ362" s="21"/>
    </row>
    <row r="363" spans="1:735">
      <c r="A363" s="56" t="str">
        <f>$D$1&amp;353</f>
        <v>SD353</v>
      </c>
      <c r="B363" s="57">
        <f>IF(ISERROR(VLOOKUP(A363,classifications!A:C,3,FALSE)),0,VLOOKUP(A363,classifications!A:C,3,FALSE))</f>
        <v>0</v>
      </c>
      <c r="C363" s="8" t="s">
        <v>191</v>
      </c>
      <c r="D363" s="26" t="str">
        <f>VLOOKUP($C363,classifications!$C:$J,4,FALSE)</f>
        <v>SD</v>
      </c>
      <c r="E363" s="26">
        <f>VLOOKUP(C363,classifications!C:K,9,FALSE)</f>
        <v>0</v>
      </c>
      <c r="F363" s="36">
        <f t="shared" si="120"/>
        <v>84.019006352306462</v>
      </c>
      <c r="G363" s="71"/>
      <c r="H363" s="37">
        <f t="shared" si="121"/>
        <v>84.019006352306462</v>
      </c>
      <c r="I363" s="77">
        <f>IF(H363="","",IF($I$8="A",(RANK(H363,H$11:H$368,1)+COUNTIF(H$11:H363,H363)-1),(RANK(H363,H$11:H$368)+COUNTIF(H$11:H363,H363)-1)))</f>
        <v>64</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84.019006352306462</v>
      </c>
      <c r="AY363" s="103"/>
      <c r="AZ363" s="21"/>
    </row>
    <row r="364" spans="1:735" s="27" customFormat="1">
      <c r="A364" s="56" t="str">
        <f>$D$1&amp;354</f>
        <v>SD354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84.856066522804923</v>
      </c>
      <c r="G364" s="71"/>
      <c r="H364" s="37">
        <f t="shared" si="121"/>
        <v>84.856066522804923</v>
      </c>
      <c r="I364" s="77">
        <f>IF(H364="","",IF($I$8="A",(RANK(H364,H$11:H$368,1)+COUNTIF(H$11:H364,H364)-1),(RANK(H364,H$11:H$368)+COUNTIF(H$11:H364,H364)-1)))</f>
        <v>50</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84.856066522804923</v>
      </c>
      <c r="AY364" s="119"/>
      <c r="AZ364" s="19"/>
      <c r="ABG364" s="40"/>
    </row>
    <row r="365" spans="1:735">
      <c r="A365" s="56" t="str">
        <f>$D$1&amp;355</f>
        <v>SD355</v>
      </c>
      <c r="B365" s="57">
        <f>IF(ISERROR(VLOOKUP(A365,classifications!A:C,3,FALSE)),0,VLOOKUP(A365,classifications!A:C,3,FALSE))</f>
        <v>0</v>
      </c>
      <c r="C365" s="8" t="s">
        <v>193</v>
      </c>
      <c r="D365" s="26" t="str">
        <f>VLOOKUP($C365,classifications!$C:$J,4,FALSE)</f>
        <v>SD</v>
      </c>
      <c r="E365" s="26">
        <f>VLOOKUP(C365,classifications!C:K,9,FALSE)</f>
        <v>0</v>
      </c>
      <c r="F365" s="36">
        <f t="shared" si="120"/>
        <v>85.906816780393342</v>
      </c>
      <c r="G365" s="71"/>
      <c r="H365" s="37">
        <f t="shared" si="121"/>
        <v>85.906816780393342</v>
      </c>
      <c r="I365" s="77">
        <f>IF(H365="","",IF($I$8="A",(RANK(H365,H$11:H$368,1)+COUNTIF(H$11:H365,H365)-1),(RANK(H365,H$11:H$368)+COUNTIF(H$11:H365,H365)-1)))</f>
        <v>39</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85.906816780393342</v>
      </c>
      <c r="AY365" s="16"/>
      <c r="AZ365" s="111"/>
    </row>
    <row r="366" spans="1:735">
      <c r="A366" s="56" t="str">
        <f>$D$1&amp;356</f>
        <v>SD356</v>
      </c>
      <c r="B366" s="57">
        <f>IF(ISERROR(VLOOKUP(A366,classifications!A:C,3,FALSE)),0,VLOOKUP(A366,classifications!A:C,3,FALSE))</f>
        <v>0</v>
      </c>
      <c r="C366" s="8" t="s">
        <v>194</v>
      </c>
      <c r="D366" s="26" t="str">
        <f>VLOOKUP($C366,classifications!$C:$J,4,FALSE)</f>
        <v>SD</v>
      </c>
      <c r="E366" s="26">
        <f>VLOOKUP(C366,classifications!C:K,9,FALSE)</f>
        <v>0</v>
      </c>
      <c r="F366" s="36">
        <f t="shared" si="120"/>
        <v>79.146909289786848</v>
      </c>
      <c r="G366" s="71"/>
      <c r="H366" s="37">
        <f t="shared" si="121"/>
        <v>79.146909289786848</v>
      </c>
      <c r="I366" s="77">
        <f>IF(H366="","",IF($I$8="A",(RANK(H366,H$11:H$368,1)+COUNTIF(H$11:H366,H366)-1),(RANK(H366,H$11:H$368)+COUNTIF(H$11:H366,H366)-1)))</f>
        <v>152</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79.146909289786848</v>
      </c>
      <c r="AY366" s="16"/>
      <c r="AZ366" s="111"/>
    </row>
    <row r="367" spans="1:735">
      <c r="A367" s="56" t="str">
        <f>$D$1&amp;357</f>
        <v>SD357</v>
      </c>
      <c r="B367" s="57">
        <f>IF(ISERROR(VLOOKUP(A367,classifications!A:C,3,FALSE)),0,VLOOKUP(A367,classifications!A:C,3,FALSE))</f>
        <v>0</v>
      </c>
      <c r="C367" s="8" t="s">
        <v>195</v>
      </c>
      <c r="D367" s="26" t="str">
        <f>VLOOKUP($C367,classifications!$C:$J,4,FALSE)</f>
        <v>SD</v>
      </c>
      <c r="E367" s="26">
        <f>VLOOKUP(C367,classifications!C:K,9,FALSE)</f>
        <v>0</v>
      </c>
      <c r="F367" s="36">
        <f t="shared" si="120"/>
        <v>83.369638917778488</v>
      </c>
      <c r="G367" s="71"/>
      <c r="H367" s="37">
        <f t="shared" si="121"/>
        <v>83.369638917778488</v>
      </c>
      <c r="I367" s="77">
        <f>IF(H367="","",IF($I$8="A",(RANK(H367,H$11:H$368,1)+COUNTIF(H$11:H367,H367)-1),(RANK(H367,H$11:H$368)+COUNTIF(H$11:H367,H367)-1)))</f>
        <v>87</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83.369638917778488</v>
      </c>
    </row>
    <row r="368" spans="1:735">
      <c r="A368" s="56" t="str">
        <f>$D$1&amp;358</f>
        <v>SD358</v>
      </c>
      <c r="B368" s="57">
        <f>IF(ISERROR(VLOOKUP(A368,classifications!A:C,3,FALSE)),0,VLOOKUP(A368,classifications!A:C,3,FALSE))</f>
        <v>0</v>
      </c>
      <c r="C368" s="8" t="s">
        <v>299</v>
      </c>
      <c r="D368" s="26" t="str">
        <f>VLOOKUP($C368,classifications!$C:$J,4,FALSE)</f>
        <v>UA</v>
      </c>
      <c r="E368" s="26">
        <f>VLOOKUP(C368,classifications!C:K,9,FALSE)</f>
        <v>0</v>
      </c>
      <c r="F368" s="36">
        <f t="shared" si="120"/>
        <v>85.5900498530129</v>
      </c>
      <c r="G368" s="71"/>
      <c r="H368" s="37" t="str">
        <f t="shared" si="121"/>
        <v/>
      </c>
      <c r="I368" s="77" t="str">
        <f>IF(H368="","",IF($I$8="A",(RANK(H368,H$11:H$368,1)+COUNTIF(H$11:H368,H368)-1),(RANK(H368,H$11:H$368)+COUNTIF(H$11:H368,H368)-1)))</f>
        <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85.5900498530129</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900</v>
      </c>
      <c r="B2" t="s">
        <v>821</v>
      </c>
      <c r="C2" t="s">
        <v>821</v>
      </c>
      <c r="D2" t="s">
        <v>885</v>
      </c>
      <c r="F2" s="1" t="s">
        <v>886</v>
      </c>
      <c r="G2" s="1"/>
      <c r="H2" s="1"/>
    </row>
    <row r="3" spans="1:8" ht="14.4">
      <c r="A3" s="217"/>
      <c r="F3" s="269" t="s">
        <v>894</v>
      </c>
      <c r="G3" s="1"/>
    </row>
    <row r="4" spans="1:8" ht="14.4">
      <c r="A4" s="217"/>
      <c r="F4" s="1" t="s">
        <v>895</v>
      </c>
      <c r="G4" s="1"/>
    </row>
    <row r="5" spans="1:8" ht="14.4">
      <c r="A5" s="217"/>
      <c r="E5" s="1"/>
      <c r="F5" s="26" t="s">
        <v>896</v>
      </c>
    </row>
    <row r="6" spans="1:8" ht="14.4">
      <c r="A6" s="217"/>
      <c r="E6" s="1"/>
      <c r="F6" s="26" t="s">
        <v>898</v>
      </c>
    </row>
    <row r="7" spans="1:8" ht="14.4">
      <c r="A7" s="217"/>
      <c r="E7" s="1"/>
      <c r="F7" s="26" t="s">
        <v>901</v>
      </c>
    </row>
    <row r="8" spans="1:8" ht="14.4">
      <c r="A8" s="217"/>
      <c r="F8" s="26" t="s">
        <v>902</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2"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C1" workbookViewId="0">
      <selection activeCell="C7" sqref="C7:I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do any walking or cycling, at least once per month2012/13</v>
      </c>
      <c r="D1" s="133" t="str">
        <f t="shared" ref="D1:BO1" si="0">D4&amp;D5</f>
        <v>Proportion of residents who do any walking or cycling, at least once per month2013/14</v>
      </c>
      <c r="E1" s="133" t="str">
        <f t="shared" si="0"/>
        <v>Proportion of residents who do any walking or cycling, at least once per month2014/15</v>
      </c>
      <c r="F1" s="133" t="str">
        <f t="shared" si="0"/>
        <v>Proportion of residents who do any walking or cycling, at least once per month2015/16</v>
      </c>
      <c r="G1" s="133" t="str">
        <f t="shared" si="0"/>
        <v>Proportion of residents who do any walking or cycling, at least once per month2016/17</v>
      </c>
      <c r="H1" s="133" t="str">
        <f t="shared" si="0"/>
        <v>Proportion of residents who do any walking or cycling, at least once per month2017/18</v>
      </c>
      <c r="I1" s="133" t="str">
        <f t="shared" si="0"/>
        <v>Proportion of residents who do any walking or cycling, at least once per month2018/19</v>
      </c>
      <c r="J1" s="133" t="str">
        <f t="shared" si="0"/>
        <v/>
      </c>
      <c r="K1" s="133" t="str">
        <f t="shared" si="0"/>
        <v/>
      </c>
      <c r="L1" s="133" t="str">
        <f t="shared" si="0"/>
        <v/>
      </c>
      <c r="M1" s="133" t="str">
        <f t="shared" si="0"/>
        <v/>
      </c>
      <c r="N1" s="133" t="str">
        <f t="shared" si="0"/>
        <v/>
      </c>
      <c r="O1" s="133" t="str">
        <f t="shared" si="0"/>
        <v/>
      </c>
      <c r="P1" s="133" t="str">
        <f t="shared" si="0"/>
        <v/>
      </c>
      <c r="Q1" s="133" t="str">
        <f t="shared" si="0"/>
        <v/>
      </c>
      <c r="R1" s="133" t="str">
        <f t="shared" si="0"/>
        <v/>
      </c>
      <c r="S1" s="133" t="str">
        <f t="shared" si="0"/>
        <v/>
      </c>
      <c r="T1" s="133" t="str">
        <f t="shared" si="0"/>
        <v/>
      </c>
      <c r="U1" s="133" t="str">
        <f t="shared" si="0"/>
        <v/>
      </c>
      <c r="V1" s="133" t="str">
        <f t="shared" si="0"/>
        <v/>
      </c>
      <c r="W1" s="133" t="str">
        <f t="shared" si="0"/>
        <v/>
      </c>
      <c r="X1" s="133" t="str">
        <f t="shared" si="0"/>
        <v/>
      </c>
      <c r="Y1" s="133" t="str">
        <f t="shared" si="0"/>
        <v/>
      </c>
      <c r="Z1" s="133" t="str">
        <f t="shared" si="0"/>
        <v/>
      </c>
      <c r="AA1" s="133" t="str">
        <f t="shared" si="0"/>
        <v/>
      </c>
      <c r="AB1" s="133" t="str">
        <f t="shared" si="0"/>
        <v/>
      </c>
      <c r="AC1" s="133" t="str">
        <f t="shared" si="0"/>
        <v/>
      </c>
      <c r="AD1" s="133" t="str">
        <f t="shared" si="0"/>
        <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899</v>
      </c>
      <c r="D3" s="137"/>
      <c r="E3" s="137"/>
      <c r="L3" s="126"/>
      <c r="M3" s="109"/>
      <c r="N3" s="126"/>
      <c r="O3" s="140"/>
      <c r="P3" s="140"/>
      <c r="Q3" s="140"/>
      <c r="R3" s="109"/>
      <c r="S3" s="109"/>
      <c r="T3" s="109"/>
      <c r="U3" s="140"/>
      <c r="V3" s="356"/>
      <c r="W3" s="356"/>
      <c r="X3" s="126"/>
      <c r="Y3" s="126"/>
    </row>
    <row r="4" spans="1:77" ht="60" customHeight="1">
      <c r="A4" s="354" t="s">
        <v>820</v>
      </c>
      <c r="B4" s="135" t="s">
        <v>802</v>
      </c>
      <c r="C4" s="217" t="s">
        <v>900</v>
      </c>
      <c r="D4" s="217" t="s">
        <v>900</v>
      </c>
      <c r="E4" s="217" t="s">
        <v>900</v>
      </c>
      <c r="F4" s="217" t="s">
        <v>900</v>
      </c>
      <c r="G4" s="217" t="s">
        <v>900</v>
      </c>
      <c r="H4" s="217" t="s">
        <v>900</v>
      </c>
      <c r="I4" s="217" t="s">
        <v>900</v>
      </c>
      <c r="J4" s="217"/>
      <c r="K4" s="218"/>
      <c r="L4" s="218"/>
      <c r="M4" s="218"/>
      <c r="N4" s="218"/>
      <c r="O4" s="218"/>
      <c r="P4" s="128"/>
      <c r="Q4" s="128"/>
      <c r="R4" s="130"/>
      <c r="S4" s="130"/>
      <c r="T4" s="130"/>
      <c r="U4" s="128"/>
      <c r="V4" s="357"/>
      <c r="W4" s="357"/>
      <c r="X4" s="126"/>
      <c r="Y4" s="126"/>
    </row>
    <row r="5" spans="1:77" ht="30" customHeight="1">
      <c r="A5" s="355"/>
      <c r="B5" s="136" t="s">
        <v>364</v>
      </c>
      <c r="C5" s="217" t="s">
        <v>886</v>
      </c>
      <c r="D5" s="217" t="s">
        <v>894</v>
      </c>
      <c r="E5" s="217" t="s">
        <v>895</v>
      </c>
      <c r="F5" s="269" t="s">
        <v>896</v>
      </c>
      <c r="G5" s="217" t="s">
        <v>898</v>
      </c>
      <c r="H5" s="278" t="s">
        <v>901</v>
      </c>
      <c r="I5" s="279" t="s">
        <v>902</v>
      </c>
      <c r="J5" s="217"/>
      <c r="K5" s="217"/>
      <c r="L5" s="217"/>
      <c r="M5" s="217"/>
      <c r="N5" s="217"/>
      <c r="O5" s="217"/>
      <c r="P5" s="129"/>
      <c r="Q5" s="129"/>
      <c r="R5" s="112"/>
      <c r="S5" s="112"/>
      <c r="T5" s="112"/>
      <c r="U5" s="129"/>
      <c r="V5" s="358"/>
      <c r="W5" s="358"/>
      <c r="X5" s="126"/>
      <c r="Y5" s="126"/>
    </row>
    <row r="6" spans="1:77" ht="14.7" customHeight="1">
      <c r="A6" s="355"/>
      <c r="B6" s="136" t="s">
        <v>365</v>
      </c>
      <c r="C6" s="162" t="s">
        <v>887</v>
      </c>
      <c r="D6" s="162" t="s">
        <v>887</v>
      </c>
      <c r="E6" s="162" t="s">
        <v>887</v>
      </c>
      <c r="F6" s="162" t="s">
        <v>887</v>
      </c>
      <c r="G6" s="162" t="s">
        <v>887</v>
      </c>
      <c r="H6" s="162" t="s">
        <v>887</v>
      </c>
      <c r="I6" s="162" t="s">
        <v>887</v>
      </c>
      <c r="J6" s="162"/>
      <c r="K6" s="162"/>
      <c r="L6" s="162"/>
      <c r="M6" s="162"/>
      <c r="N6" s="162"/>
      <c r="O6" s="162"/>
      <c r="P6" s="129"/>
      <c r="Q6" s="129"/>
      <c r="R6" s="112"/>
      <c r="S6" s="112"/>
      <c r="T6" s="112"/>
      <c r="U6" s="128"/>
      <c r="V6" s="357"/>
      <c r="W6" s="357"/>
      <c r="X6" s="126"/>
      <c r="Y6" s="126"/>
    </row>
    <row r="7" spans="1:77" ht="14.7" customHeight="1">
      <c r="A7" s="131" t="s">
        <v>4</v>
      </c>
      <c r="B7" s="131"/>
      <c r="C7">
        <v>90.337326485379066</v>
      </c>
      <c r="D7">
        <v>88.002600225488308</v>
      </c>
      <c r="E7">
        <v>85.435541905055175</v>
      </c>
      <c r="F7">
        <v>79.493470816629568</v>
      </c>
      <c r="G7">
        <v>85.196899999999999</v>
      </c>
      <c r="H7">
        <v>84.827600000000004</v>
      </c>
      <c r="I7" s="147">
        <v>83.883886554025949</v>
      </c>
      <c r="J7" s="112"/>
      <c r="K7" s="112"/>
      <c r="L7" s="126"/>
      <c r="M7" s="112"/>
      <c r="N7" s="126"/>
      <c r="O7" s="147"/>
      <c r="P7" s="147"/>
      <c r="Q7" s="147"/>
      <c r="R7" s="112"/>
      <c r="S7" s="112"/>
      <c r="T7" s="112"/>
      <c r="U7" s="146"/>
      <c r="V7" s="113"/>
      <c r="W7" s="113"/>
      <c r="X7" s="126"/>
      <c r="Y7" s="126"/>
    </row>
    <row r="8" spans="1:77" ht="14.7" customHeight="1">
      <c r="A8" s="131" t="s">
        <v>6</v>
      </c>
      <c r="B8" s="131"/>
      <c r="C8">
        <v>87.863111874510111</v>
      </c>
      <c r="D8">
        <v>87.018816613171026</v>
      </c>
      <c r="E8">
        <v>85.506788382534452</v>
      </c>
      <c r="F8">
        <v>79.408472707742007</v>
      </c>
      <c r="G8">
        <v>84.622200000000007</v>
      </c>
      <c r="H8">
        <v>81.481700000000004</v>
      </c>
      <c r="I8" s="147">
        <v>81.774925961121198</v>
      </c>
      <c r="J8" s="112"/>
      <c r="K8" s="112"/>
      <c r="L8" s="126"/>
      <c r="M8" s="112"/>
      <c r="N8" s="126"/>
      <c r="O8" s="147"/>
      <c r="P8" s="147"/>
      <c r="Q8" s="147"/>
      <c r="R8" s="112"/>
      <c r="S8" s="112"/>
      <c r="T8" s="112"/>
      <c r="U8" s="146"/>
      <c r="V8" s="113"/>
      <c r="W8" s="113"/>
      <c r="X8" s="126"/>
      <c r="Y8" s="126"/>
    </row>
    <row r="9" spans="1:77" ht="14.7" customHeight="1">
      <c r="A9" s="131" t="s">
        <v>7</v>
      </c>
      <c r="B9" s="131"/>
      <c r="C9">
        <v>87.989234272339189</v>
      </c>
      <c r="D9">
        <v>87.737274977451406</v>
      </c>
      <c r="E9">
        <v>85.645517941867524</v>
      </c>
      <c r="F9">
        <v>75.706356528329337</v>
      </c>
      <c r="G9">
        <v>79.491900000000001</v>
      </c>
      <c r="H9">
        <v>84.3185</v>
      </c>
      <c r="I9" s="147">
        <v>81.9033742825373</v>
      </c>
      <c r="J9" s="112"/>
      <c r="K9" s="112"/>
      <c r="L9" s="126"/>
      <c r="M9" s="112"/>
      <c r="N9" s="126"/>
      <c r="O9" s="147"/>
      <c r="P9" s="147"/>
      <c r="Q9" s="147"/>
      <c r="R9" s="112"/>
      <c r="S9" s="112"/>
      <c r="T9" s="112"/>
      <c r="U9" s="146"/>
      <c r="V9" s="113"/>
      <c r="W9" s="113"/>
      <c r="X9" s="126"/>
      <c r="Y9" s="126"/>
    </row>
    <row r="10" spans="1:77" ht="14.7" customHeight="1">
      <c r="A10" s="131" t="s">
        <v>8</v>
      </c>
      <c r="B10" s="131"/>
      <c r="C10">
        <v>89.557074329048248</v>
      </c>
      <c r="D10">
        <v>84.503697360628721</v>
      </c>
      <c r="E10">
        <v>86.779756333367999</v>
      </c>
      <c r="F10">
        <v>86.231164933037647</v>
      </c>
      <c r="G10">
        <v>80.537999999999997</v>
      </c>
      <c r="H10">
        <v>81.009699999999995</v>
      </c>
      <c r="I10" s="147">
        <v>86.183848082296933</v>
      </c>
      <c r="J10" s="112"/>
      <c r="K10" s="112"/>
      <c r="L10" s="126"/>
      <c r="M10" s="112"/>
      <c r="N10" s="126"/>
      <c r="O10" s="147"/>
      <c r="P10" s="147"/>
      <c r="Q10" s="147"/>
      <c r="R10" s="112"/>
      <c r="S10" s="112"/>
      <c r="T10" s="112"/>
      <c r="U10" s="146"/>
      <c r="V10" s="113"/>
      <c r="W10" s="113"/>
      <c r="X10" s="126"/>
      <c r="Y10" s="126"/>
    </row>
    <row r="11" spans="1:77" ht="14.7" customHeight="1">
      <c r="A11" s="131" t="s">
        <v>9</v>
      </c>
      <c r="B11" s="131"/>
      <c r="C11">
        <v>86.257339902886798</v>
      </c>
      <c r="D11">
        <v>82.196142463516694</v>
      </c>
      <c r="E11">
        <v>84.121895094004884</v>
      </c>
      <c r="F11">
        <v>77.826059627689375</v>
      </c>
      <c r="G11">
        <v>78.571100000000001</v>
      </c>
      <c r="H11">
        <v>77.238600000000005</v>
      </c>
      <c r="I11" s="147">
        <v>77.737873022638354</v>
      </c>
      <c r="J11" s="112"/>
      <c r="K11" s="112"/>
      <c r="L11" s="126"/>
      <c r="M11" s="112"/>
      <c r="N11" s="126"/>
      <c r="O11" s="147"/>
      <c r="P11" s="147"/>
      <c r="Q11" s="147"/>
      <c r="R11" s="112"/>
      <c r="S11" s="112"/>
      <c r="T11" s="112"/>
      <c r="U11" s="146"/>
      <c r="V11" s="113"/>
      <c r="W11" s="113"/>
      <c r="X11" s="126"/>
      <c r="Y11" s="126"/>
    </row>
    <row r="12" spans="1:77" ht="14.7" customHeight="1">
      <c r="A12" s="131" t="s">
        <v>10</v>
      </c>
      <c r="B12" s="131"/>
      <c r="C12">
        <v>90.841139049152716</v>
      </c>
      <c r="D12">
        <v>84.86523136745538</v>
      </c>
      <c r="E12">
        <v>85.374430008953837</v>
      </c>
      <c r="F12">
        <v>80.051103366042625</v>
      </c>
      <c r="G12">
        <v>83.0745</v>
      </c>
      <c r="H12">
        <v>80.207300000000004</v>
      </c>
      <c r="I12" s="147">
        <v>79.637339452150854</v>
      </c>
      <c r="J12" s="112"/>
      <c r="K12" s="112"/>
      <c r="L12" s="126"/>
      <c r="M12" s="112"/>
      <c r="N12" s="126"/>
      <c r="O12" s="147"/>
      <c r="P12" s="147"/>
      <c r="Q12" s="147"/>
      <c r="R12" s="112"/>
      <c r="S12" s="112"/>
      <c r="T12" s="112"/>
      <c r="U12" s="146"/>
      <c r="V12" s="113"/>
      <c r="W12" s="113"/>
      <c r="X12" s="126"/>
      <c r="Y12" s="126"/>
    </row>
    <row r="13" spans="1:77" ht="14.7" customHeight="1">
      <c r="A13" s="131" t="s">
        <v>11</v>
      </c>
      <c r="B13" s="131"/>
      <c r="C13">
        <v>88.053853300303757</v>
      </c>
      <c r="D13">
        <v>89.612299767754251</v>
      </c>
      <c r="E13">
        <v>89.51986902008332</v>
      </c>
      <c r="F13">
        <v>80.005467595960482</v>
      </c>
      <c r="G13">
        <v>87.523200000000003</v>
      </c>
      <c r="H13">
        <v>83.042400000000001</v>
      </c>
      <c r="I13" s="147">
        <v>82.891590896344596</v>
      </c>
      <c r="J13" s="112"/>
      <c r="K13" s="112"/>
      <c r="L13" s="126"/>
      <c r="M13" s="112"/>
      <c r="N13" s="126"/>
      <c r="O13" s="147"/>
      <c r="P13" s="147"/>
      <c r="Q13" s="147"/>
      <c r="R13" s="112"/>
      <c r="S13" s="112"/>
      <c r="T13" s="112"/>
      <c r="U13" s="146"/>
      <c r="V13" s="113"/>
      <c r="W13" s="113"/>
      <c r="X13" s="126"/>
      <c r="Y13" s="126"/>
    </row>
    <row r="14" spans="1:77" ht="14.7" customHeight="1">
      <c r="A14" s="131" t="s">
        <v>12</v>
      </c>
      <c r="B14" s="131"/>
      <c r="C14">
        <v>88.954493924630711</v>
      </c>
      <c r="D14">
        <v>90.037379746350268</v>
      </c>
      <c r="E14">
        <v>87.803292633504924</v>
      </c>
      <c r="F14">
        <v>82.353437618448396</v>
      </c>
      <c r="G14">
        <v>85.772099999999995</v>
      </c>
      <c r="H14">
        <v>79.876499999999993</v>
      </c>
      <c r="I14" s="147">
        <v>78.89244691922211</v>
      </c>
      <c r="J14" s="112"/>
      <c r="K14" s="112"/>
      <c r="L14" s="126"/>
      <c r="M14" s="112"/>
      <c r="N14" s="126"/>
      <c r="O14" s="147"/>
      <c r="P14" s="147"/>
      <c r="Q14" s="147"/>
      <c r="R14" s="112"/>
      <c r="S14" s="112"/>
      <c r="T14" s="112"/>
      <c r="U14" s="147"/>
      <c r="V14" s="149"/>
      <c r="W14" s="149"/>
      <c r="X14" s="126"/>
      <c r="Y14" s="126"/>
    </row>
    <row r="15" spans="1:77" ht="14.7" customHeight="1">
      <c r="A15" s="131" t="s">
        <v>338</v>
      </c>
      <c r="B15" s="131"/>
      <c r="C15">
        <v>85.323460814946628</v>
      </c>
      <c r="D15">
        <v>82.720627940670042</v>
      </c>
      <c r="E15">
        <v>78.343177644314295</v>
      </c>
      <c r="F15">
        <v>69.60234550390804</v>
      </c>
      <c r="G15">
        <v>73.097500000000011</v>
      </c>
      <c r="H15">
        <v>72.993399999999994</v>
      </c>
      <c r="I15" s="147">
        <v>65.837289067000057</v>
      </c>
      <c r="J15" s="112"/>
      <c r="K15" s="112"/>
      <c r="L15" s="126"/>
      <c r="M15" s="112"/>
      <c r="N15" s="126"/>
      <c r="O15" s="147"/>
      <c r="P15" s="147"/>
      <c r="Q15" s="147"/>
      <c r="R15" s="112"/>
      <c r="S15" s="112"/>
      <c r="T15" s="112"/>
      <c r="U15" s="146"/>
      <c r="V15" s="113"/>
      <c r="W15" s="113"/>
      <c r="X15" s="126"/>
      <c r="Y15" s="126"/>
    </row>
    <row r="16" spans="1:77" ht="14.7" customHeight="1">
      <c r="A16" s="131" t="s">
        <v>196</v>
      </c>
      <c r="B16" s="131"/>
      <c r="C16">
        <v>88.004815492683093</v>
      </c>
      <c r="D16">
        <v>90.553174275639165</v>
      </c>
      <c r="E16">
        <v>89.626295544395759</v>
      </c>
      <c r="F16">
        <v>77.189969056020516</v>
      </c>
      <c r="G16">
        <v>77.168400000000005</v>
      </c>
      <c r="H16">
        <v>80.466499999999996</v>
      </c>
      <c r="I16" s="147">
        <v>80.428551002401136</v>
      </c>
      <c r="J16" s="112"/>
      <c r="K16" s="112"/>
      <c r="L16" s="126"/>
      <c r="M16" s="112"/>
      <c r="N16" s="126"/>
      <c r="O16" s="147"/>
      <c r="P16" s="147"/>
      <c r="Q16" s="147"/>
      <c r="R16" s="112"/>
      <c r="S16" s="112"/>
      <c r="T16" s="112"/>
      <c r="U16" s="146"/>
      <c r="V16" s="113"/>
      <c r="W16" s="113"/>
      <c r="X16" s="126"/>
      <c r="Y16" s="126"/>
    </row>
    <row r="17" spans="1:25" ht="14.7" customHeight="1">
      <c r="A17" s="131" t="s">
        <v>222</v>
      </c>
      <c r="B17" s="131"/>
      <c r="C17">
        <v>84.091929679690224</v>
      </c>
      <c r="D17">
        <v>81.054630891521384</v>
      </c>
      <c r="E17">
        <v>79.364643412981778</v>
      </c>
      <c r="F17">
        <v>72.184698346629091</v>
      </c>
      <c r="G17">
        <v>75.150999999999996</v>
      </c>
      <c r="H17">
        <v>76.030100000000004</v>
      </c>
      <c r="I17" s="146">
        <v>78.336351209328939</v>
      </c>
      <c r="J17" s="144"/>
      <c r="K17" s="144"/>
      <c r="L17" s="126"/>
      <c r="M17" s="144"/>
      <c r="N17" s="126"/>
      <c r="O17" s="146"/>
      <c r="P17" s="146"/>
      <c r="Q17" s="146"/>
      <c r="R17" s="144"/>
      <c r="S17" s="144"/>
      <c r="T17" s="144"/>
      <c r="U17" s="146"/>
      <c r="V17" s="113"/>
      <c r="W17" s="113"/>
      <c r="X17" s="126"/>
      <c r="Y17" s="126"/>
    </row>
    <row r="18" spans="1:25" ht="14.7" customHeight="1">
      <c r="A18" s="131" t="s">
        <v>13</v>
      </c>
      <c r="B18" s="131"/>
      <c r="C18">
        <v>87.61178707181034</v>
      </c>
      <c r="D18">
        <v>85.91355104916218</v>
      </c>
      <c r="E18">
        <v>89.094846288914397</v>
      </c>
      <c r="F18">
        <v>78.412633038435132</v>
      </c>
      <c r="G18">
        <v>80.075099999999992</v>
      </c>
      <c r="H18">
        <v>76.656000000000006</v>
      </c>
      <c r="I18" s="147">
        <v>82.166266846252938</v>
      </c>
      <c r="J18" s="112"/>
      <c r="K18" s="112"/>
      <c r="L18" s="126"/>
      <c r="M18" s="112"/>
      <c r="N18" s="126"/>
      <c r="O18" s="147"/>
      <c r="P18" s="147"/>
      <c r="Q18" s="147"/>
      <c r="R18" s="112"/>
      <c r="S18" s="112"/>
      <c r="T18" s="112"/>
      <c r="U18" s="146"/>
      <c r="V18" s="113"/>
      <c r="W18" s="113"/>
      <c r="X18" s="126"/>
      <c r="Y18" s="126"/>
    </row>
    <row r="19" spans="1:25" ht="14.7" customHeight="1">
      <c r="A19" s="131" t="s">
        <v>14</v>
      </c>
      <c r="B19" s="131"/>
      <c r="C19">
        <v>83.513041948231958</v>
      </c>
      <c r="D19">
        <v>83.647288942610032</v>
      </c>
      <c r="E19">
        <v>84.206315329713405</v>
      </c>
      <c r="F19">
        <v>75.252730224295092</v>
      </c>
      <c r="G19">
        <v>78.870199999999997</v>
      </c>
      <c r="H19">
        <v>74.983200000000011</v>
      </c>
      <c r="I19" s="147">
        <v>78.582258343408768</v>
      </c>
      <c r="J19" s="112"/>
      <c r="K19" s="112"/>
      <c r="L19" s="126"/>
      <c r="M19" s="112"/>
      <c r="N19" s="126"/>
      <c r="O19" s="147"/>
      <c r="P19" s="147"/>
      <c r="Q19" s="147"/>
      <c r="R19" s="112"/>
      <c r="S19" s="112"/>
      <c r="T19" s="112"/>
      <c r="U19" s="146"/>
      <c r="V19" s="113"/>
      <c r="W19" s="113"/>
      <c r="X19" s="126"/>
      <c r="Y19" s="126"/>
    </row>
    <row r="20" spans="1:25" ht="14.7" customHeight="1">
      <c r="A20" s="131" t="s">
        <v>342</v>
      </c>
      <c r="B20" s="131"/>
      <c r="C20">
        <v>89.407402547173348</v>
      </c>
      <c r="D20">
        <v>88.547570498649478</v>
      </c>
      <c r="E20">
        <v>87.000690828034706</v>
      </c>
      <c r="F20">
        <v>79.268551118747709</v>
      </c>
      <c r="G20">
        <v>82.386700000000005</v>
      </c>
      <c r="H20">
        <v>84.710999999999999</v>
      </c>
      <c r="I20" s="147">
        <v>81.321531256910234</v>
      </c>
      <c r="J20" s="112"/>
      <c r="K20" s="112"/>
      <c r="L20" s="126"/>
      <c r="M20" s="112"/>
      <c r="N20" s="126"/>
      <c r="O20" s="147"/>
      <c r="P20" s="147"/>
      <c r="Q20" s="147"/>
      <c r="R20" s="112"/>
      <c r="S20" s="112"/>
      <c r="T20" s="112"/>
      <c r="U20" s="146"/>
      <c r="V20" s="113"/>
      <c r="W20" s="113"/>
      <c r="X20" s="126"/>
      <c r="Y20" s="126"/>
    </row>
    <row r="21" spans="1:25" ht="14.7" customHeight="1">
      <c r="A21" s="131" t="s">
        <v>15</v>
      </c>
      <c r="B21" s="131"/>
      <c r="C21">
        <v>85.777208674933007</v>
      </c>
      <c r="D21">
        <v>86.10976470227321</v>
      </c>
      <c r="E21">
        <v>85.083283162753361</v>
      </c>
      <c r="F21">
        <v>78.833699396078771</v>
      </c>
      <c r="G21">
        <v>74.300899999999999</v>
      </c>
      <c r="H21">
        <v>75.201499999999996</v>
      </c>
      <c r="I21" s="147">
        <v>79.150372986211494</v>
      </c>
      <c r="J21" s="112"/>
      <c r="K21" s="112"/>
      <c r="L21" s="126"/>
      <c r="M21" s="112"/>
      <c r="N21" s="126"/>
      <c r="O21" s="147"/>
      <c r="P21" s="147"/>
      <c r="Q21" s="147"/>
      <c r="R21" s="112"/>
      <c r="S21" s="112"/>
      <c r="T21" s="112"/>
      <c r="U21" s="146"/>
      <c r="V21" s="113"/>
      <c r="W21" s="113"/>
      <c r="X21" s="126"/>
      <c r="Y21" s="126"/>
    </row>
    <row r="22" spans="1:25" ht="14.7" customHeight="1">
      <c r="A22" s="131" t="s">
        <v>258</v>
      </c>
      <c r="B22" s="131"/>
      <c r="C22">
        <v>92.472852633254178</v>
      </c>
      <c r="D22">
        <v>89.609564849817986</v>
      </c>
      <c r="E22">
        <v>91.018825143948206</v>
      </c>
      <c r="F22">
        <v>83.296795653047013</v>
      </c>
      <c r="G22">
        <v>83.3887</v>
      </c>
      <c r="H22">
        <v>86.3309</v>
      </c>
      <c r="I22" s="147">
        <v>85.480091908289921</v>
      </c>
      <c r="J22" s="112"/>
      <c r="K22" s="112"/>
      <c r="L22" s="126"/>
      <c r="M22" s="112"/>
      <c r="N22" s="126"/>
      <c r="O22" s="147"/>
      <c r="P22" s="147"/>
      <c r="Q22" s="147"/>
      <c r="R22" s="112"/>
      <c r="S22" s="112"/>
      <c r="T22" s="112"/>
      <c r="U22" s="146"/>
      <c r="V22" s="113"/>
      <c r="W22" s="113"/>
      <c r="X22" s="126"/>
      <c r="Y22" s="126"/>
    </row>
    <row r="23" spans="1:25" ht="14.7" customHeight="1">
      <c r="A23" s="131" t="s">
        <v>259</v>
      </c>
      <c r="B23" s="131"/>
      <c r="C23">
        <v>88.106526181876987</v>
      </c>
      <c r="D23">
        <v>86.857895115755269</v>
      </c>
      <c r="E23">
        <v>88.934301827623742</v>
      </c>
      <c r="F23">
        <v>76.323677248543447</v>
      </c>
      <c r="G23">
        <v>77.679600000000008</v>
      </c>
      <c r="H23">
        <v>75.616100000000003</v>
      </c>
      <c r="I23" s="147">
        <v>78.479133299122552</v>
      </c>
      <c r="J23" s="112"/>
      <c r="K23" s="112"/>
      <c r="L23" s="126"/>
      <c r="M23" s="112"/>
      <c r="N23" s="126"/>
      <c r="O23" s="147"/>
      <c r="P23" s="147"/>
      <c r="Q23" s="147"/>
      <c r="R23" s="112"/>
      <c r="S23" s="112"/>
      <c r="T23" s="112"/>
      <c r="U23" s="146"/>
      <c r="V23" s="113"/>
      <c r="W23" s="113"/>
      <c r="X23" s="126"/>
      <c r="Y23" s="126"/>
    </row>
    <row r="24" spans="1:25" ht="14.7" customHeight="1">
      <c r="A24" s="131" t="s">
        <v>197</v>
      </c>
      <c r="B24" s="131"/>
      <c r="C24">
        <v>83.395051342468889</v>
      </c>
      <c r="D24">
        <v>85.680605782102262</v>
      </c>
      <c r="E24">
        <v>86.87973603007292</v>
      </c>
      <c r="F24">
        <v>80.72665472779363</v>
      </c>
      <c r="G24">
        <v>81.290300000000002</v>
      </c>
      <c r="H24">
        <v>83.092699999999994</v>
      </c>
      <c r="I24" s="147">
        <v>79.654329840891364</v>
      </c>
      <c r="J24" s="112"/>
      <c r="K24" s="112"/>
      <c r="L24" s="126"/>
      <c r="M24" s="112"/>
      <c r="N24" s="126"/>
      <c r="O24" s="147"/>
      <c r="P24" s="147"/>
      <c r="Q24" s="147"/>
      <c r="R24" s="112"/>
      <c r="S24" s="112"/>
      <c r="T24" s="112"/>
      <c r="U24" s="146"/>
      <c r="V24" s="113"/>
      <c r="W24" s="113"/>
      <c r="X24" s="126"/>
      <c r="Y24" s="126"/>
    </row>
    <row r="25" spans="1:25" ht="14.7" customHeight="1">
      <c r="A25" s="131" t="s">
        <v>223</v>
      </c>
      <c r="B25" s="131"/>
      <c r="C25">
        <v>85.826498165044143</v>
      </c>
      <c r="D25">
        <v>83.987343842922002</v>
      </c>
      <c r="E25">
        <v>81.79116821842851</v>
      </c>
      <c r="F25">
        <v>74.683397475620467</v>
      </c>
      <c r="G25">
        <v>75.461999999999989</v>
      </c>
      <c r="H25">
        <v>74.5017</v>
      </c>
      <c r="I25" s="147">
        <v>76.78860140422789</v>
      </c>
      <c r="J25" s="112"/>
      <c r="K25" s="112"/>
      <c r="L25" s="126"/>
      <c r="M25" s="112"/>
      <c r="N25" s="126"/>
      <c r="O25" s="147"/>
      <c r="P25" s="147"/>
      <c r="Q25" s="147"/>
      <c r="R25" s="112"/>
      <c r="S25" s="112"/>
      <c r="T25" s="112"/>
      <c r="U25" s="146"/>
      <c r="V25" s="113"/>
      <c r="W25" s="113"/>
      <c r="X25" s="126"/>
      <c r="Y25" s="126"/>
    </row>
    <row r="26" spans="1:25" ht="14.7" customHeight="1">
      <c r="A26" s="131" t="s">
        <v>16</v>
      </c>
      <c r="B26" s="131"/>
      <c r="C26">
        <v>89.144995029201596</v>
      </c>
      <c r="D26">
        <v>87.840739726860718</v>
      </c>
      <c r="E26">
        <v>89.795515203315617</v>
      </c>
      <c r="F26">
        <v>74.967131790191019</v>
      </c>
      <c r="G26">
        <v>81.732500000000002</v>
      </c>
      <c r="H26">
        <v>78.639600000000002</v>
      </c>
      <c r="I26" s="147">
        <v>80.526976949454593</v>
      </c>
      <c r="J26" s="112"/>
      <c r="K26" s="112"/>
      <c r="L26" s="126"/>
      <c r="M26" s="112"/>
      <c r="N26" s="126"/>
      <c r="O26" s="147"/>
      <c r="P26" s="147"/>
      <c r="Q26" s="147"/>
      <c r="R26" s="112"/>
      <c r="S26" s="112"/>
      <c r="T26" s="112"/>
      <c r="U26" s="146"/>
      <c r="V26" s="113"/>
      <c r="W26" s="113"/>
      <c r="X26" s="126"/>
      <c r="Y26" s="126"/>
    </row>
    <row r="27" spans="1:25" ht="14.7" customHeight="1">
      <c r="A27" s="131" t="s">
        <v>260</v>
      </c>
      <c r="B27" s="131"/>
      <c r="C27">
        <v>86.068531446972457</v>
      </c>
      <c r="D27">
        <v>83.487132645280212</v>
      </c>
      <c r="E27">
        <v>82.970493760258861</v>
      </c>
      <c r="F27">
        <v>68.85209620879742</v>
      </c>
      <c r="G27">
        <v>68.062799999999996</v>
      </c>
      <c r="H27">
        <v>70.823499999999996</v>
      </c>
      <c r="I27" s="147">
        <v>71.910386159482883</v>
      </c>
      <c r="J27" s="112"/>
      <c r="K27" s="112"/>
      <c r="L27" s="126"/>
      <c r="M27" s="112"/>
      <c r="N27" s="126"/>
      <c r="O27" s="147"/>
      <c r="P27" s="147"/>
      <c r="Q27" s="147"/>
      <c r="R27" s="112"/>
      <c r="S27" s="112"/>
      <c r="T27" s="112"/>
      <c r="U27" s="146"/>
      <c r="V27" s="113"/>
      <c r="W27" s="113"/>
      <c r="X27" s="126"/>
      <c r="Y27" s="126"/>
    </row>
    <row r="28" spans="1:25" ht="14.7" customHeight="1">
      <c r="A28" s="131" t="s">
        <v>261</v>
      </c>
      <c r="B28" s="131"/>
      <c r="C28">
        <v>81.495725998654578</v>
      </c>
      <c r="D28">
        <v>84.634885340435659</v>
      </c>
      <c r="E28">
        <v>83.459808179261856</v>
      </c>
      <c r="F28">
        <v>72.830872575354164</v>
      </c>
      <c r="G28">
        <v>76.629899999999992</v>
      </c>
      <c r="H28">
        <v>71.293399999999991</v>
      </c>
      <c r="I28" s="147">
        <v>76.207456845799953</v>
      </c>
      <c r="J28" s="112"/>
      <c r="K28" s="112"/>
      <c r="L28" s="126"/>
      <c r="M28" s="112"/>
      <c r="N28" s="126"/>
      <c r="O28" s="147"/>
      <c r="P28" s="147"/>
      <c r="Q28" s="147"/>
      <c r="R28" s="112"/>
      <c r="S28" s="112"/>
      <c r="T28" s="112"/>
      <c r="U28" s="146"/>
      <c r="V28" s="113"/>
      <c r="W28" s="113"/>
      <c r="X28" s="126"/>
      <c r="Y28" s="126"/>
    </row>
    <row r="29" spans="1:25" ht="14.7" customHeight="1">
      <c r="A29" s="131" t="s">
        <v>17</v>
      </c>
      <c r="B29" s="131"/>
      <c r="C29">
        <v>81.293383216306651</v>
      </c>
      <c r="D29">
        <v>81.239810654021525</v>
      </c>
      <c r="E29">
        <v>82.639722423153671</v>
      </c>
      <c r="F29">
        <v>72.692085766154662</v>
      </c>
      <c r="G29">
        <v>75.116900000000001</v>
      </c>
      <c r="H29">
        <v>71.174999999999997</v>
      </c>
      <c r="I29" s="147">
        <v>81.08571466065861</v>
      </c>
      <c r="J29" s="112"/>
      <c r="K29" s="112"/>
      <c r="L29" s="126"/>
      <c r="M29" s="112"/>
      <c r="N29" s="126"/>
      <c r="O29" s="147"/>
      <c r="P29" s="147"/>
      <c r="Q29" s="147"/>
      <c r="R29" s="112"/>
      <c r="S29" s="112"/>
      <c r="T29" s="112"/>
      <c r="U29" s="146"/>
      <c r="V29" s="113"/>
      <c r="W29" s="113"/>
      <c r="X29" s="126"/>
      <c r="Y29" s="126"/>
    </row>
    <row r="30" spans="1:25" ht="14.7" customHeight="1">
      <c r="A30" s="131" t="s">
        <v>224</v>
      </c>
      <c r="B30" s="131"/>
      <c r="C30">
        <v>81.677506225099435</v>
      </c>
      <c r="D30">
        <v>82.231673714251713</v>
      </c>
      <c r="E30">
        <v>84.411096223512487</v>
      </c>
      <c r="F30">
        <v>71.273286768905635</v>
      </c>
      <c r="G30">
        <v>72.326599999999999</v>
      </c>
      <c r="H30">
        <v>75.186700000000002</v>
      </c>
      <c r="I30" s="147">
        <v>72.807675733968708</v>
      </c>
      <c r="J30" s="112"/>
      <c r="K30" s="112"/>
      <c r="L30" s="126"/>
      <c r="M30" s="112"/>
      <c r="N30" s="126"/>
      <c r="O30" s="147"/>
      <c r="P30" s="147"/>
      <c r="Q30" s="147"/>
      <c r="R30" s="112"/>
      <c r="S30" s="112"/>
      <c r="T30" s="112"/>
      <c r="U30" s="146"/>
      <c r="V30" s="113"/>
      <c r="W30" s="113"/>
      <c r="X30" s="126"/>
      <c r="Y30" s="126"/>
    </row>
    <row r="31" spans="1:25" ht="14.7" customHeight="1">
      <c r="A31" s="131" t="s">
        <v>18</v>
      </c>
      <c r="B31" s="131"/>
      <c r="C31">
        <v>87.807743075461858</v>
      </c>
      <c r="D31">
        <v>85.514584103809227</v>
      </c>
      <c r="E31">
        <v>86.968724532412566</v>
      </c>
      <c r="F31">
        <v>75.415179308885001</v>
      </c>
      <c r="G31">
        <v>74.735700000000008</v>
      </c>
      <c r="H31">
        <v>72.739400000000003</v>
      </c>
      <c r="I31" s="147">
        <v>77.376417647046452</v>
      </c>
      <c r="J31" s="112"/>
      <c r="K31" s="112"/>
      <c r="L31" s="126"/>
      <c r="M31" s="112"/>
      <c r="N31" s="126"/>
      <c r="O31" s="147"/>
      <c r="P31" s="147"/>
      <c r="Q31" s="147"/>
      <c r="R31" s="112"/>
      <c r="S31" s="112"/>
      <c r="T31" s="112"/>
      <c r="U31" s="147"/>
      <c r="V31" s="149"/>
      <c r="W31" s="149"/>
      <c r="X31" s="126"/>
      <c r="Y31" s="126"/>
    </row>
    <row r="32" spans="1:25" ht="14.7" customHeight="1">
      <c r="A32" s="131" t="s">
        <v>262</v>
      </c>
      <c r="B32" s="131"/>
      <c r="C32">
        <v>86.927210067862831</v>
      </c>
      <c r="D32">
        <v>86.937567606179968</v>
      </c>
      <c r="E32">
        <v>83.837488925452476</v>
      </c>
      <c r="F32">
        <v>83.138867999701887</v>
      </c>
      <c r="G32">
        <v>82.460099999999997</v>
      </c>
      <c r="H32">
        <v>82.851200000000006</v>
      </c>
      <c r="I32" s="147" t="s">
        <v>908</v>
      </c>
      <c r="J32" s="112"/>
      <c r="K32" s="112"/>
      <c r="L32" s="126"/>
      <c r="M32" s="112"/>
      <c r="N32" s="126"/>
      <c r="O32" s="147"/>
      <c r="P32" s="147"/>
      <c r="Q32" s="147"/>
      <c r="R32" s="112"/>
      <c r="S32" s="112"/>
      <c r="T32" s="112"/>
      <c r="U32" s="146"/>
      <c r="V32" s="113"/>
      <c r="W32" s="113"/>
      <c r="X32" s="126"/>
      <c r="Y32" s="126"/>
    </row>
    <row r="33" spans="1:25" ht="14.7" customHeight="1">
      <c r="A33" s="131" t="s">
        <v>903</v>
      </c>
      <c r="B33" s="131"/>
      <c r="C33" t="s">
        <v>908</v>
      </c>
      <c r="D33" t="s">
        <v>908</v>
      </c>
      <c r="E33" t="s">
        <v>908</v>
      </c>
      <c r="F33" t="s">
        <v>908</v>
      </c>
      <c r="G33" t="s">
        <v>908</v>
      </c>
      <c r="H33" t="s">
        <v>908</v>
      </c>
      <c r="I33" s="147">
        <v>83.969102855006</v>
      </c>
      <c r="J33" s="112"/>
      <c r="K33" s="112"/>
      <c r="L33" s="126"/>
      <c r="M33" s="112"/>
      <c r="N33" s="126"/>
      <c r="O33" s="147"/>
      <c r="P33" s="147"/>
      <c r="Q33" s="147"/>
      <c r="R33" s="112"/>
      <c r="S33" s="112"/>
      <c r="T33" s="112"/>
      <c r="U33" s="146"/>
      <c r="V33" s="113"/>
      <c r="W33" s="113"/>
      <c r="X33" s="126"/>
      <c r="Y33" s="126"/>
    </row>
    <row r="34" spans="1:25" ht="14.7" customHeight="1">
      <c r="A34" s="131" t="s">
        <v>263</v>
      </c>
      <c r="B34" s="131"/>
      <c r="C34">
        <v>88.068318070223924</v>
      </c>
      <c r="D34">
        <v>89.569604443641026</v>
      </c>
      <c r="E34">
        <v>88.938558285358738</v>
      </c>
      <c r="F34">
        <v>82.6065673454669</v>
      </c>
      <c r="G34">
        <v>82.338200000000001</v>
      </c>
      <c r="H34">
        <v>85.188400000000001</v>
      </c>
      <c r="I34" s="147">
        <v>83.5646772483192</v>
      </c>
      <c r="J34" s="112"/>
      <c r="K34" s="112"/>
      <c r="L34" s="126"/>
      <c r="M34" s="112"/>
      <c r="N34" s="126"/>
      <c r="O34" s="147"/>
      <c r="P34" s="147"/>
      <c r="Q34" s="147"/>
      <c r="R34" s="112"/>
      <c r="S34" s="112"/>
      <c r="T34" s="112"/>
      <c r="U34" s="146"/>
      <c r="V34" s="113"/>
      <c r="W34" s="113"/>
      <c r="X34" s="126"/>
      <c r="Y34" s="126"/>
    </row>
    <row r="35" spans="1:25" ht="14.7" customHeight="1">
      <c r="A35" s="131" t="s">
        <v>225</v>
      </c>
      <c r="B35" s="131"/>
      <c r="C35">
        <v>87.96785921949521</v>
      </c>
      <c r="D35">
        <v>84.521768267080887</v>
      </c>
      <c r="E35">
        <v>85.335870949802526</v>
      </c>
      <c r="F35">
        <v>73.866505379478298</v>
      </c>
      <c r="G35">
        <v>77.217399999999998</v>
      </c>
      <c r="H35">
        <v>76.218199999999996</v>
      </c>
      <c r="I35" s="147">
        <v>76.875370276582558</v>
      </c>
      <c r="J35" s="112"/>
      <c r="K35" s="112"/>
      <c r="L35" s="126"/>
      <c r="M35" s="112"/>
      <c r="N35" s="126"/>
      <c r="O35" s="147"/>
      <c r="P35" s="147"/>
      <c r="Q35" s="147"/>
      <c r="R35" s="112"/>
      <c r="S35" s="112"/>
      <c r="T35" s="112"/>
      <c r="U35" s="146"/>
      <c r="V35" s="113"/>
      <c r="W35" s="113"/>
      <c r="X35" s="126"/>
      <c r="Y35" s="126"/>
    </row>
    <row r="36" spans="1:25" ht="14.7" customHeight="1">
      <c r="A36" s="131" t="s">
        <v>19</v>
      </c>
      <c r="B36" s="131"/>
      <c r="C36">
        <v>87.769031196963013</v>
      </c>
      <c r="D36">
        <v>86.530858707226812</v>
      </c>
      <c r="E36">
        <v>88.744018786169761</v>
      </c>
      <c r="F36">
        <v>78.308499590351772</v>
      </c>
      <c r="G36">
        <v>84.582700000000003</v>
      </c>
      <c r="H36">
        <v>84.087800000000001</v>
      </c>
      <c r="I36" s="147">
        <v>83.504014848256801</v>
      </c>
      <c r="J36" s="112"/>
      <c r="K36" s="112"/>
      <c r="L36" s="126"/>
      <c r="M36" s="112"/>
      <c r="N36" s="126"/>
      <c r="O36" s="147"/>
      <c r="P36" s="147"/>
      <c r="Q36" s="147"/>
      <c r="R36" s="112"/>
      <c r="S36" s="112"/>
      <c r="T36" s="112"/>
      <c r="U36" s="146"/>
      <c r="V36" s="113"/>
      <c r="W36" s="113"/>
      <c r="X36" s="126"/>
      <c r="Y36" s="126"/>
    </row>
    <row r="37" spans="1:25" ht="14.7" customHeight="1">
      <c r="A37" s="131" t="s">
        <v>20</v>
      </c>
      <c r="B37" s="131"/>
      <c r="C37">
        <v>83.160463208145444</v>
      </c>
      <c r="D37">
        <v>87.644785316764043</v>
      </c>
      <c r="E37">
        <v>83.141512331074239</v>
      </c>
      <c r="F37">
        <v>69.242119026203241</v>
      </c>
      <c r="G37">
        <v>84.994799999999998</v>
      </c>
      <c r="H37">
        <v>76.238700000000009</v>
      </c>
      <c r="I37" s="147">
        <v>78.495439019773201</v>
      </c>
      <c r="J37" s="112"/>
      <c r="K37" s="112"/>
      <c r="L37" s="126"/>
      <c r="M37" s="112"/>
      <c r="N37" s="126"/>
      <c r="O37" s="147"/>
      <c r="P37" s="147"/>
      <c r="Q37" s="147"/>
      <c r="R37" s="112"/>
      <c r="S37" s="112"/>
      <c r="T37" s="112"/>
      <c r="U37" s="146"/>
      <c r="V37" s="113"/>
      <c r="W37" s="113"/>
      <c r="X37" s="126"/>
      <c r="Y37" s="126"/>
    </row>
    <row r="38" spans="1:25" ht="14.7" customHeight="1">
      <c r="A38" s="131" t="s">
        <v>198</v>
      </c>
      <c r="B38" s="131"/>
      <c r="C38">
        <v>84.94648912833695</v>
      </c>
      <c r="D38">
        <v>90.466209245582718</v>
      </c>
      <c r="E38">
        <v>88.424546376213797</v>
      </c>
      <c r="F38">
        <v>73.19817774956968</v>
      </c>
      <c r="G38">
        <v>73.021100000000004</v>
      </c>
      <c r="H38">
        <v>78.214399999999998</v>
      </c>
      <c r="I38" s="147">
        <v>75.401504393934218</v>
      </c>
      <c r="J38" s="112"/>
      <c r="K38" s="112"/>
      <c r="L38" s="126"/>
      <c r="M38" s="112"/>
      <c r="N38" s="126"/>
      <c r="O38" s="147"/>
      <c r="P38" s="147"/>
      <c r="Q38" s="147"/>
      <c r="R38" s="112"/>
      <c r="S38" s="112"/>
      <c r="T38" s="112"/>
      <c r="U38" s="146"/>
      <c r="V38" s="113"/>
      <c r="W38" s="113"/>
      <c r="X38" s="126"/>
      <c r="Y38" s="126"/>
    </row>
    <row r="39" spans="1:25" ht="14.7" customHeight="1">
      <c r="A39" s="131" t="s">
        <v>21</v>
      </c>
      <c r="B39" s="131"/>
      <c r="C39">
        <v>88.470958414356531</v>
      </c>
      <c r="D39">
        <v>85.125420539722469</v>
      </c>
      <c r="E39">
        <v>90.88248104887532</v>
      </c>
      <c r="F39">
        <v>83.432625010957111</v>
      </c>
      <c r="G39">
        <v>78.014200000000002</v>
      </c>
      <c r="H39">
        <v>78.414199999999994</v>
      </c>
      <c r="I39" s="147">
        <v>82.399382815606671</v>
      </c>
      <c r="J39" s="112"/>
      <c r="K39" s="112"/>
      <c r="L39" s="126"/>
      <c r="M39" s="112"/>
      <c r="N39" s="126"/>
      <c r="O39" s="147"/>
      <c r="P39" s="147"/>
      <c r="Q39" s="147"/>
      <c r="R39" s="112"/>
      <c r="S39" s="112"/>
      <c r="T39" s="112"/>
      <c r="U39" s="146"/>
      <c r="V39" s="113"/>
      <c r="W39" s="113"/>
      <c r="X39" s="126"/>
      <c r="Y39" s="126"/>
    </row>
    <row r="40" spans="1:25" ht="14.7" customHeight="1">
      <c r="A40" s="131" t="s">
        <v>811</v>
      </c>
      <c r="B40" s="131"/>
      <c r="C40">
        <v>89.079612173132233</v>
      </c>
      <c r="D40">
        <v>89.457340940421204</v>
      </c>
      <c r="E40">
        <v>88.03484872606883</v>
      </c>
      <c r="F40">
        <v>87.713118626224755</v>
      </c>
      <c r="G40">
        <v>88.924700000000001</v>
      </c>
      <c r="H40">
        <v>87.308199999999999</v>
      </c>
      <c r="I40" s="147">
        <v>89.284444791016085</v>
      </c>
      <c r="J40" s="112"/>
      <c r="K40" s="112"/>
      <c r="L40" s="126"/>
      <c r="M40" s="112"/>
      <c r="N40" s="126"/>
      <c r="O40" s="147"/>
      <c r="P40" s="147"/>
      <c r="Q40" s="147"/>
      <c r="R40" s="112"/>
      <c r="S40" s="112"/>
      <c r="T40" s="112"/>
      <c r="U40" s="146"/>
      <c r="V40" s="113"/>
      <c r="W40" s="113"/>
      <c r="X40" s="126"/>
      <c r="Y40" s="126"/>
    </row>
    <row r="41" spans="1:25" ht="14.7" customHeight="1">
      <c r="A41" s="131" t="s">
        <v>815</v>
      </c>
      <c r="B41" s="131"/>
      <c r="C41">
        <v>89.919260270698331</v>
      </c>
      <c r="D41">
        <v>88.421784873469775</v>
      </c>
      <c r="E41">
        <v>87.959752047306978</v>
      </c>
      <c r="F41">
        <v>83.733051167295898</v>
      </c>
      <c r="G41">
        <v>85.906999999999996</v>
      </c>
      <c r="H41">
        <v>83.654600000000002</v>
      </c>
      <c r="I41" s="147">
        <v>85.827032869119492</v>
      </c>
      <c r="J41" s="112"/>
      <c r="K41" s="112"/>
      <c r="L41" s="126"/>
      <c r="M41" s="112"/>
      <c r="N41" s="126"/>
      <c r="O41" s="147"/>
      <c r="P41" s="147"/>
      <c r="Q41" s="147"/>
      <c r="R41" s="112"/>
      <c r="S41" s="112"/>
      <c r="T41" s="112"/>
      <c r="U41" s="147"/>
      <c r="V41" s="149"/>
      <c r="W41" s="149"/>
      <c r="X41" s="126"/>
      <c r="Y41" s="126"/>
    </row>
    <row r="42" spans="1:25" ht="14.7" customHeight="1">
      <c r="A42" s="131" t="s">
        <v>22</v>
      </c>
      <c r="B42" s="131"/>
      <c r="C42">
        <v>87.735431424241725</v>
      </c>
      <c r="D42">
        <v>85.677693253029176</v>
      </c>
      <c r="E42">
        <v>87.07479479702188</v>
      </c>
      <c r="F42">
        <v>77.367121193411762</v>
      </c>
      <c r="G42">
        <v>83.476300000000009</v>
      </c>
      <c r="H42">
        <v>77.849199999999996</v>
      </c>
      <c r="I42" s="147">
        <v>79.033513267818861</v>
      </c>
      <c r="J42" s="112"/>
      <c r="K42" s="112"/>
      <c r="L42" s="126"/>
      <c r="M42" s="112"/>
      <c r="N42" s="126"/>
      <c r="O42" s="147"/>
      <c r="P42" s="147"/>
      <c r="Q42" s="147"/>
      <c r="R42" s="112"/>
      <c r="S42" s="112"/>
      <c r="T42" s="112"/>
      <c r="U42" s="146"/>
      <c r="V42" s="113"/>
      <c r="W42" s="113"/>
      <c r="X42" s="126"/>
      <c r="Y42" s="126"/>
    </row>
    <row r="43" spans="1:25" ht="14.7" customHeight="1">
      <c r="A43" s="131" t="s">
        <v>199</v>
      </c>
      <c r="B43" s="131"/>
      <c r="C43">
        <v>90.579552765855311</v>
      </c>
      <c r="D43">
        <v>88.832194731285867</v>
      </c>
      <c r="E43">
        <v>90.763356297311802</v>
      </c>
      <c r="F43">
        <v>84.937204851033115</v>
      </c>
      <c r="G43">
        <v>86.008399999999995</v>
      </c>
      <c r="H43">
        <v>83.2346</v>
      </c>
      <c r="I43" s="147">
        <v>85.563844367493658</v>
      </c>
      <c r="J43" s="112"/>
      <c r="K43" s="112"/>
      <c r="L43" s="126"/>
      <c r="M43" s="112"/>
      <c r="N43" s="126"/>
      <c r="O43" s="147"/>
      <c r="P43" s="147"/>
      <c r="Q43" s="147"/>
      <c r="R43" s="112"/>
      <c r="S43" s="112"/>
      <c r="T43" s="112"/>
      <c r="U43" s="146"/>
      <c r="V43" s="113"/>
      <c r="W43" s="113"/>
      <c r="X43" s="126"/>
      <c r="Y43" s="126"/>
    </row>
    <row r="44" spans="1:25" ht="14.7" customHeight="1">
      <c r="A44" s="131" t="s">
        <v>23</v>
      </c>
      <c r="B44" s="131"/>
      <c r="C44">
        <v>88.846193612281269</v>
      </c>
      <c r="D44">
        <v>86.8624556655801</v>
      </c>
      <c r="E44">
        <v>85.126283834358802</v>
      </c>
      <c r="F44">
        <v>78.091916184679533</v>
      </c>
      <c r="G44">
        <v>78.490899999999996</v>
      </c>
      <c r="H44">
        <v>77.751400000000004</v>
      </c>
      <c r="I44" s="147">
        <v>84.809410038344751</v>
      </c>
      <c r="J44" s="112"/>
      <c r="K44" s="112"/>
      <c r="L44" s="126"/>
      <c r="M44" s="112"/>
      <c r="N44" s="126"/>
      <c r="O44" s="147"/>
      <c r="P44" s="147"/>
      <c r="Q44" s="147"/>
      <c r="R44" s="112"/>
      <c r="S44" s="112"/>
      <c r="T44" s="112"/>
      <c r="U44" s="147"/>
      <c r="V44" s="149"/>
      <c r="W44" s="149"/>
      <c r="X44" s="126"/>
      <c r="Y44" s="126"/>
    </row>
    <row r="45" spans="1:25" ht="14.7" customHeight="1">
      <c r="A45" s="131" t="s">
        <v>24</v>
      </c>
      <c r="B45" s="131"/>
      <c r="C45">
        <v>86.518124609784607</v>
      </c>
      <c r="D45">
        <v>87.593585063000205</v>
      </c>
      <c r="E45">
        <v>83.687375871772673</v>
      </c>
      <c r="F45">
        <v>78.539636016857756</v>
      </c>
      <c r="G45">
        <v>78.510199999999998</v>
      </c>
      <c r="H45">
        <v>75.153700000000001</v>
      </c>
      <c r="I45" s="147">
        <v>81.262824445002224</v>
      </c>
      <c r="J45" s="112"/>
      <c r="K45" s="112"/>
      <c r="L45" s="126"/>
      <c r="M45" s="112"/>
      <c r="N45" s="126"/>
      <c r="O45" s="147"/>
      <c r="P45" s="147"/>
      <c r="Q45" s="147"/>
      <c r="R45" s="112"/>
      <c r="S45" s="112"/>
      <c r="T45" s="112"/>
      <c r="U45" s="146"/>
      <c r="V45" s="113"/>
      <c r="W45" s="113"/>
      <c r="X45" s="126"/>
      <c r="Y45" s="126"/>
    </row>
    <row r="46" spans="1:25" ht="14.7" customHeight="1">
      <c r="A46" s="131" t="s">
        <v>25</v>
      </c>
      <c r="B46" s="131"/>
      <c r="C46">
        <v>88.367380507839911</v>
      </c>
      <c r="D46">
        <v>90.693932161712596</v>
      </c>
      <c r="E46">
        <v>90.209655820990122</v>
      </c>
      <c r="F46">
        <v>79.892228273025651</v>
      </c>
      <c r="G46">
        <v>83.649000000000001</v>
      </c>
      <c r="H46">
        <v>80.810599999999994</v>
      </c>
      <c r="I46" s="147">
        <v>83.63407904013485</v>
      </c>
      <c r="J46" s="112"/>
      <c r="K46" s="112"/>
      <c r="L46" s="126"/>
      <c r="M46" s="112"/>
      <c r="N46" s="126"/>
      <c r="O46" s="147"/>
      <c r="P46" s="147"/>
      <c r="Q46" s="147"/>
      <c r="R46" s="112"/>
      <c r="S46" s="112"/>
      <c r="T46" s="112"/>
      <c r="U46" s="146"/>
      <c r="V46" s="113"/>
      <c r="W46" s="113"/>
      <c r="X46" s="126"/>
      <c r="Y46" s="126"/>
    </row>
    <row r="47" spans="1:25" ht="14.7" customHeight="1">
      <c r="A47" s="131" t="s">
        <v>300</v>
      </c>
      <c r="B47" s="131"/>
      <c r="C47">
        <v>89.151308872517305</v>
      </c>
      <c r="D47">
        <v>89.21468624138214</v>
      </c>
      <c r="E47">
        <v>89.606438462176968</v>
      </c>
      <c r="F47">
        <v>81.219119051662204</v>
      </c>
      <c r="G47">
        <v>84.762</v>
      </c>
      <c r="H47">
        <v>81.156399999999991</v>
      </c>
      <c r="I47" s="147">
        <v>84.320660879168372</v>
      </c>
      <c r="J47" s="112"/>
      <c r="K47" s="112"/>
      <c r="L47" s="126"/>
      <c r="M47" s="112"/>
      <c r="N47" s="126"/>
      <c r="O47" s="147"/>
      <c r="P47" s="147"/>
      <c r="Q47" s="147"/>
      <c r="R47" s="112"/>
      <c r="S47" s="112"/>
      <c r="T47" s="112"/>
      <c r="U47" s="146"/>
      <c r="V47" s="113"/>
      <c r="W47" s="113"/>
      <c r="X47" s="126"/>
      <c r="Y47" s="126"/>
    </row>
    <row r="48" spans="1:25" ht="14.7" customHeight="1">
      <c r="A48" s="131" t="s">
        <v>26</v>
      </c>
      <c r="B48" s="131"/>
      <c r="C48">
        <v>82.478639363259461</v>
      </c>
      <c r="D48">
        <v>85.178270662959875</v>
      </c>
      <c r="E48">
        <v>85.939761151735453</v>
      </c>
      <c r="F48">
        <v>75.763937639208564</v>
      </c>
      <c r="G48">
        <v>78.685699999999997</v>
      </c>
      <c r="H48">
        <v>72.225499999999997</v>
      </c>
      <c r="I48" s="147">
        <v>75.166170890927546</v>
      </c>
      <c r="J48" s="112"/>
      <c r="K48" s="112"/>
      <c r="L48" s="126"/>
      <c r="M48" s="112"/>
      <c r="N48" s="126"/>
      <c r="O48" s="147"/>
      <c r="P48" s="147"/>
      <c r="Q48" s="147"/>
      <c r="R48" s="112"/>
      <c r="S48" s="112"/>
      <c r="T48" s="112"/>
      <c r="U48" s="146"/>
      <c r="V48" s="113"/>
      <c r="W48" s="113"/>
      <c r="X48" s="126"/>
      <c r="Y48" s="126"/>
    </row>
    <row r="49" spans="1:25" ht="14.7" customHeight="1">
      <c r="A49" s="131" t="s">
        <v>226</v>
      </c>
      <c r="B49" s="131"/>
      <c r="C49">
        <v>87.61171633868527</v>
      </c>
      <c r="D49">
        <v>86.839178708319082</v>
      </c>
      <c r="E49">
        <v>86.377562661758375</v>
      </c>
      <c r="F49">
        <v>76.922349778402662</v>
      </c>
      <c r="G49">
        <v>77.797200000000004</v>
      </c>
      <c r="H49">
        <v>77.767399999999995</v>
      </c>
      <c r="I49" s="147">
        <v>80.212657598660925</v>
      </c>
      <c r="J49" s="112"/>
      <c r="K49" s="112"/>
      <c r="L49" s="126"/>
      <c r="M49" s="112"/>
      <c r="N49" s="126"/>
      <c r="O49" s="147"/>
      <c r="P49" s="147"/>
      <c r="Q49" s="147"/>
      <c r="R49" s="112"/>
      <c r="S49" s="112"/>
      <c r="T49" s="112"/>
      <c r="U49" s="146"/>
      <c r="V49" s="113"/>
      <c r="W49" s="113"/>
      <c r="X49" s="126"/>
      <c r="Y49" s="126"/>
    </row>
    <row r="50" spans="1:25" ht="14.7" customHeight="1">
      <c r="A50" s="131" t="s">
        <v>227</v>
      </c>
      <c r="B50" s="131"/>
      <c r="C50">
        <v>86.797079721800216</v>
      </c>
      <c r="D50">
        <v>84.679851683729495</v>
      </c>
      <c r="E50">
        <v>89.29496116311492</v>
      </c>
      <c r="F50">
        <v>73.336618749405801</v>
      </c>
      <c r="G50">
        <v>76.619199999999992</v>
      </c>
      <c r="H50">
        <v>80.966300000000004</v>
      </c>
      <c r="I50" s="147">
        <v>81.515399100401225</v>
      </c>
      <c r="J50" s="112"/>
      <c r="K50" s="112"/>
      <c r="L50" s="126"/>
      <c r="M50" s="112"/>
      <c r="N50" s="126"/>
      <c r="O50" s="147"/>
      <c r="P50" s="147"/>
      <c r="Q50" s="147"/>
      <c r="R50" s="112"/>
      <c r="S50" s="112"/>
      <c r="T50" s="112"/>
      <c r="U50" s="146"/>
      <c r="V50" s="113"/>
      <c r="W50" s="113"/>
      <c r="X50" s="126"/>
      <c r="Y50" s="126"/>
    </row>
    <row r="51" spans="1:25" ht="14.7" customHeight="1">
      <c r="A51" s="131" t="s">
        <v>27</v>
      </c>
      <c r="B51" s="131"/>
      <c r="C51">
        <v>92.993916895168539</v>
      </c>
      <c r="D51">
        <v>95.998746385749229</v>
      </c>
      <c r="E51">
        <v>96.823408492323509</v>
      </c>
      <c r="F51">
        <v>91.094235648646304</v>
      </c>
      <c r="G51">
        <v>89.597200000000001</v>
      </c>
      <c r="H51">
        <v>92.899900000000002</v>
      </c>
      <c r="I51" s="147">
        <v>89.877725719925976</v>
      </c>
      <c r="J51" s="112"/>
      <c r="K51" s="112"/>
      <c r="L51" s="126"/>
      <c r="M51" s="112"/>
      <c r="N51" s="126"/>
      <c r="O51" s="147"/>
      <c r="P51" s="147"/>
      <c r="Q51" s="147"/>
      <c r="R51" s="112"/>
      <c r="S51" s="112"/>
      <c r="T51" s="112"/>
      <c r="U51" s="146"/>
      <c r="V51" s="113"/>
      <c r="W51" s="113"/>
      <c r="X51" s="126"/>
      <c r="Y51" s="126"/>
    </row>
    <row r="52" spans="1:25" ht="14.7" customHeight="1">
      <c r="A52" s="131" t="s">
        <v>302</v>
      </c>
      <c r="B52" s="131"/>
      <c r="C52">
        <v>89.266400808963866</v>
      </c>
      <c r="D52">
        <v>89.872414914587551</v>
      </c>
      <c r="E52">
        <v>89.619803547723819</v>
      </c>
      <c r="F52">
        <v>81.75235124355595</v>
      </c>
      <c r="G52">
        <v>83.942700000000002</v>
      </c>
      <c r="H52">
        <v>82.227099999999993</v>
      </c>
      <c r="I52" s="147">
        <v>83.358927119604033</v>
      </c>
      <c r="J52" s="112"/>
      <c r="K52" s="112"/>
      <c r="L52" s="126"/>
      <c r="M52" s="112"/>
      <c r="N52" s="126"/>
      <c r="O52" s="147"/>
      <c r="P52" s="147"/>
      <c r="Q52" s="147"/>
      <c r="R52" s="112"/>
      <c r="S52" s="112"/>
      <c r="T52" s="112"/>
      <c r="U52" s="146"/>
      <c r="V52" s="113"/>
      <c r="W52" s="113"/>
      <c r="X52" s="126"/>
      <c r="Y52" s="126"/>
    </row>
    <row r="53" spans="1:25" ht="14.7" customHeight="1">
      <c r="A53" s="131" t="s">
        <v>200</v>
      </c>
      <c r="B53" s="131"/>
      <c r="C53">
        <v>94.164541786468845</v>
      </c>
      <c r="D53">
        <v>93.260052762011355</v>
      </c>
      <c r="E53">
        <v>92.112022359191357</v>
      </c>
      <c r="F53">
        <v>83.986087123906188</v>
      </c>
      <c r="G53">
        <v>85.519199999999998</v>
      </c>
      <c r="H53">
        <v>85.697400000000002</v>
      </c>
      <c r="I53" s="147">
        <v>86.759166813977501</v>
      </c>
      <c r="J53" s="112"/>
      <c r="K53" s="112"/>
      <c r="L53" s="126"/>
      <c r="M53" s="112"/>
      <c r="N53" s="126"/>
      <c r="O53" s="147"/>
      <c r="P53" s="147"/>
      <c r="Q53" s="147"/>
      <c r="R53" s="112"/>
      <c r="S53" s="112"/>
      <c r="T53" s="112"/>
      <c r="U53" s="146"/>
      <c r="V53" s="113"/>
      <c r="W53" s="113"/>
      <c r="X53" s="126"/>
      <c r="Y53" s="126"/>
    </row>
    <row r="54" spans="1:25" ht="14.7" customHeight="1">
      <c r="A54" s="131" t="s">
        <v>28</v>
      </c>
      <c r="B54" s="131"/>
      <c r="C54">
        <v>80.199966258853692</v>
      </c>
      <c r="D54">
        <v>81.608797298467394</v>
      </c>
      <c r="E54">
        <v>79.825756152545551</v>
      </c>
      <c r="F54">
        <v>74.868430538862228</v>
      </c>
      <c r="G54">
        <v>70.946100000000001</v>
      </c>
      <c r="H54">
        <v>75.930900000000008</v>
      </c>
      <c r="I54" s="147">
        <v>76.033457429563455</v>
      </c>
      <c r="J54" s="112"/>
      <c r="K54" s="112"/>
      <c r="L54" s="126"/>
      <c r="M54" s="112"/>
      <c r="N54" s="126"/>
      <c r="O54" s="147"/>
      <c r="P54" s="147"/>
      <c r="Q54" s="147"/>
      <c r="R54" s="112"/>
      <c r="S54" s="112"/>
      <c r="T54" s="112"/>
      <c r="U54" s="147"/>
      <c r="V54" s="149"/>
      <c r="W54" s="149"/>
      <c r="X54" s="126"/>
      <c r="Y54" s="126"/>
    </row>
    <row r="55" spans="1:25" ht="14.7" customHeight="1">
      <c r="A55" s="131" t="s">
        <v>29</v>
      </c>
      <c r="B55" s="131"/>
      <c r="C55">
        <v>84.433056986110188</v>
      </c>
      <c r="D55">
        <v>86.877034453819164</v>
      </c>
      <c r="E55">
        <v>87.889254492708474</v>
      </c>
      <c r="F55">
        <v>82.168408978513881</v>
      </c>
      <c r="G55">
        <v>89.191100000000006</v>
      </c>
      <c r="H55">
        <v>86.361500000000007</v>
      </c>
      <c r="I55" s="147">
        <v>84.721098664588297</v>
      </c>
      <c r="J55" s="112"/>
      <c r="K55" s="112"/>
      <c r="L55" s="126"/>
      <c r="M55" s="112"/>
      <c r="N55" s="126"/>
      <c r="O55" s="147"/>
      <c r="P55" s="147"/>
      <c r="Q55" s="147"/>
      <c r="R55" s="112"/>
      <c r="S55" s="112"/>
      <c r="T55" s="112"/>
      <c r="U55" s="146"/>
      <c r="V55" s="113"/>
      <c r="W55" s="113"/>
      <c r="X55" s="126"/>
      <c r="Y55" s="126"/>
    </row>
    <row r="56" spans="1:25" ht="14.7" customHeight="1">
      <c r="A56" s="131" t="s">
        <v>30</v>
      </c>
      <c r="B56" s="131"/>
      <c r="C56">
        <v>87.168599080538854</v>
      </c>
      <c r="D56">
        <v>86.026877804857222</v>
      </c>
      <c r="E56">
        <v>84.531972036810302</v>
      </c>
      <c r="F56">
        <v>77.390726193465767</v>
      </c>
      <c r="G56">
        <v>82.765200000000007</v>
      </c>
      <c r="H56">
        <v>79.382199999999997</v>
      </c>
      <c r="I56" s="147">
        <v>81.09538839596307</v>
      </c>
      <c r="J56" s="112"/>
      <c r="K56" s="112"/>
      <c r="L56" s="126"/>
      <c r="M56" s="112"/>
      <c r="N56" s="126"/>
      <c r="O56" s="147"/>
      <c r="P56" s="147"/>
      <c r="Q56" s="147"/>
      <c r="R56" s="112"/>
      <c r="S56" s="112"/>
      <c r="T56" s="112"/>
      <c r="U56" s="146"/>
      <c r="V56" s="113"/>
      <c r="W56" s="113"/>
      <c r="X56" s="126"/>
      <c r="Y56" s="126"/>
    </row>
    <row r="57" spans="1:25" ht="14.7" customHeight="1">
      <c r="A57" s="131" t="s">
        <v>31</v>
      </c>
      <c r="B57" s="131"/>
      <c r="C57">
        <v>83.2736798441628</v>
      </c>
      <c r="D57">
        <v>82.728362864198743</v>
      </c>
      <c r="E57">
        <v>83.216091912451702</v>
      </c>
      <c r="F57">
        <v>74.108175692225629</v>
      </c>
      <c r="G57">
        <v>75.3703</v>
      </c>
      <c r="H57">
        <v>78.567299999999989</v>
      </c>
      <c r="I57" s="146">
        <v>82.144881546139516</v>
      </c>
      <c r="J57" s="144"/>
      <c r="K57" s="144"/>
      <c r="L57" s="126"/>
      <c r="M57" s="144"/>
      <c r="N57" s="126"/>
      <c r="O57" s="146"/>
      <c r="P57" s="146"/>
      <c r="Q57" s="146"/>
      <c r="R57" s="144"/>
      <c r="S57" s="144"/>
      <c r="T57" s="144"/>
      <c r="U57" s="146"/>
      <c r="V57" s="113"/>
      <c r="W57" s="113"/>
      <c r="X57" s="126"/>
      <c r="Y57" s="126"/>
    </row>
    <row r="58" spans="1:25" ht="14.7" customHeight="1">
      <c r="A58" s="131" t="s">
        <v>303</v>
      </c>
      <c r="B58" s="131"/>
      <c r="C58">
        <v>86.210862010657081</v>
      </c>
      <c r="D58">
        <v>84.563474481295771</v>
      </c>
      <c r="E58">
        <v>86.590002199390455</v>
      </c>
      <c r="F58">
        <v>79.688604660010895</v>
      </c>
      <c r="G58">
        <v>84.546300000000002</v>
      </c>
      <c r="H58">
        <v>81.060400000000001</v>
      </c>
      <c r="I58" s="147">
        <v>81.745966822663377</v>
      </c>
      <c r="J58" s="112"/>
      <c r="K58" s="112"/>
      <c r="L58" s="126"/>
      <c r="M58" s="112"/>
      <c r="N58" s="126"/>
      <c r="O58" s="147"/>
      <c r="P58" s="147"/>
      <c r="Q58" s="147"/>
      <c r="R58" s="112"/>
      <c r="S58" s="112"/>
      <c r="T58" s="112"/>
      <c r="U58" s="146"/>
      <c r="V58" s="113"/>
      <c r="W58" s="113"/>
      <c r="X58" s="126"/>
      <c r="Y58" s="126"/>
    </row>
    <row r="59" spans="1:25" ht="14.7" customHeight="1">
      <c r="A59" s="131" t="s">
        <v>32</v>
      </c>
      <c r="B59" s="131"/>
      <c r="C59">
        <v>89.346820265135221</v>
      </c>
      <c r="D59">
        <v>89.551185519233897</v>
      </c>
      <c r="E59">
        <v>90.330497762820173</v>
      </c>
      <c r="F59">
        <v>86.853694335942038</v>
      </c>
      <c r="G59">
        <v>75.270300000000006</v>
      </c>
      <c r="H59">
        <v>77.616</v>
      </c>
      <c r="I59" s="147">
        <v>84.648901808129352</v>
      </c>
      <c r="J59" s="112"/>
      <c r="K59" s="112"/>
      <c r="L59" s="126"/>
      <c r="M59" s="112"/>
      <c r="N59" s="126"/>
      <c r="O59" s="147"/>
      <c r="P59" s="147"/>
      <c r="Q59" s="147"/>
      <c r="R59" s="112"/>
      <c r="S59" s="112"/>
      <c r="T59" s="112"/>
      <c r="U59" s="147"/>
      <c r="V59" s="149"/>
      <c r="W59" s="149"/>
      <c r="X59" s="126"/>
      <c r="Y59" s="126"/>
    </row>
    <row r="60" spans="1:25" ht="14.7" customHeight="1">
      <c r="A60" s="131" t="s">
        <v>33</v>
      </c>
      <c r="B60" s="131"/>
      <c r="C60">
        <v>89.591195365374318</v>
      </c>
      <c r="D60">
        <v>88.110917771840306</v>
      </c>
      <c r="E60">
        <v>87.412997521432374</v>
      </c>
      <c r="F60">
        <v>81.626451909906578</v>
      </c>
      <c r="G60">
        <v>80.620899999999992</v>
      </c>
      <c r="H60">
        <v>78.168800000000005</v>
      </c>
      <c r="I60" s="147">
        <v>85.676013232494512</v>
      </c>
      <c r="J60" s="112"/>
      <c r="K60" s="112"/>
      <c r="L60" s="126"/>
      <c r="M60" s="112"/>
      <c r="N60" s="126"/>
      <c r="O60" s="147"/>
      <c r="P60" s="147"/>
      <c r="Q60" s="147"/>
      <c r="R60" s="112"/>
      <c r="S60" s="112"/>
      <c r="T60" s="112"/>
      <c r="U60" s="147"/>
      <c r="V60" s="149"/>
      <c r="W60" s="149"/>
      <c r="X60" s="126"/>
      <c r="Y60" s="126"/>
    </row>
    <row r="61" spans="1:25" ht="14.7" customHeight="1">
      <c r="A61" s="131" t="s">
        <v>34</v>
      </c>
      <c r="B61" s="131"/>
      <c r="C61">
        <v>86.257240491124875</v>
      </c>
      <c r="D61">
        <v>91.630467541339328</v>
      </c>
      <c r="E61">
        <v>91.419840474441841</v>
      </c>
      <c r="F61">
        <v>87.691192065418548</v>
      </c>
      <c r="G61">
        <v>86.012</v>
      </c>
      <c r="H61">
        <v>84.563600000000008</v>
      </c>
      <c r="I61" s="147">
        <v>85.247999326678922</v>
      </c>
      <c r="J61" s="112"/>
      <c r="K61" s="112"/>
      <c r="L61" s="126"/>
      <c r="M61" s="112"/>
      <c r="N61" s="126"/>
      <c r="O61" s="147"/>
      <c r="P61" s="147"/>
      <c r="Q61" s="147"/>
      <c r="R61" s="112"/>
      <c r="S61" s="112"/>
      <c r="T61" s="112"/>
      <c r="U61" s="146"/>
      <c r="V61" s="113"/>
      <c r="W61" s="113"/>
      <c r="X61" s="126"/>
      <c r="Y61" s="126"/>
    </row>
    <row r="62" spans="1:25" ht="14.7" customHeight="1">
      <c r="A62" s="131" t="s">
        <v>35</v>
      </c>
      <c r="B62" s="131"/>
      <c r="C62">
        <v>91.376662606357996</v>
      </c>
      <c r="D62">
        <v>88.046075137106726</v>
      </c>
      <c r="E62">
        <v>88.138798037612446</v>
      </c>
      <c r="F62">
        <v>79.941741793395806</v>
      </c>
      <c r="G62">
        <v>81.456699999999998</v>
      </c>
      <c r="H62">
        <v>83.794299999999993</v>
      </c>
      <c r="I62" s="147">
        <v>86.690590013021321</v>
      </c>
      <c r="J62" s="112"/>
      <c r="K62" s="112"/>
      <c r="L62" s="126"/>
      <c r="M62" s="112"/>
      <c r="N62" s="126"/>
      <c r="O62" s="147"/>
      <c r="P62" s="147"/>
      <c r="Q62" s="147"/>
      <c r="R62" s="112"/>
      <c r="S62" s="112"/>
      <c r="T62" s="112"/>
      <c r="U62" s="146"/>
      <c r="V62" s="113"/>
      <c r="W62" s="113"/>
      <c r="X62" s="126"/>
      <c r="Y62" s="126"/>
    </row>
    <row r="63" spans="1:25" ht="14.7" customHeight="1">
      <c r="A63" s="131" t="s">
        <v>304</v>
      </c>
      <c r="B63" s="131"/>
      <c r="C63">
        <v>86.234794726082669</v>
      </c>
      <c r="D63">
        <v>86.830143420111057</v>
      </c>
      <c r="E63">
        <v>88.61676498401404</v>
      </c>
      <c r="F63">
        <v>78.77044480612156</v>
      </c>
      <c r="G63">
        <v>83.814700000000002</v>
      </c>
      <c r="H63">
        <v>82.636200000000002</v>
      </c>
      <c r="I63" s="147">
        <v>79.173129878636303</v>
      </c>
      <c r="J63" s="112"/>
      <c r="K63" s="112"/>
      <c r="L63" s="126"/>
      <c r="M63" s="112"/>
      <c r="N63" s="126"/>
      <c r="O63" s="147"/>
      <c r="P63" s="147"/>
      <c r="Q63" s="147"/>
      <c r="R63" s="112"/>
      <c r="S63" s="112"/>
      <c r="T63" s="112"/>
      <c r="U63" s="146"/>
      <c r="V63" s="113"/>
      <c r="W63" s="113"/>
      <c r="X63" s="126"/>
      <c r="Y63" s="126"/>
    </row>
    <row r="64" spans="1:25" ht="14.7" customHeight="1">
      <c r="A64" s="131" t="s">
        <v>812</v>
      </c>
      <c r="B64" s="131"/>
      <c r="C64">
        <v>87.296370199422967</v>
      </c>
      <c r="D64">
        <v>87.822635477316993</v>
      </c>
      <c r="E64">
        <v>89.216162129064045</v>
      </c>
      <c r="F64">
        <v>79.576343180468015</v>
      </c>
      <c r="G64">
        <v>80.971099999999993</v>
      </c>
      <c r="H64">
        <v>82.780200000000008</v>
      </c>
      <c r="I64" s="147">
        <v>80.543364865119997</v>
      </c>
      <c r="J64" s="112"/>
      <c r="K64" s="112"/>
      <c r="L64" s="126"/>
      <c r="M64" s="112"/>
      <c r="N64" s="126"/>
      <c r="O64" s="147"/>
      <c r="P64" s="147"/>
      <c r="Q64" s="147"/>
      <c r="R64" s="112"/>
      <c r="S64" s="112"/>
      <c r="T64" s="112"/>
      <c r="U64" s="146"/>
      <c r="V64" s="113"/>
      <c r="W64" s="113"/>
      <c r="X64" s="126"/>
      <c r="Y64" s="126"/>
    </row>
    <row r="65" spans="1:25" ht="14.7" customHeight="1">
      <c r="A65" s="131" t="s">
        <v>36</v>
      </c>
      <c r="B65" s="131"/>
      <c r="C65">
        <v>88.308157255741776</v>
      </c>
      <c r="D65">
        <v>84.778281951315407</v>
      </c>
      <c r="E65">
        <v>82.599742244678382</v>
      </c>
      <c r="F65">
        <v>79.245556194441647</v>
      </c>
      <c r="G65">
        <v>79.261499999999998</v>
      </c>
      <c r="H65">
        <v>85.924500000000009</v>
      </c>
      <c r="I65" s="147">
        <v>77.893606900581304</v>
      </c>
      <c r="J65" s="112"/>
      <c r="K65" s="112"/>
      <c r="L65" s="126"/>
      <c r="M65" s="112"/>
      <c r="N65" s="126"/>
      <c r="O65" s="147"/>
      <c r="P65" s="147"/>
      <c r="Q65" s="147"/>
      <c r="R65" s="112"/>
      <c r="S65" s="112"/>
      <c r="T65" s="112"/>
      <c r="U65" s="146"/>
      <c r="V65" s="113"/>
      <c r="W65" s="113"/>
      <c r="X65" s="126"/>
      <c r="Y65" s="126"/>
    </row>
    <row r="66" spans="1:25" ht="14.7" customHeight="1">
      <c r="A66" s="131" t="s">
        <v>37</v>
      </c>
      <c r="B66" s="131"/>
      <c r="C66">
        <v>90.091925804411659</v>
      </c>
      <c r="D66">
        <v>87.702237869774592</v>
      </c>
      <c r="E66">
        <v>90.135315902496345</v>
      </c>
      <c r="F66">
        <v>87.26843074830316</v>
      </c>
      <c r="G66">
        <v>86.687700000000007</v>
      </c>
      <c r="H66">
        <v>83.543199999999999</v>
      </c>
      <c r="I66" s="147">
        <v>86.676283490967094</v>
      </c>
      <c r="J66" s="112"/>
      <c r="K66" s="112"/>
      <c r="L66" s="126"/>
      <c r="M66" s="112"/>
      <c r="N66" s="126"/>
      <c r="O66" s="147"/>
      <c r="P66" s="147"/>
      <c r="Q66" s="147"/>
      <c r="R66" s="112"/>
      <c r="S66" s="112"/>
      <c r="T66" s="112"/>
      <c r="U66" s="146"/>
      <c r="V66" s="113"/>
      <c r="W66" s="113"/>
      <c r="X66" s="126"/>
      <c r="Y66" s="126"/>
    </row>
    <row r="67" spans="1:25" ht="14.7" customHeight="1">
      <c r="A67" s="131" t="s">
        <v>38</v>
      </c>
      <c r="B67" s="131"/>
      <c r="C67">
        <v>90.990231471221776</v>
      </c>
      <c r="D67">
        <v>88.163086365629113</v>
      </c>
      <c r="E67">
        <v>90.765187567858263</v>
      </c>
      <c r="F67">
        <v>81.333081496871202</v>
      </c>
      <c r="G67">
        <v>85.409300000000002</v>
      </c>
      <c r="H67">
        <v>85.590299999999999</v>
      </c>
      <c r="I67" s="147">
        <v>87.493941229861846</v>
      </c>
      <c r="J67" s="112"/>
      <c r="K67" s="112"/>
      <c r="L67" s="126"/>
      <c r="M67" s="112"/>
      <c r="N67" s="126"/>
      <c r="O67" s="147"/>
      <c r="P67" s="147"/>
      <c r="Q67" s="147"/>
      <c r="R67" s="112"/>
      <c r="S67" s="112"/>
      <c r="T67" s="112"/>
      <c r="U67" s="146"/>
      <c r="V67" s="113"/>
      <c r="W67" s="113"/>
      <c r="X67" s="126"/>
      <c r="Y67" s="126"/>
    </row>
    <row r="68" spans="1:25" ht="14.7" customHeight="1">
      <c r="A68" s="131" t="s">
        <v>39</v>
      </c>
      <c r="B68" s="131"/>
      <c r="C68">
        <v>90.200710275552666</v>
      </c>
      <c r="D68">
        <v>91.354748238584193</v>
      </c>
      <c r="E68">
        <v>86.020292228714879</v>
      </c>
      <c r="F68">
        <v>83.39335667656465</v>
      </c>
      <c r="G68">
        <v>81.634</v>
      </c>
      <c r="H68">
        <v>79.446100000000001</v>
      </c>
      <c r="I68" s="147">
        <v>80.404348716541534</v>
      </c>
      <c r="J68" s="112"/>
      <c r="K68" s="112"/>
      <c r="L68" s="126"/>
      <c r="M68" s="112"/>
      <c r="N68" s="126"/>
      <c r="O68" s="147"/>
      <c r="P68" s="147"/>
      <c r="Q68" s="147"/>
      <c r="R68" s="112"/>
      <c r="S68" s="112"/>
      <c r="T68" s="112"/>
      <c r="U68" s="147"/>
      <c r="V68" s="149"/>
      <c r="W68" s="149"/>
      <c r="X68" s="126"/>
      <c r="Y68" s="126"/>
    </row>
    <row r="69" spans="1:25" ht="14.7" customHeight="1">
      <c r="A69" s="131" t="s">
        <v>40</v>
      </c>
      <c r="B69" s="131"/>
      <c r="C69">
        <v>87.478909024779526</v>
      </c>
      <c r="D69">
        <v>85.10969411783978</v>
      </c>
      <c r="E69">
        <v>86.814562208637923</v>
      </c>
      <c r="F69">
        <v>84.074096256256652</v>
      </c>
      <c r="G69">
        <v>82.367599999999996</v>
      </c>
      <c r="H69">
        <v>88.566699999999997</v>
      </c>
      <c r="I69" s="147" t="s">
        <v>908</v>
      </c>
      <c r="J69" s="112"/>
      <c r="K69" s="112"/>
      <c r="L69" s="126"/>
      <c r="M69" s="112"/>
      <c r="N69" s="126"/>
      <c r="O69" s="147"/>
      <c r="P69" s="147"/>
      <c r="Q69" s="147"/>
      <c r="R69" s="112"/>
      <c r="S69" s="112"/>
      <c r="T69" s="112"/>
      <c r="U69" s="146"/>
      <c r="V69" s="113"/>
      <c r="W69" s="113"/>
      <c r="X69" s="126"/>
      <c r="Y69" s="126"/>
    </row>
    <row r="70" spans="1:25" ht="14.7" customHeight="1">
      <c r="A70" s="131" t="s">
        <v>369</v>
      </c>
      <c r="B70" s="131"/>
      <c r="C70">
        <v>86.720233780073841</v>
      </c>
      <c r="D70">
        <v>86.089338267432041</v>
      </c>
      <c r="E70">
        <v>91.923616961527671</v>
      </c>
      <c r="F70">
        <v>88.52649532862246</v>
      </c>
      <c r="G70">
        <v>91.905799999999999</v>
      </c>
      <c r="H70">
        <v>91.842100000000002</v>
      </c>
      <c r="I70" s="147">
        <v>91.488208139644371</v>
      </c>
      <c r="J70" s="112"/>
      <c r="K70" s="112"/>
      <c r="L70" s="126"/>
      <c r="M70" s="112"/>
      <c r="N70" s="126"/>
      <c r="O70" s="147"/>
      <c r="P70" s="147"/>
      <c r="Q70" s="147"/>
      <c r="R70" s="112"/>
      <c r="S70" s="112"/>
      <c r="T70" s="112"/>
      <c r="U70" s="146"/>
      <c r="V70" s="113"/>
      <c r="W70" s="113"/>
      <c r="X70" s="126"/>
      <c r="Y70" s="126"/>
    </row>
    <row r="71" spans="1:25" ht="14.7" customHeight="1">
      <c r="A71" s="131" t="s">
        <v>41</v>
      </c>
      <c r="B71" s="131"/>
      <c r="C71">
        <v>87.333119435630834</v>
      </c>
      <c r="D71">
        <v>89.045428231924689</v>
      </c>
      <c r="E71">
        <v>86.657553136319464</v>
      </c>
      <c r="F71">
        <v>81.734551547356546</v>
      </c>
      <c r="G71">
        <v>80.156599999999997</v>
      </c>
      <c r="H71">
        <v>81.058099999999996</v>
      </c>
      <c r="I71" s="147">
        <v>87.528570676960697</v>
      </c>
      <c r="J71" s="112"/>
      <c r="K71" s="112"/>
      <c r="L71" s="126"/>
      <c r="M71" s="112"/>
      <c r="N71" s="126"/>
      <c r="O71" s="147"/>
      <c r="P71" s="147"/>
      <c r="Q71" s="147"/>
      <c r="R71" s="112"/>
      <c r="S71" s="112"/>
      <c r="T71" s="112"/>
      <c r="U71" s="146"/>
      <c r="V71" s="113"/>
      <c r="W71" s="113"/>
      <c r="X71" s="126"/>
      <c r="Y71" s="126"/>
    </row>
    <row r="72" spans="1:25" ht="14.7" customHeight="1">
      <c r="A72" s="131" t="s">
        <v>42</v>
      </c>
      <c r="B72" s="131"/>
      <c r="C72">
        <v>88.720259946052977</v>
      </c>
      <c r="D72">
        <v>87.687614871445859</v>
      </c>
      <c r="E72">
        <v>88.271719722553797</v>
      </c>
      <c r="F72">
        <v>77.303982793441307</v>
      </c>
      <c r="G72">
        <v>77.374099999999999</v>
      </c>
      <c r="H72">
        <v>77.185000000000002</v>
      </c>
      <c r="I72" s="147">
        <v>81.67035568373511</v>
      </c>
      <c r="J72" s="112"/>
      <c r="K72" s="112"/>
      <c r="L72" s="126"/>
      <c r="M72" s="112"/>
      <c r="N72" s="126"/>
      <c r="O72" s="147"/>
      <c r="P72" s="147"/>
      <c r="Q72" s="147"/>
      <c r="R72" s="112"/>
      <c r="S72" s="112"/>
      <c r="T72" s="112"/>
      <c r="U72" s="146"/>
      <c r="V72" s="113"/>
      <c r="W72" s="113"/>
      <c r="X72" s="126"/>
      <c r="Y72" s="126"/>
    </row>
    <row r="73" spans="1:25" ht="14.7" customHeight="1">
      <c r="A73" s="131" t="s">
        <v>43</v>
      </c>
      <c r="B73" s="131"/>
      <c r="C73">
        <v>82.792468388989008</v>
      </c>
      <c r="D73">
        <v>85.09786376905744</v>
      </c>
      <c r="E73">
        <v>84.122582925228443</v>
      </c>
      <c r="F73">
        <v>76.848327182857489</v>
      </c>
      <c r="G73">
        <v>75.807100000000005</v>
      </c>
      <c r="H73">
        <v>71.586100000000002</v>
      </c>
      <c r="I73" s="147">
        <v>74.465846906570832</v>
      </c>
      <c r="J73" s="112"/>
      <c r="K73" s="112"/>
      <c r="L73" s="126"/>
      <c r="M73" s="112"/>
      <c r="N73" s="126"/>
      <c r="O73" s="147"/>
      <c r="P73" s="147"/>
      <c r="Q73" s="147"/>
      <c r="R73" s="112"/>
      <c r="S73" s="112"/>
      <c r="T73" s="112"/>
      <c r="U73" s="146"/>
      <c r="V73" s="113"/>
      <c r="W73" s="113"/>
      <c r="X73" s="126"/>
      <c r="Y73" s="126"/>
    </row>
    <row r="74" spans="1:25" ht="14.7" customHeight="1">
      <c r="A74" s="131" t="s">
        <v>305</v>
      </c>
      <c r="B74" s="131"/>
      <c r="C74">
        <v>86.597103607421204</v>
      </c>
      <c r="D74">
        <v>86.683651787235704</v>
      </c>
      <c r="E74">
        <v>87.878560664803729</v>
      </c>
      <c r="F74">
        <v>82.361286929527694</v>
      </c>
      <c r="G74">
        <v>80.891400000000004</v>
      </c>
      <c r="H74">
        <v>81.631699999999995</v>
      </c>
      <c r="I74" s="147">
        <v>84.395319552433818</v>
      </c>
      <c r="J74" s="112"/>
      <c r="K74" s="112"/>
      <c r="L74" s="126"/>
      <c r="M74" s="112"/>
      <c r="N74" s="126"/>
      <c r="O74" s="147"/>
      <c r="P74" s="147"/>
      <c r="Q74" s="147"/>
      <c r="R74" s="112"/>
      <c r="S74" s="112"/>
      <c r="T74" s="112"/>
      <c r="U74" s="146"/>
      <c r="V74" s="113"/>
      <c r="W74" s="113"/>
      <c r="X74" s="126"/>
      <c r="Y74" s="126"/>
    </row>
    <row r="75" spans="1:25" ht="14.7" customHeight="1">
      <c r="A75" s="131" t="s">
        <v>44</v>
      </c>
      <c r="B75" s="131"/>
      <c r="C75">
        <v>92.192420095876756</v>
      </c>
      <c r="D75">
        <v>91.719905662868669</v>
      </c>
      <c r="E75">
        <v>91.64041468022829</v>
      </c>
      <c r="F75">
        <v>84.037833452276089</v>
      </c>
      <c r="G75">
        <v>83.585299999999989</v>
      </c>
      <c r="H75">
        <v>86.834199999999996</v>
      </c>
      <c r="I75" s="147">
        <v>87.647615077230469</v>
      </c>
      <c r="J75" s="112"/>
      <c r="K75" s="112"/>
      <c r="L75" s="126"/>
      <c r="M75" s="112"/>
      <c r="N75" s="126"/>
      <c r="O75" s="147"/>
      <c r="P75" s="147"/>
      <c r="Q75" s="147"/>
      <c r="R75" s="112"/>
      <c r="S75" s="112"/>
      <c r="T75" s="112"/>
      <c r="U75" s="146"/>
      <c r="V75" s="113"/>
      <c r="W75" s="113"/>
      <c r="X75" s="126"/>
      <c r="Y75" s="126"/>
    </row>
    <row r="76" spans="1:25" ht="14.7" customHeight="1">
      <c r="A76" s="131" t="s">
        <v>228</v>
      </c>
      <c r="B76" s="131"/>
      <c r="C76">
        <v>86.800305044268669</v>
      </c>
      <c r="D76">
        <v>85.442761418348624</v>
      </c>
      <c r="E76">
        <v>89.08543757542428</v>
      </c>
      <c r="F76">
        <v>74.755703982018801</v>
      </c>
      <c r="G76">
        <v>72.983200000000011</v>
      </c>
      <c r="H76">
        <v>76.260599999999997</v>
      </c>
      <c r="I76" s="147">
        <v>72.367936631448146</v>
      </c>
      <c r="J76" s="112"/>
      <c r="K76" s="112"/>
      <c r="L76" s="126"/>
      <c r="M76" s="112"/>
      <c r="N76" s="126"/>
      <c r="O76" s="147"/>
      <c r="P76" s="147"/>
      <c r="Q76" s="147"/>
      <c r="R76" s="112"/>
      <c r="S76" s="112"/>
      <c r="T76" s="112"/>
      <c r="U76" s="147"/>
      <c r="V76" s="149"/>
      <c r="W76" s="149"/>
      <c r="X76" s="126"/>
      <c r="Y76" s="126"/>
    </row>
    <row r="77" spans="1:25" ht="14.7" customHeight="1">
      <c r="A77" s="131" t="s">
        <v>45</v>
      </c>
      <c r="B77" s="131"/>
      <c r="C77">
        <v>90.804452383184369</v>
      </c>
      <c r="D77">
        <v>88.808403412368321</v>
      </c>
      <c r="E77">
        <v>91.798946638777593</v>
      </c>
      <c r="F77">
        <v>84.304920550023354</v>
      </c>
      <c r="G77">
        <v>87.990900000000011</v>
      </c>
      <c r="H77">
        <v>84.728899999999996</v>
      </c>
      <c r="I77" s="147">
        <v>82.232358007265006</v>
      </c>
      <c r="J77" s="112"/>
      <c r="K77" s="112"/>
      <c r="L77" s="126"/>
      <c r="M77" s="112"/>
      <c r="N77" s="126"/>
      <c r="O77" s="147"/>
      <c r="P77" s="147"/>
      <c r="Q77" s="147"/>
      <c r="R77" s="112"/>
      <c r="S77" s="112"/>
      <c r="T77" s="112"/>
      <c r="U77" s="147"/>
      <c r="V77" s="149"/>
      <c r="W77" s="149"/>
      <c r="X77" s="126"/>
      <c r="Y77" s="126"/>
    </row>
    <row r="78" spans="1:25" ht="14.7" customHeight="1">
      <c r="A78" s="131" t="s">
        <v>46</v>
      </c>
      <c r="B78" s="131"/>
      <c r="C78">
        <v>86.223450293326351</v>
      </c>
      <c r="D78">
        <v>85.267253183342504</v>
      </c>
      <c r="E78">
        <v>87.307913393370384</v>
      </c>
      <c r="F78">
        <v>80.790199569115799</v>
      </c>
      <c r="G78">
        <v>80.168499999999995</v>
      </c>
      <c r="H78">
        <v>79.840800000000002</v>
      </c>
      <c r="I78" s="147">
        <v>73.409718940341691</v>
      </c>
      <c r="J78" s="112"/>
      <c r="K78" s="112"/>
      <c r="L78" s="126"/>
      <c r="M78" s="112"/>
      <c r="N78" s="126"/>
      <c r="O78" s="147"/>
      <c r="P78" s="147"/>
      <c r="Q78" s="147"/>
      <c r="R78" s="112"/>
      <c r="S78" s="112"/>
      <c r="T78" s="112"/>
      <c r="U78" s="146"/>
      <c r="V78" s="113"/>
      <c r="W78" s="113"/>
      <c r="X78" s="126"/>
      <c r="Y78" s="126"/>
    </row>
    <row r="79" spans="1:25" ht="14.7" customHeight="1">
      <c r="A79" s="131" t="s">
        <v>201</v>
      </c>
      <c r="B79" s="131"/>
      <c r="C79">
        <v>88.181163497699629</v>
      </c>
      <c r="D79">
        <v>86.875680481775944</v>
      </c>
      <c r="E79">
        <v>88.766578858700626</v>
      </c>
      <c r="F79">
        <v>76.973036205518852</v>
      </c>
      <c r="G79">
        <v>76.7</v>
      </c>
      <c r="H79">
        <v>79.269500000000008</v>
      </c>
      <c r="I79" s="146">
        <v>73.52554324109137</v>
      </c>
      <c r="J79" s="144"/>
      <c r="K79" s="144"/>
      <c r="L79" s="126"/>
      <c r="M79" s="144"/>
      <c r="N79" s="126"/>
      <c r="O79" s="146"/>
      <c r="P79" s="146"/>
      <c r="Q79" s="146"/>
      <c r="R79" s="144"/>
      <c r="S79" s="144"/>
      <c r="T79" s="144"/>
      <c r="U79" s="146"/>
      <c r="V79" s="113"/>
      <c r="W79" s="113"/>
      <c r="X79" s="126"/>
      <c r="Y79" s="126"/>
    </row>
    <row r="80" spans="1:25" ht="14.7" customHeight="1">
      <c r="A80" s="131" t="s">
        <v>306</v>
      </c>
      <c r="B80" s="131"/>
      <c r="C80">
        <v>88.118047849755612</v>
      </c>
      <c r="D80">
        <v>87.407055308457529</v>
      </c>
      <c r="E80">
        <v>87.656404217474091</v>
      </c>
      <c r="F80">
        <v>79.478489624249647</v>
      </c>
      <c r="G80">
        <v>81.57180000000001</v>
      </c>
      <c r="H80">
        <v>80.629300000000001</v>
      </c>
      <c r="I80" s="147">
        <v>83.002586119216289</v>
      </c>
      <c r="J80" s="112"/>
      <c r="K80" s="112"/>
      <c r="L80" s="126"/>
      <c r="M80" s="112"/>
      <c r="N80" s="126"/>
      <c r="O80" s="147"/>
      <c r="P80" s="147"/>
      <c r="Q80" s="147"/>
      <c r="R80" s="112"/>
      <c r="S80" s="112"/>
      <c r="T80" s="112"/>
      <c r="U80" s="146"/>
      <c r="V80" s="113"/>
      <c r="W80" s="113"/>
      <c r="X80" s="126"/>
      <c r="Y80" s="126"/>
    </row>
    <row r="81" spans="1:25" ht="14.7" customHeight="1">
      <c r="A81" s="131" t="s">
        <v>47</v>
      </c>
      <c r="B81" s="131"/>
      <c r="C81">
        <v>87.522124532898047</v>
      </c>
      <c r="D81">
        <v>89.509766302307014</v>
      </c>
      <c r="E81">
        <v>91.446813969782795</v>
      </c>
      <c r="F81">
        <v>80.210500037221209</v>
      </c>
      <c r="G81">
        <v>80.947199999999995</v>
      </c>
      <c r="H81">
        <v>82.237800000000007</v>
      </c>
      <c r="I81" s="147">
        <v>83.733643776664906</v>
      </c>
      <c r="J81" s="112"/>
      <c r="K81" s="112"/>
      <c r="L81" s="126"/>
      <c r="M81" s="112"/>
      <c r="N81" s="126"/>
      <c r="O81" s="147"/>
      <c r="P81" s="147"/>
      <c r="Q81" s="147"/>
      <c r="R81" s="112"/>
      <c r="S81" s="112"/>
      <c r="T81" s="112"/>
      <c r="U81" s="146"/>
      <c r="V81" s="113"/>
      <c r="W81" s="113"/>
      <c r="X81" s="126"/>
      <c r="Y81" s="126"/>
    </row>
    <row r="82" spans="1:25" ht="14.7" customHeight="1">
      <c r="A82" s="131" t="s">
        <v>264</v>
      </c>
      <c r="B82" s="131"/>
      <c r="C82">
        <v>88.486261671993532</v>
      </c>
      <c r="D82">
        <v>85.352259529354455</v>
      </c>
      <c r="E82">
        <v>87.451786429242489</v>
      </c>
      <c r="F82">
        <v>77.632871568552204</v>
      </c>
      <c r="G82">
        <v>80.500500000000002</v>
      </c>
      <c r="H82">
        <v>77.959100000000007</v>
      </c>
      <c r="I82" s="147">
        <v>86.265217312289678</v>
      </c>
      <c r="J82" s="112"/>
      <c r="K82" s="112"/>
      <c r="L82" s="126"/>
      <c r="M82" s="112"/>
      <c r="N82" s="126"/>
      <c r="O82" s="147"/>
      <c r="P82" s="147"/>
      <c r="Q82" s="147"/>
      <c r="R82" s="112"/>
      <c r="S82" s="112"/>
      <c r="T82" s="112"/>
      <c r="U82" s="146"/>
      <c r="V82" s="113"/>
      <c r="W82" s="113"/>
      <c r="X82" s="126"/>
      <c r="Y82" s="126"/>
    </row>
    <row r="83" spans="1:25" ht="14.7" customHeight="1">
      <c r="A83" s="131" t="s">
        <v>48</v>
      </c>
      <c r="B83" s="131"/>
      <c r="C83">
        <v>84.624147850366825</v>
      </c>
      <c r="D83">
        <v>90.876361369898959</v>
      </c>
      <c r="E83">
        <v>87.931784494425472</v>
      </c>
      <c r="F83">
        <v>75.181402222412913</v>
      </c>
      <c r="G83">
        <v>80.086699999999993</v>
      </c>
      <c r="H83">
        <v>81.482900000000001</v>
      </c>
      <c r="I83" s="147">
        <v>82.262658428886581</v>
      </c>
      <c r="J83" s="112"/>
      <c r="K83" s="112"/>
      <c r="L83" s="126"/>
      <c r="M83" s="112"/>
      <c r="N83" s="126"/>
      <c r="O83" s="147"/>
      <c r="P83" s="147"/>
      <c r="Q83" s="147"/>
      <c r="R83" s="112"/>
      <c r="S83" s="112"/>
      <c r="T83" s="112"/>
      <c r="U83" s="146"/>
      <c r="V83" s="113"/>
      <c r="W83" s="113"/>
      <c r="X83" s="126"/>
      <c r="Y83" s="126"/>
    </row>
    <row r="84" spans="1:25" ht="14.7" customHeight="1">
      <c r="A84" s="131" t="s">
        <v>49</v>
      </c>
      <c r="B84" s="131"/>
      <c r="C84">
        <v>88.23360665425453</v>
      </c>
      <c r="D84">
        <v>88.480941245727934</v>
      </c>
      <c r="E84">
        <v>85.997063767656059</v>
      </c>
      <c r="F84">
        <v>79.464644777065999</v>
      </c>
      <c r="G84">
        <v>81.425700000000006</v>
      </c>
      <c r="H84">
        <v>81.2196</v>
      </c>
      <c r="I84" s="147">
        <v>81.156135136736367</v>
      </c>
      <c r="J84" s="112"/>
      <c r="K84" s="112"/>
      <c r="L84" s="126"/>
      <c r="M84" s="112"/>
      <c r="N84" s="126"/>
      <c r="O84" s="147"/>
      <c r="P84" s="147"/>
      <c r="Q84" s="147"/>
      <c r="R84" s="112"/>
      <c r="S84" s="112"/>
      <c r="T84" s="112"/>
      <c r="U84" s="146"/>
      <c r="V84" s="113"/>
      <c r="W84" s="113"/>
      <c r="X84" s="126"/>
      <c r="Y84" s="126"/>
    </row>
    <row r="85" spans="1:25" ht="14.7" customHeight="1">
      <c r="A85" s="131" t="s">
        <v>265</v>
      </c>
      <c r="B85" s="131"/>
      <c r="C85">
        <v>85.57367510643445</v>
      </c>
      <c r="D85">
        <v>85.868710089399741</v>
      </c>
      <c r="E85">
        <v>85.829276840998489</v>
      </c>
      <c r="F85">
        <v>76.112688884225378</v>
      </c>
      <c r="G85">
        <v>77.359700000000004</v>
      </c>
      <c r="H85">
        <v>77.7714</v>
      </c>
      <c r="I85" s="147">
        <v>77.763363947409331</v>
      </c>
      <c r="J85" s="112"/>
      <c r="K85" s="112"/>
      <c r="L85" s="126"/>
      <c r="M85" s="112"/>
      <c r="N85" s="126"/>
      <c r="O85" s="147"/>
      <c r="P85" s="147"/>
      <c r="Q85" s="147"/>
      <c r="R85" s="112"/>
      <c r="S85" s="112"/>
      <c r="T85" s="112"/>
      <c r="U85" s="146"/>
      <c r="V85" s="113"/>
      <c r="W85" s="113"/>
      <c r="X85" s="126"/>
      <c r="Y85" s="126"/>
    </row>
    <row r="86" spans="1:25" ht="14.7" customHeight="1">
      <c r="A86" s="131" t="s">
        <v>307</v>
      </c>
      <c r="B86" s="131"/>
      <c r="C86">
        <v>87.217855255483755</v>
      </c>
      <c r="D86">
        <v>85.961572216809415</v>
      </c>
      <c r="E86">
        <v>86.059942035777368</v>
      </c>
      <c r="F86">
        <v>78.400966937487439</v>
      </c>
      <c r="G86">
        <v>81.094700000000003</v>
      </c>
      <c r="H86">
        <v>80.374099999999999</v>
      </c>
      <c r="I86" s="147">
        <v>81.217592590947703</v>
      </c>
      <c r="J86" s="112"/>
      <c r="K86" s="112"/>
      <c r="L86" s="126"/>
      <c r="M86" s="112"/>
      <c r="N86" s="126"/>
      <c r="O86" s="147"/>
      <c r="P86" s="147"/>
      <c r="Q86" s="147"/>
      <c r="R86" s="112"/>
      <c r="S86" s="112"/>
      <c r="T86" s="112"/>
      <c r="U86" s="147"/>
      <c r="V86" s="149"/>
      <c r="W86" s="149"/>
      <c r="X86" s="126"/>
      <c r="Y86" s="126"/>
    </row>
    <row r="87" spans="1:25" ht="14.7" customHeight="1">
      <c r="A87" s="131" t="s">
        <v>50</v>
      </c>
      <c r="B87" s="131"/>
      <c r="C87">
        <v>89.126265474101515</v>
      </c>
      <c r="D87">
        <v>88.257527930628569</v>
      </c>
      <c r="E87">
        <v>88.896852726835903</v>
      </c>
      <c r="F87">
        <v>79.705804340114597</v>
      </c>
      <c r="G87">
        <v>83.908900000000003</v>
      </c>
      <c r="H87">
        <v>80.378199999999993</v>
      </c>
      <c r="I87" s="147">
        <v>87.156969497663397</v>
      </c>
      <c r="J87" s="112"/>
      <c r="K87" s="112"/>
      <c r="L87" s="126"/>
      <c r="M87" s="112"/>
      <c r="N87" s="126"/>
      <c r="O87" s="147"/>
      <c r="P87" s="147"/>
      <c r="Q87" s="147"/>
      <c r="R87" s="112"/>
      <c r="S87" s="112"/>
      <c r="T87" s="112"/>
      <c r="U87" s="146"/>
      <c r="V87" s="113"/>
      <c r="W87" s="113"/>
      <c r="X87" s="126"/>
      <c r="Y87" s="126"/>
    </row>
    <row r="88" spans="1:25" ht="14.7" customHeight="1">
      <c r="A88" s="131" t="s">
        <v>308</v>
      </c>
      <c r="B88" s="131"/>
      <c r="C88">
        <v>89.096579729110914</v>
      </c>
      <c r="D88">
        <v>89.786435814265786</v>
      </c>
      <c r="E88">
        <v>89.402926537161974</v>
      </c>
      <c r="F88">
        <v>82.204753546622499</v>
      </c>
      <c r="G88">
        <v>85.311099999999996</v>
      </c>
      <c r="H88">
        <v>85.390600000000006</v>
      </c>
      <c r="I88" s="147">
        <v>85.885087274196607</v>
      </c>
      <c r="J88" s="112"/>
      <c r="K88" s="112"/>
      <c r="L88" s="126"/>
      <c r="M88" s="112"/>
      <c r="N88" s="126"/>
      <c r="O88" s="147"/>
      <c r="P88" s="147"/>
      <c r="Q88" s="147"/>
      <c r="R88" s="112"/>
      <c r="S88" s="112"/>
      <c r="T88" s="112"/>
      <c r="U88" s="146"/>
      <c r="V88" s="113"/>
      <c r="W88" s="113"/>
      <c r="X88" s="126"/>
      <c r="Y88" s="126"/>
    </row>
    <row r="89" spans="1:25" ht="14.7" customHeight="1">
      <c r="A89" s="131" t="s">
        <v>229</v>
      </c>
      <c r="B89" s="131"/>
      <c r="C89">
        <v>85.511877272978793</v>
      </c>
      <c r="D89">
        <v>86.85143513946673</v>
      </c>
      <c r="E89">
        <v>86.189378390757014</v>
      </c>
      <c r="F89">
        <v>76.135829271992606</v>
      </c>
      <c r="G89">
        <v>77.743600000000001</v>
      </c>
      <c r="H89">
        <v>76.116399999999999</v>
      </c>
      <c r="I89" s="147">
        <v>78.405178401891789</v>
      </c>
      <c r="J89" s="112"/>
      <c r="K89" s="112"/>
      <c r="L89" s="126"/>
      <c r="M89" s="112"/>
      <c r="N89" s="126"/>
      <c r="O89" s="147"/>
      <c r="P89" s="147"/>
      <c r="Q89" s="147"/>
      <c r="R89" s="112"/>
      <c r="S89" s="112"/>
      <c r="T89" s="112"/>
      <c r="U89" s="146"/>
      <c r="V89" s="113"/>
      <c r="W89" s="113"/>
      <c r="X89" s="126"/>
      <c r="Y89" s="126"/>
    </row>
    <row r="90" spans="1:25" ht="14.7" customHeight="1">
      <c r="A90" s="131" t="s">
        <v>309</v>
      </c>
      <c r="B90" s="131"/>
      <c r="C90">
        <v>88.011043101308118</v>
      </c>
      <c r="D90">
        <v>87.605920992763927</v>
      </c>
      <c r="E90">
        <v>88.078865436617832</v>
      </c>
      <c r="F90">
        <v>81.312219816813297</v>
      </c>
      <c r="G90">
        <v>82.906300000000002</v>
      </c>
      <c r="H90">
        <v>83.525000000000006</v>
      </c>
      <c r="I90" s="147" t="s">
        <v>908</v>
      </c>
      <c r="J90" s="112"/>
      <c r="K90" s="112"/>
      <c r="L90" s="126"/>
      <c r="M90" s="112"/>
      <c r="N90" s="126"/>
      <c r="O90" s="147"/>
      <c r="P90" s="147"/>
      <c r="Q90" s="147"/>
      <c r="R90" s="112"/>
      <c r="S90" s="112"/>
      <c r="T90" s="112"/>
      <c r="U90" s="147"/>
      <c r="V90" s="149"/>
      <c r="W90" s="149"/>
      <c r="X90" s="126"/>
      <c r="Y90" s="126"/>
    </row>
    <row r="91" spans="1:25" ht="14.7" customHeight="1">
      <c r="A91" s="131" t="s">
        <v>904</v>
      </c>
      <c r="B91" s="131"/>
      <c r="C91" t="s">
        <v>908</v>
      </c>
      <c r="D91" t="s">
        <v>908</v>
      </c>
      <c r="E91" t="s">
        <v>908</v>
      </c>
      <c r="F91" t="s">
        <v>908</v>
      </c>
      <c r="G91" t="s">
        <v>908</v>
      </c>
      <c r="H91" t="s">
        <v>908</v>
      </c>
      <c r="I91" s="147">
        <v>84.941125975203988</v>
      </c>
      <c r="J91" s="112"/>
      <c r="K91" s="112"/>
      <c r="L91" s="126"/>
      <c r="M91" s="112"/>
      <c r="N91" s="126"/>
      <c r="O91" s="147"/>
      <c r="P91" s="147"/>
      <c r="Q91" s="147"/>
      <c r="R91" s="112"/>
      <c r="S91" s="112"/>
      <c r="T91" s="112"/>
      <c r="U91" s="146"/>
      <c r="V91" s="113"/>
      <c r="W91" s="113"/>
      <c r="X91" s="126"/>
      <c r="Y91" s="126"/>
    </row>
    <row r="92" spans="1:25" ht="14.7" customHeight="1">
      <c r="A92" s="131" t="s">
        <v>51</v>
      </c>
      <c r="B92" s="131"/>
      <c r="C92">
        <v>90.397084791429194</v>
      </c>
      <c r="D92">
        <v>86.145763999199644</v>
      </c>
      <c r="E92">
        <v>84.695585042987588</v>
      </c>
      <c r="F92">
        <v>80.448007980067757</v>
      </c>
      <c r="G92">
        <v>80.220399999999998</v>
      </c>
      <c r="H92">
        <v>83.760400000000004</v>
      </c>
      <c r="I92" s="147">
        <v>83.82997141888039</v>
      </c>
      <c r="J92" s="112"/>
      <c r="K92" s="112"/>
      <c r="L92" s="126"/>
      <c r="M92" s="112"/>
      <c r="N92" s="126"/>
      <c r="O92" s="147"/>
      <c r="P92" s="147"/>
      <c r="Q92" s="147"/>
      <c r="R92" s="112"/>
      <c r="S92" s="112"/>
      <c r="T92" s="112"/>
      <c r="U92" s="146"/>
      <c r="V92" s="113"/>
      <c r="W92" s="113"/>
      <c r="X92" s="126"/>
      <c r="Y92" s="126"/>
    </row>
    <row r="93" spans="1:25" ht="14.7" customHeight="1">
      <c r="A93" s="131" t="s">
        <v>230</v>
      </c>
      <c r="B93" s="131"/>
      <c r="C93">
        <v>82.132605447098172</v>
      </c>
      <c r="D93">
        <v>83.188446801770112</v>
      </c>
      <c r="E93">
        <v>81.397067037190183</v>
      </c>
      <c r="F93">
        <v>72.253039342427215</v>
      </c>
      <c r="G93">
        <v>72.9602</v>
      </c>
      <c r="H93">
        <v>73.8887</v>
      </c>
      <c r="I93" s="147">
        <v>71.655617270360679</v>
      </c>
      <c r="J93" s="112"/>
      <c r="K93" s="112"/>
      <c r="L93" s="126"/>
      <c r="M93" s="112"/>
      <c r="N93" s="126"/>
      <c r="O93" s="147"/>
      <c r="P93" s="147"/>
      <c r="Q93" s="147"/>
      <c r="R93" s="112"/>
      <c r="S93" s="112"/>
      <c r="T93" s="112"/>
      <c r="U93" s="146"/>
      <c r="V93" s="113"/>
      <c r="W93" s="113"/>
      <c r="X93" s="126"/>
      <c r="Y93" s="126"/>
    </row>
    <row r="94" spans="1:25" ht="14.7" customHeight="1">
      <c r="A94" s="131" t="s">
        <v>266</v>
      </c>
      <c r="B94" s="131"/>
      <c r="C94">
        <v>82.595443832956221</v>
      </c>
      <c r="D94">
        <v>84.859072010913707</v>
      </c>
      <c r="E94">
        <v>86.150055966261675</v>
      </c>
      <c r="F94">
        <v>76.877530434123969</v>
      </c>
      <c r="G94">
        <v>82.564300000000003</v>
      </c>
      <c r="H94">
        <v>77.834499999999991</v>
      </c>
      <c r="I94" s="147">
        <v>78.372830341553794</v>
      </c>
      <c r="J94" s="112"/>
      <c r="K94" s="112"/>
      <c r="L94" s="126"/>
      <c r="M94" s="112"/>
      <c r="N94" s="126"/>
      <c r="O94" s="147"/>
      <c r="P94" s="147"/>
      <c r="Q94" s="147"/>
      <c r="R94" s="112"/>
      <c r="S94" s="112"/>
      <c r="T94" s="112"/>
      <c r="U94" s="146"/>
      <c r="V94" s="113"/>
      <c r="W94" s="113"/>
      <c r="X94" s="126"/>
      <c r="Y94" s="126"/>
    </row>
    <row r="95" spans="1:25" ht="14.7" customHeight="1">
      <c r="A95" s="131" t="s">
        <v>202</v>
      </c>
      <c r="B95" s="131"/>
      <c r="C95">
        <v>86.722035085827784</v>
      </c>
      <c r="D95">
        <v>88.034294386670638</v>
      </c>
      <c r="E95">
        <v>88.474675295492332</v>
      </c>
      <c r="F95">
        <v>77.715323539474923</v>
      </c>
      <c r="G95">
        <v>79.824600000000004</v>
      </c>
      <c r="H95">
        <v>83.215599999999995</v>
      </c>
      <c r="I95" s="147">
        <v>77.227842088079896</v>
      </c>
      <c r="J95" s="112"/>
      <c r="K95" s="112"/>
      <c r="L95" s="126"/>
      <c r="M95" s="112"/>
      <c r="N95" s="126"/>
      <c r="O95" s="147"/>
      <c r="P95" s="147"/>
      <c r="Q95" s="147"/>
      <c r="R95" s="112"/>
      <c r="S95" s="112"/>
      <c r="T95" s="112"/>
      <c r="U95" s="146"/>
      <c r="V95" s="113"/>
      <c r="W95" s="113"/>
      <c r="X95" s="126"/>
      <c r="Y95" s="126"/>
    </row>
    <row r="96" spans="1:25" ht="14.7" customHeight="1">
      <c r="A96" s="131" t="s">
        <v>52</v>
      </c>
      <c r="B96" s="131"/>
      <c r="C96">
        <v>88.411826745540466</v>
      </c>
      <c r="D96">
        <v>88.344119374157273</v>
      </c>
      <c r="E96">
        <v>87.524104184838521</v>
      </c>
      <c r="F96">
        <v>74.959180878298142</v>
      </c>
      <c r="G96">
        <v>84.109499999999997</v>
      </c>
      <c r="H96">
        <v>84.606999999999999</v>
      </c>
      <c r="I96" s="147">
        <v>83.547297464267089</v>
      </c>
      <c r="J96" s="112"/>
      <c r="K96" s="112"/>
      <c r="L96" s="126"/>
      <c r="M96" s="112"/>
      <c r="N96" s="126"/>
      <c r="O96" s="147"/>
      <c r="P96" s="147"/>
      <c r="Q96" s="147"/>
      <c r="R96" s="112"/>
      <c r="S96" s="112"/>
      <c r="T96" s="112"/>
      <c r="U96" s="146"/>
      <c r="V96" s="113"/>
      <c r="W96" s="113"/>
      <c r="X96" s="126"/>
      <c r="Y96" s="126"/>
    </row>
    <row r="97" spans="1:25" ht="14.7" customHeight="1">
      <c r="A97" s="131" t="s">
        <v>53</v>
      </c>
      <c r="B97" s="131"/>
      <c r="C97">
        <v>89.168650537260845</v>
      </c>
      <c r="D97">
        <v>90.410246686280885</v>
      </c>
      <c r="E97">
        <v>89.323181347292319</v>
      </c>
      <c r="F97">
        <v>81.716029432291066</v>
      </c>
      <c r="G97">
        <v>85.704800000000006</v>
      </c>
      <c r="H97">
        <v>87.941699999999997</v>
      </c>
      <c r="I97" s="147">
        <v>86.084775203522014</v>
      </c>
      <c r="J97" s="112"/>
      <c r="K97" s="112"/>
      <c r="L97" s="126"/>
      <c r="M97" s="112"/>
      <c r="N97" s="126"/>
      <c r="O97" s="147"/>
      <c r="P97" s="147"/>
      <c r="Q97" s="147"/>
      <c r="R97" s="112"/>
      <c r="S97" s="112"/>
      <c r="T97" s="112"/>
      <c r="U97" s="146"/>
      <c r="V97" s="113"/>
      <c r="W97" s="113"/>
      <c r="X97" s="126"/>
      <c r="Y97" s="126"/>
    </row>
    <row r="98" spans="1:25" ht="14.7" customHeight="1">
      <c r="A98" s="131" t="s">
        <v>54</v>
      </c>
      <c r="B98" s="131"/>
      <c r="C98">
        <v>85.758898728123384</v>
      </c>
      <c r="D98">
        <v>86.493631778827961</v>
      </c>
      <c r="E98">
        <v>87.102852083602755</v>
      </c>
      <c r="F98">
        <v>76.319303971405859</v>
      </c>
      <c r="G98">
        <v>82.280500000000004</v>
      </c>
      <c r="H98">
        <v>80.072200000000009</v>
      </c>
      <c r="I98" s="147" t="s">
        <v>908</v>
      </c>
      <c r="J98" s="112"/>
      <c r="K98" s="112"/>
      <c r="L98" s="126"/>
      <c r="M98" s="112"/>
      <c r="N98" s="126"/>
      <c r="O98" s="147"/>
      <c r="P98" s="147"/>
      <c r="Q98" s="147"/>
      <c r="R98" s="112"/>
      <c r="S98" s="112"/>
      <c r="T98" s="112"/>
      <c r="U98" s="146"/>
      <c r="V98" s="113"/>
      <c r="W98" s="113"/>
      <c r="X98" s="126"/>
      <c r="Y98" s="126"/>
    </row>
    <row r="99" spans="1:25" ht="14.7" customHeight="1">
      <c r="A99" s="131" t="s">
        <v>55</v>
      </c>
      <c r="B99" s="131"/>
      <c r="C99">
        <v>89.605083133136844</v>
      </c>
      <c r="D99">
        <v>88.243771750089451</v>
      </c>
      <c r="E99">
        <v>90.11785538612888</v>
      </c>
      <c r="F99">
        <v>82.267568456986581</v>
      </c>
      <c r="G99">
        <v>81.305199999999999</v>
      </c>
      <c r="H99">
        <v>80.936700000000002</v>
      </c>
      <c r="I99" s="147">
        <v>84.086894313342043</v>
      </c>
      <c r="J99" s="112"/>
      <c r="K99" s="112"/>
      <c r="L99" s="126"/>
      <c r="M99" s="112"/>
      <c r="N99" s="126"/>
      <c r="O99" s="147"/>
      <c r="P99" s="147"/>
      <c r="Q99" s="147"/>
      <c r="R99" s="112"/>
      <c r="S99" s="112"/>
      <c r="T99" s="112"/>
      <c r="U99" s="146"/>
      <c r="V99" s="113"/>
      <c r="W99" s="113"/>
      <c r="X99" s="126"/>
      <c r="Y99" s="126"/>
    </row>
    <row r="100" spans="1:25" ht="14.7" customHeight="1">
      <c r="A100" s="131" t="s">
        <v>56</v>
      </c>
      <c r="B100" s="131"/>
      <c r="C100">
        <v>91.68273610235822</v>
      </c>
      <c r="D100">
        <v>89.675054771801229</v>
      </c>
      <c r="E100">
        <v>88.950005067255404</v>
      </c>
      <c r="F100">
        <v>85.582043383519519</v>
      </c>
      <c r="G100">
        <v>84.05510000000001</v>
      </c>
      <c r="H100">
        <v>83.176199999999994</v>
      </c>
      <c r="I100" s="147">
        <v>89.749905538045041</v>
      </c>
      <c r="J100" s="112"/>
      <c r="K100" s="112"/>
      <c r="L100" s="126"/>
      <c r="M100" s="112"/>
      <c r="N100" s="126"/>
      <c r="O100" s="147"/>
      <c r="P100" s="147"/>
      <c r="Q100" s="147"/>
      <c r="R100" s="112"/>
      <c r="S100" s="112"/>
      <c r="T100" s="112"/>
      <c r="U100" s="146"/>
      <c r="V100" s="113"/>
      <c r="W100" s="113"/>
      <c r="X100" s="126"/>
      <c r="Y100" s="126"/>
    </row>
    <row r="101" spans="1:25" ht="14.7" customHeight="1">
      <c r="A101" s="131" t="s">
        <v>57</v>
      </c>
      <c r="B101" s="131"/>
      <c r="C101">
        <v>76.705972151062227</v>
      </c>
      <c r="D101">
        <v>79.249314991385873</v>
      </c>
      <c r="E101">
        <v>86.878770396071232</v>
      </c>
      <c r="F101">
        <v>83.434968863033205</v>
      </c>
      <c r="G101">
        <v>78.652799999999999</v>
      </c>
      <c r="H101">
        <v>72.038899999999998</v>
      </c>
      <c r="I101" s="147">
        <v>81.439089525575824</v>
      </c>
      <c r="J101" s="112"/>
      <c r="K101" s="112"/>
      <c r="L101" s="126"/>
      <c r="M101" s="112"/>
      <c r="N101" s="126"/>
      <c r="O101" s="147"/>
      <c r="P101" s="147"/>
      <c r="Q101" s="147"/>
      <c r="R101" s="112"/>
      <c r="S101" s="112"/>
      <c r="T101" s="112"/>
      <c r="U101" s="146"/>
      <c r="V101" s="113"/>
      <c r="W101" s="113"/>
      <c r="X101" s="126"/>
      <c r="Y101" s="126"/>
    </row>
    <row r="102" spans="1:25" ht="14.7" customHeight="1">
      <c r="A102" s="131" t="s">
        <v>58</v>
      </c>
      <c r="B102" s="131"/>
      <c r="C102">
        <v>88.753553794819467</v>
      </c>
      <c r="D102">
        <v>84.188749552721291</v>
      </c>
      <c r="E102">
        <v>85.20860349151944</v>
      </c>
      <c r="F102">
        <v>81.512899878995356</v>
      </c>
      <c r="G102">
        <v>77.961600000000004</v>
      </c>
      <c r="H102">
        <v>79.456499999999991</v>
      </c>
      <c r="I102" s="147">
        <v>85.076646291930146</v>
      </c>
      <c r="J102" s="112"/>
      <c r="K102" s="112"/>
      <c r="L102" s="126"/>
      <c r="M102" s="112"/>
      <c r="N102" s="126"/>
      <c r="O102" s="147"/>
      <c r="P102" s="147"/>
      <c r="Q102" s="147"/>
      <c r="R102" s="112"/>
      <c r="S102" s="112"/>
      <c r="T102" s="112"/>
      <c r="U102" s="146"/>
      <c r="V102" s="113"/>
      <c r="W102" s="113"/>
      <c r="X102" s="126"/>
      <c r="Y102" s="126"/>
    </row>
    <row r="103" spans="1:25" ht="14.7" customHeight="1">
      <c r="A103" s="131" t="s">
        <v>267</v>
      </c>
      <c r="B103" s="131"/>
      <c r="C103">
        <v>86.626565237770393</v>
      </c>
      <c r="D103">
        <v>89.297137093459057</v>
      </c>
      <c r="E103">
        <v>86.331722596787429</v>
      </c>
      <c r="F103">
        <v>78.816722964286186</v>
      </c>
      <c r="G103">
        <v>77.756799999999998</v>
      </c>
      <c r="H103">
        <v>78.599800000000002</v>
      </c>
      <c r="I103" s="147">
        <v>83.375669894356193</v>
      </c>
      <c r="J103" s="112"/>
      <c r="K103" s="112"/>
      <c r="L103" s="126"/>
      <c r="M103" s="112"/>
      <c r="N103" s="126"/>
      <c r="O103" s="147"/>
      <c r="P103" s="147"/>
      <c r="Q103" s="147"/>
      <c r="R103" s="112"/>
      <c r="S103" s="112"/>
      <c r="T103" s="112"/>
      <c r="U103" s="146"/>
      <c r="V103" s="113"/>
      <c r="W103" s="113"/>
      <c r="X103" s="126"/>
      <c r="Y103" s="126"/>
    </row>
    <row r="104" spans="1:25" ht="14.7" customHeight="1">
      <c r="A104" s="131" t="s">
        <v>59</v>
      </c>
      <c r="B104" s="131"/>
      <c r="C104">
        <v>89.297651623771046</v>
      </c>
      <c r="D104">
        <v>84.528944591517487</v>
      </c>
      <c r="E104">
        <v>84.850402206072218</v>
      </c>
      <c r="F104">
        <v>81.229254859839259</v>
      </c>
      <c r="G104">
        <v>74.764399999999995</v>
      </c>
      <c r="H104">
        <v>79.1494</v>
      </c>
      <c r="I104" s="147">
        <v>76.757911292992603</v>
      </c>
      <c r="J104" s="112"/>
      <c r="K104" s="112"/>
      <c r="L104" s="126"/>
      <c r="M104" s="112"/>
      <c r="N104" s="126"/>
      <c r="O104" s="147"/>
      <c r="P104" s="147"/>
      <c r="Q104" s="147"/>
      <c r="R104" s="112"/>
      <c r="S104" s="112"/>
      <c r="T104" s="112"/>
      <c r="U104" s="146"/>
      <c r="V104" s="113"/>
      <c r="W104" s="113"/>
      <c r="X104" s="126"/>
      <c r="Y104" s="126"/>
    </row>
    <row r="105" spans="1:25" ht="14.7" customHeight="1">
      <c r="A105" s="131" t="s">
        <v>905</v>
      </c>
      <c r="B105" s="131"/>
      <c r="C105" t="s">
        <v>908</v>
      </c>
      <c r="D105" t="s">
        <v>908</v>
      </c>
      <c r="E105" t="s">
        <v>908</v>
      </c>
      <c r="F105" t="s">
        <v>908</v>
      </c>
      <c r="G105" t="s">
        <v>908</v>
      </c>
      <c r="H105" t="s">
        <v>908</v>
      </c>
      <c r="I105" s="147">
        <v>81.688187142593478</v>
      </c>
      <c r="J105" s="112"/>
      <c r="K105" s="112"/>
      <c r="L105" s="126"/>
      <c r="M105" s="112"/>
      <c r="N105" s="126"/>
      <c r="O105" s="147"/>
      <c r="P105" s="147"/>
      <c r="Q105" s="147"/>
      <c r="R105" s="112"/>
      <c r="S105" s="112"/>
      <c r="T105" s="112"/>
      <c r="U105" s="146"/>
      <c r="V105" s="113"/>
      <c r="W105" s="113"/>
      <c r="X105" s="126"/>
      <c r="Y105" s="126"/>
    </row>
    <row r="106" spans="1:25" ht="14.7" customHeight="1">
      <c r="A106" s="131" t="s">
        <v>310</v>
      </c>
      <c r="B106" s="131"/>
      <c r="C106">
        <v>87.752557112545958</v>
      </c>
      <c r="D106">
        <v>86.398894772451953</v>
      </c>
      <c r="E106">
        <v>88.08102899469435</v>
      </c>
      <c r="F106">
        <v>80.723385679537742</v>
      </c>
      <c r="G106">
        <v>80.740600000000001</v>
      </c>
      <c r="H106">
        <v>79.5702</v>
      </c>
      <c r="I106" s="147">
        <v>82.994301123979568</v>
      </c>
      <c r="J106" s="112"/>
      <c r="K106" s="112"/>
      <c r="L106" s="126"/>
      <c r="M106" s="112"/>
      <c r="N106" s="126"/>
      <c r="O106" s="147"/>
      <c r="P106" s="147"/>
      <c r="Q106" s="147"/>
      <c r="R106" s="112"/>
      <c r="S106" s="112"/>
      <c r="T106" s="112"/>
      <c r="U106" s="146"/>
      <c r="V106" s="113"/>
      <c r="W106" s="113"/>
      <c r="X106" s="126"/>
      <c r="Y106" s="126"/>
    </row>
    <row r="107" spans="1:25" ht="14.7" customHeight="1">
      <c r="A107" s="131" t="s">
        <v>60</v>
      </c>
      <c r="B107" s="131"/>
      <c r="C107">
        <v>87.112287126178927</v>
      </c>
      <c r="D107">
        <v>86.387197454178278</v>
      </c>
      <c r="E107">
        <v>85.400277878530218</v>
      </c>
      <c r="F107">
        <v>76.57607555086399</v>
      </c>
      <c r="G107">
        <v>81.217100000000002</v>
      </c>
      <c r="H107">
        <v>77.085999999999999</v>
      </c>
      <c r="I107" s="147">
        <v>84.59649502432238</v>
      </c>
      <c r="J107" s="112"/>
      <c r="K107" s="112"/>
      <c r="L107" s="126"/>
      <c r="M107" s="112"/>
      <c r="N107" s="126"/>
      <c r="O107" s="147"/>
      <c r="P107" s="147"/>
      <c r="Q107" s="147"/>
      <c r="R107" s="112"/>
      <c r="S107" s="112"/>
      <c r="T107" s="112"/>
      <c r="U107" s="146"/>
      <c r="V107" s="113"/>
      <c r="W107" s="113"/>
      <c r="X107" s="126"/>
      <c r="Y107" s="126"/>
    </row>
    <row r="108" spans="1:25" ht="14.7" customHeight="1">
      <c r="A108" s="131" t="s">
        <v>61</v>
      </c>
      <c r="B108" s="131"/>
      <c r="C108">
        <v>87.66298718506232</v>
      </c>
      <c r="D108">
        <v>88.659692969853324</v>
      </c>
      <c r="E108">
        <v>90.85611291109322</v>
      </c>
      <c r="F108">
        <v>78.27034519309808</v>
      </c>
      <c r="G108">
        <v>84.043999999999997</v>
      </c>
      <c r="H108">
        <v>81.279800000000009</v>
      </c>
      <c r="I108" s="147">
        <v>83.542192231378465</v>
      </c>
      <c r="J108" s="112"/>
      <c r="K108" s="112"/>
      <c r="L108" s="126"/>
      <c r="M108" s="112"/>
      <c r="N108" s="126"/>
      <c r="O108" s="147"/>
      <c r="P108" s="147"/>
      <c r="Q108" s="147"/>
      <c r="R108" s="112"/>
      <c r="S108" s="112"/>
      <c r="T108" s="112"/>
      <c r="U108" s="146"/>
      <c r="V108" s="113"/>
      <c r="W108" s="113"/>
      <c r="X108" s="126"/>
      <c r="Y108" s="126"/>
    </row>
    <row r="109" spans="1:25" ht="14.7" customHeight="1">
      <c r="A109" s="131" t="s">
        <v>62</v>
      </c>
      <c r="B109" s="131"/>
      <c r="C109">
        <v>89.083828990943772</v>
      </c>
      <c r="D109">
        <v>88.246693065970177</v>
      </c>
      <c r="E109">
        <v>90.53088946705968</v>
      </c>
      <c r="F109">
        <v>82.245787482835368</v>
      </c>
      <c r="G109">
        <v>79.439800000000005</v>
      </c>
      <c r="H109">
        <v>85.174199999999999</v>
      </c>
      <c r="I109" s="147">
        <v>85.470285287194898</v>
      </c>
      <c r="J109" s="112"/>
      <c r="K109" s="112"/>
      <c r="L109" s="126"/>
      <c r="M109" s="112"/>
      <c r="N109" s="126"/>
      <c r="O109" s="147"/>
      <c r="P109" s="147"/>
      <c r="Q109" s="147"/>
      <c r="R109" s="112"/>
      <c r="S109" s="112"/>
      <c r="T109" s="112"/>
      <c r="U109" s="146"/>
      <c r="V109" s="113"/>
      <c r="W109" s="113"/>
      <c r="X109" s="126"/>
      <c r="Y109" s="126"/>
    </row>
    <row r="110" spans="1:25" ht="14.7" customHeight="1">
      <c r="A110" s="131" t="s">
        <v>63</v>
      </c>
      <c r="B110" s="131"/>
      <c r="C110">
        <v>89.538082716449424</v>
      </c>
      <c r="D110">
        <v>90.641237239440073</v>
      </c>
      <c r="E110">
        <v>92.698964145968844</v>
      </c>
      <c r="F110">
        <v>84.708232694399797</v>
      </c>
      <c r="G110">
        <v>85.233899999999991</v>
      </c>
      <c r="H110">
        <v>86.105400000000003</v>
      </c>
      <c r="I110" s="147">
        <v>88.850306199577062</v>
      </c>
      <c r="J110" s="112"/>
      <c r="K110" s="112"/>
      <c r="L110" s="126"/>
      <c r="M110" s="112"/>
      <c r="N110" s="126"/>
      <c r="O110" s="147"/>
      <c r="P110" s="147"/>
      <c r="Q110" s="147"/>
      <c r="R110" s="112"/>
      <c r="S110" s="112"/>
      <c r="T110" s="112"/>
      <c r="U110" s="146"/>
      <c r="V110" s="113"/>
      <c r="W110" s="113"/>
      <c r="X110" s="126"/>
      <c r="Y110" s="126"/>
    </row>
    <row r="111" spans="1:25" ht="14.7" customHeight="1">
      <c r="A111" s="131" t="s">
        <v>203</v>
      </c>
      <c r="B111" s="131"/>
      <c r="C111">
        <v>81.902591953851896</v>
      </c>
      <c r="D111">
        <v>86.745089152357309</v>
      </c>
      <c r="E111">
        <v>86.390437529251201</v>
      </c>
      <c r="F111">
        <v>76.509606202466955</v>
      </c>
      <c r="G111">
        <v>76.380600000000001</v>
      </c>
      <c r="H111">
        <v>71.366900000000001</v>
      </c>
      <c r="I111" s="147">
        <v>79.600137046892854</v>
      </c>
      <c r="J111" s="112"/>
      <c r="K111" s="112"/>
      <c r="L111" s="126"/>
      <c r="M111" s="112"/>
      <c r="N111" s="126"/>
      <c r="O111" s="147"/>
      <c r="P111" s="147"/>
      <c r="Q111" s="147"/>
      <c r="R111" s="112"/>
      <c r="S111" s="112"/>
      <c r="T111" s="112"/>
      <c r="U111" s="146"/>
      <c r="V111" s="113"/>
      <c r="W111" s="113"/>
      <c r="X111" s="126"/>
      <c r="Y111" s="126"/>
    </row>
    <row r="112" spans="1:25" ht="14.7" customHeight="1">
      <c r="A112" s="131" t="s">
        <v>64</v>
      </c>
      <c r="B112" s="131"/>
      <c r="C112">
        <v>86.503818982575538</v>
      </c>
      <c r="D112">
        <v>87.331221870311722</v>
      </c>
      <c r="E112">
        <v>87.36665599849205</v>
      </c>
      <c r="F112">
        <v>80.176858943697212</v>
      </c>
      <c r="G112">
        <v>84.035000000000011</v>
      </c>
      <c r="H112">
        <v>81.782699999999991</v>
      </c>
      <c r="I112" s="147">
        <v>82.61342625664426</v>
      </c>
      <c r="J112" s="112"/>
      <c r="K112" s="112"/>
      <c r="L112" s="126"/>
      <c r="M112" s="112"/>
      <c r="N112" s="126"/>
      <c r="O112" s="147"/>
      <c r="P112" s="147"/>
      <c r="Q112" s="147"/>
      <c r="R112" s="112"/>
      <c r="S112" s="112"/>
      <c r="T112" s="112"/>
      <c r="U112" s="146"/>
      <c r="V112" s="113"/>
      <c r="W112" s="113"/>
      <c r="X112" s="126"/>
      <c r="Y112" s="126"/>
    </row>
    <row r="113" spans="1:25" ht="14.7" customHeight="1">
      <c r="A113" s="131" t="s">
        <v>343</v>
      </c>
      <c r="B113" s="131"/>
      <c r="C113">
        <v>87.667887199623692</v>
      </c>
      <c r="D113">
        <v>87.928410806148548</v>
      </c>
      <c r="E113">
        <v>90.910058349429946</v>
      </c>
      <c r="F113">
        <v>87.941240439189727</v>
      </c>
      <c r="G113">
        <v>88.28</v>
      </c>
      <c r="H113">
        <v>88.646999999999991</v>
      </c>
      <c r="I113" s="147">
        <v>86.93318830237007</v>
      </c>
      <c r="J113" s="112"/>
      <c r="K113" s="112"/>
      <c r="L113" s="126"/>
      <c r="M113" s="112"/>
      <c r="N113" s="126"/>
      <c r="O113" s="147"/>
      <c r="P113" s="147"/>
      <c r="Q113" s="147"/>
      <c r="R113" s="112"/>
      <c r="S113" s="112"/>
      <c r="T113" s="112"/>
      <c r="U113" s="146"/>
      <c r="V113" s="113"/>
      <c r="W113" s="113"/>
      <c r="X113" s="126"/>
      <c r="Y113" s="126"/>
    </row>
    <row r="114" spans="1:25" ht="14.7" customHeight="1">
      <c r="A114" s="131" t="s">
        <v>65</v>
      </c>
      <c r="B114" s="131"/>
      <c r="C114">
        <v>87.193654885570098</v>
      </c>
      <c r="D114">
        <v>87.869929609301963</v>
      </c>
      <c r="E114">
        <v>85.114167747462616</v>
      </c>
      <c r="F114">
        <v>79.579505763707729</v>
      </c>
      <c r="G114">
        <v>83.747500000000002</v>
      </c>
      <c r="H114">
        <v>80.630900000000011</v>
      </c>
      <c r="I114" s="147">
        <v>78.473297784856797</v>
      </c>
      <c r="J114" s="112"/>
      <c r="K114" s="112"/>
      <c r="L114" s="126"/>
      <c r="M114" s="112"/>
      <c r="N114" s="126"/>
      <c r="O114" s="147"/>
      <c r="P114" s="147"/>
      <c r="Q114" s="147"/>
      <c r="R114" s="112"/>
      <c r="S114" s="112"/>
      <c r="T114" s="112"/>
      <c r="U114" s="146"/>
      <c r="V114" s="113"/>
      <c r="W114" s="113"/>
      <c r="X114" s="126"/>
      <c r="Y114" s="126"/>
    </row>
    <row r="115" spans="1:25" ht="14.7" customHeight="1">
      <c r="A115" s="131" t="s">
        <v>311</v>
      </c>
      <c r="B115" s="131"/>
      <c r="C115">
        <v>86.056706591199912</v>
      </c>
      <c r="D115">
        <v>85.931353574084909</v>
      </c>
      <c r="E115">
        <v>86.239988777016507</v>
      </c>
      <c r="F115">
        <v>78.329324756290575</v>
      </c>
      <c r="G115">
        <v>80.428200000000004</v>
      </c>
      <c r="H115">
        <v>79.573899999999995</v>
      </c>
      <c r="I115" s="147">
        <v>82.703378459238934</v>
      </c>
      <c r="J115" s="112"/>
      <c r="K115" s="112"/>
      <c r="L115" s="126"/>
      <c r="M115" s="112"/>
      <c r="N115" s="126"/>
      <c r="O115" s="147"/>
      <c r="P115" s="147"/>
      <c r="Q115" s="147"/>
      <c r="R115" s="112"/>
      <c r="S115" s="112"/>
      <c r="T115" s="112"/>
      <c r="U115" s="146"/>
      <c r="V115" s="113"/>
      <c r="W115" s="113"/>
      <c r="X115" s="126"/>
      <c r="Y115" s="126"/>
    </row>
    <row r="116" spans="1:25" ht="14.7" customHeight="1">
      <c r="A116" s="131" t="s">
        <v>66</v>
      </c>
      <c r="B116" s="131"/>
      <c r="C116">
        <v>93.815054121638696</v>
      </c>
      <c r="D116">
        <v>92.28884975596084</v>
      </c>
      <c r="E116">
        <v>93.552414633563529</v>
      </c>
      <c r="F116">
        <v>84.419890680996573</v>
      </c>
      <c r="G116">
        <v>90.774799999999999</v>
      </c>
      <c r="H116">
        <v>89.515699999999995</v>
      </c>
      <c r="I116" s="147">
        <v>89.804259171588328</v>
      </c>
      <c r="J116" s="112"/>
      <c r="K116" s="112"/>
      <c r="L116" s="126"/>
      <c r="M116" s="112"/>
      <c r="N116" s="126"/>
      <c r="O116" s="147"/>
      <c r="P116" s="147"/>
      <c r="Q116" s="147"/>
      <c r="R116" s="112"/>
      <c r="S116" s="112"/>
      <c r="T116" s="112"/>
      <c r="U116" s="147"/>
      <c r="V116" s="149"/>
      <c r="W116" s="149"/>
      <c r="X116" s="126"/>
      <c r="Y116" s="126"/>
    </row>
    <row r="117" spans="1:25" ht="14.7" customHeight="1">
      <c r="A117" s="131" t="s">
        <v>67</v>
      </c>
      <c r="B117" s="131"/>
      <c r="C117">
        <v>88.022331836488149</v>
      </c>
      <c r="D117">
        <v>89.976924032611862</v>
      </c>
      <c r="E117">
        <v>84.843938950216256</v>
      </c>
      <c r="F117">
        <v>82.258623357016546</v>
      </c>
      <c r="G117">
        <v>85.799300000000002</v>
      </c>
      <c r="H117">
        <v>82.490600000000001</v>
      </c>
      <c r="I117" s="147">
        <v>83.875838794352973</v>
      </c>
      <c r="J117" s="112"/>
      <c r="K117" s="112"/>
      <c r="L117" s="126"/>
      <c r="M117" s="112"/>
      <c r="N117" s="126"/>
      <c r="O117" s="147"/>
      <c r="P117" s="147"/>
      <c r="Q117" s="147"/>
      <c r="R117" s="112"/>
      <c r="S117" s="112"/>
      <c r="T117" s="112"/>
      <c r="U117" s="146"/>
      <c r="V117" s="113"/>
      <c r="W117" s="113"/>
      <c r="X117" s="126"/>
      <c r="Y117" s="126"/>
    </row>
    <row r="118" spans="1:25" ht="14.7" customHeight="1">
      <c r="A118" s="131" t="s">
        <v>68</v>
      </c>
      <c r="B118" s="131"/>
      <c r="C118">
        <v>81.097433583901804</v>
      </c>
      <c r="D118">
        <v>84.489082189891192</v>
      </c>
      <c r="E118">
        <v>81.123659596098733</v>
      </c>
      <c r="F118">
        <v>73.670829817266366</v>
      </c>
      <c r="G118">
        <v>73.389300000000006</v>
      </c>
      <c r="H118">
        <v>71.629500000000007</v>
      </c>
      <c r="I118" s="147">
        <v>76.132935045242377</v>
      </c>
      <c r="J118" s="112"/>
      <c r="K118" s="112"/>
      <c r="L118" s="126"/>
      <c r="M118" s="112"/>
      <c r="N118" s="126"/>
      <c r="O118" s="147"/>
      <c r="P118" s="147"/>
      <c r="Q118" s="147"/>
      <c r="R118" s="112"/>
      <c r="S118" s="112"/>
      <c r="T118" s="112"/>
      <c r="U118" s="146"/>
      <c r="V118" s="113"/>
      <c r="W118" s="113"/>
      <c r="X118" s="126"/>
      <c r="Y118" s="126"/>
    </row>
    <row r="119" spans="1:25" ht="14.7" customHeight="1">
      <c r="A119" s="131" t="s">
        <v>897</v>
      </c>
      <c r="B119" s="131"/>
      <c r="C119">
        <v>87.549451245637101</v>
      </c>
      <c r="D119">
        <v>84.827590433812631</v>
      </c>
      <c r="E119">
        <v>85.032564283128224</v>
      </c>
      <c r="F119">
        <v>79.549167530070548</v>
      </c>
      <c r="G119">
        <v>84.248000000000005</v>
      </c>
      <c r="H119">
        <v>84.1999</v>
      </c>
      <c r="I119" s="147">
        <v>78.87145783625418</v>
      </c>
      <c r="J119" s="112"/>
      <c r="K119" s="112"/>
      <c r="L119" s="126"/>
      <c r="M119" s="112"/>
      <c r="N119" s="126"/>
      <c r="O119" s="147"/>
      <c r="P119" s="147"/>
      <c r="Q119" s="147"/>
      <c r="R119" s="112"/>
      <c r="S119" s="112"/>
      <c r="T119" s="112"/>
      <c r="U119" s="146"/>
      <c r="V119" s="113"/>
      <c r="W119" s="113"/>
      <c r="X119" s="126"/>
      <c r="Y119" s="126"/>
    </row>
    <row r="120" spans="1:25" ht="14.7" customHeight="1">
      <c r="A120" s="131" t="s">
        <v>69</v>
      </c>
      <c r="B120" s="131"/>
      <c r="C120">
        <v>87.657510419566989</v>
      </c>
      <c r="D120">
        <v>87.837727298754203</v>
      </c>
      <c r="E120">
        <v>84.77607156846841</v>
      </c>
      <c r="F120">
        <v>76.134285699679566</v>
      </c>
      <c r="G120">
        <v>76.967699999999994</v>
      </c>
      <c r="H120">
        <v>77.155500000000004</v>
      </c>
      <c r="I120" s="146" t="s">
        <v>908</v>
      </c>
      <c r="J120" s="144"/>
      <c r="K120" s="144"/>
      <c r="L120" s="126"/>
      <c r="M120" s="144"/>
      <c r="N120" s="126"/>
      <c r="O120" s="146"/>
      <c r="P120" s="146"/>
      <c r="Q120" s="146"/>
      <c r="R120" s="144"/>
      <c r="S120" s="144"/>
      <c r="T120" s="144"/>
      <c r="U120" s="146"/>
      <c r="V120" s="113"/>
      <c r="W120" s="113"/>
      <c r="X120" s="126"/>
      <c r="Y120" s="126"/>
    </row>
    <row r="121" spans="1:25" ht="14.7" customHeight="1">
      <c r="A121" s="131" t="s">
        <v>70</v>
      </c>
      <c r="B121" s="131"/>
      <c r="C121">
        <v>83.09527093549147</v>
      </c>
      <c r="D121">
        <v>88.346547162945129</v>
      </c>
      <c r="E121">
        <v>89.080264265124512</v>
      </c>
      <c r="F121">
        <v>74.222977046422017</v>
      </c>
      <c r="G121">
        <v>77.488100000000003</v>
      </c>
      <c r="H121">
        <v>82.918400000000005</v>
      </c>
      <c r="I121" s="147">
        <v>78.360742506828757</v>
      </c>
      <c r="J121" s="112"/>
      <c r="K121" s="112"/>
      <c r="L121" s="126"/>
      <c r="M121" s="112"/>
      <c r="N121" s="126"/>
      <c r="O121" s="147"/>
      <c r="P121" s="147"/>
      <c r="Q121" s="147"/>
      <c r="R121" s="112"/>
      <c r="S121" s="112"/>
      <c r="T121" s="112"/>
      <c r="U121" s="146"/>
      <c r="V121" s="113"/>
      <c r="W121" s="113"/>
      <c r="X121" s="126"/>
      <c r="Y121" s="126"/>
    </row>
    <row r="122" spans="1:25" ht="14.7" customHeight="1">
      <c r="A122" s="131" t="s">
        <v>71</v>
      </c>
      <c r="B122" s="131"/>
      <c r="C122">
        <v>86.295383923407343</v>
      </c>
      <c r="D122">
        <v>88.261247029019543</v>
      </c>
      <c r="E122">
        <v>86.506639731439947</v>
      </c>
      <c r="F122">
        <v>81.552729253454842</v>
      </c>
      <c r="G122">
        <v>78.842299999999994</v>
      </c>
      <c r="H122">
        <v>82.314800000000005</v>
      </c>
      <c r="I122" s="147">
        <v>80.353941162409996</v>
      </c>
      <c r="J122" s="112"/>
      <c r="K122" s="112"/>
      <c r="L122" s="126"/>
      <c r="M122" s="112"/>
      <c r="N122" s="126"/>
      <c r="O122" s="147"/>
      <c r="P122" s="147"/>
      <c r="Q122" s="147"/>
      <c r="R122" s="112"/>
      <c r="S122" s="112"/>
      <c r="T122" s="112"/>
      <c r="U122" s="146"/>
      <c r="V122" s="113"/>
      <c r="W122" s="113"/>
      <c r="X122" s="126"/>
      <c r="Y122" s="126"/>
    </row>
    <row r="123" spans="1:25" ht="14.7" customHeight="1">
      <c r="A123" s="131" t="s">
        <v>231</v>
      </c>
      <c r="B123" s="131"/>
      <c r="C123">
        <v>84.4649029620455</v>
      </c>
      <c r="D123">
        <v>86.619320425508647</v>
      </c>
      <c r="E123">
        <v>86.010037517730922</v>
      </c>
      <c r="F123">
        <v>76.660937814428763</v>
      </c>
      <c r="G123">
        <v>77.802099999999996</v>
      </c>
      <c r="H123">
        <v>83.280699999999996</v>
      </c>
      <c r="I123" s="147">
        <v>75.050977808893194</v>
      </c>
      <c r="J123" s="112"/>
      <c r="K123" s="112"/>
      <c r="L123" s="126"/>
      <c r="M123" s="112"/>
      <c r="N123" s="126"/>
      <c r="O123" s="147"/>
      <c r="P123" s="147"/>
      <c r="Q123" s="147"/>
      <c r="R123" s="112"/>
      <c r="S123" s="112"/>
      <c r="T123" s="112"/>
      <c r="U123" s="146"/>
      <c r="V123" s="113"/>
      <c r="W123" s="113"/>
      <c r="X123" s="126"/>
      <c r="Y123" s="126"/>
    </row>
    <row r="124" spans="1:25" ht="14.7" customHeight="1">
      <c r="A124" s="131" t="s">
        <v>72</v>
      </c>
      <c r="B124" s="131"/>
      <c r="C124">
        <v>86.390032292597311</v>
      </c>
      <c r="D124">
        <v>88.521564841181572</v>
      </c>
      <c r="E124">
        <v>90.415028986687375</v>
      </c>
      <c r="F124">
        <v>77.244413613477974</v>
      </c>
      <c r="G124">
        <v>79.713800000000006</v>
      </c>
      <c r="H124">
        <v>80.367500000000007</v>
      </c>
      <c r="I124" s="147">
        <v>83.532113859185614</v>
      </c>
      <c r="J124" s="112"/>
      <c r="K124" s="112"/>
      <c r="L124" s="126"/>
      <c r="M124" s="112"/>
      <c r="N124" s="126"/>
      <c r="O124" s="147"/>
      <c r="P124" s="147"/>
      <c r="Q124" s="147"/>
      <c r="R124" s="112"/>
      <c r="S124" s="112"/>
      <c r="T124" s="112"/>
      <c r="U124" s="146"/>
      <c r="V124" s="113"/>
      <c r="W124" s="113"/>
      <c r="X124" s="126"/>
      <c r="Y124" s="126"/>
    </row>
    <row r="125" spans="1:25" ht="14.7" customHeight="1">
      <c r="A125" s="131" t="s">
        <v>73</v>
      </c>
      <c r="B125" s="131"/>
      <c r="C125">
        <v>83.605441286987201</v>
      </c>
      <c r="D125">
        <v>87.287608998917719</v>
      </c>
      <c r="E125">
        <v>84.968688845401175</v>
      </c>
      <c r="F125">
        <v>74.576244817705444</v>
      </c>
      <c r="G125">
        <v>81.699299999999994</v>
      </c>
      <c r="H125">
        <v>78.753700000000009</v>
      </c>
      <c r="I125" s="147">
        <v>81.854505504974455</v>
      </c>
      <c r="J125" s="112"/>
      <c r="K125" s="112"/>
      <c r="L125" s="126"/>
      <c r="M125" s="112"/>
      <c r="N125" s="126"/>
      <c r="O125" s="147"/>
      <c r="P125" s="147"/>
      <c r="Q125" s="147"/>
      <c r="R125" s="112"/>
      <c r="S125" s="112"/>
      <c r="T125" s="112"/>
      <c r="U125" s="146"/>
      <c r="V125" s="113"/>
      <c r="W125" s="113"/>
      <c r="X125" s="126"/>
      <c r="Y125" s="126"/>
    </row>
    <row r="126" spans="1:25" ht="14.7" customHeight="1">
      <c r="A126" s="131" t="s">
        <v>312</v>
      </c>
      <c r="B126" s="131"/>
      <c r="C126">
        <v>86.424611732053194</v>
      </c>
      <c r="D126">
        <v>89.345090608590326</v>
      </c>
      <c r="E126">
        <v>89.266774002760087</v>
      </c>
      <c r="F126">
        <v>80.590561554301615</v>
      </c>
      <c r="G126">
        <v>82.096699999999998</v>
      </c>
      <c r="H126">
        <v>82.875900000000001</v>
      </c>
      <c r="I126" s="147">
        <v>84.086361451106427</v>
      </c>
      <c r="J126" s="112"/>
      <c r="K126" s="112"/>
      <c r="L126" s="126"/>
      <c r="M126" s="112"/>
      <c r="N126" s="126"/>
      <c r="O126" s="147"/>
      <c r="P126" s="147"/>
      <c r="Q126" s="147"/>
      <c r="R126" s="112"/>
      <c r="S126" s="112"/>
      <c r="T126" s="112"/>
      <c r="U126" s="146"/>
      <c r="V126" s="113"/>
      <c r="W126" s="113"/>
      <c r="X126" s="126"/>
      <c r="Y126" s="126"/>
    </row>
    <row r="127" spans="1:25" ht="14.7" customHeight="1">
      <c r="A127" s="131" t="s">
        <v>74</v>
      </c>
      <c r="B127" s="131"/>
      <c r="C127">
        <v>85.363807199196515</v>
      </c>
      <c r="D127">
        <v>81.947219549898449</v>
      </c>
      <c r="E127">
        <v>87.6980051035966</v>
      </c>
      <c r="F127">
        <v>82.779131645864197</v>
      </c>
      <c r="G127">
        <v>84.5274</v>
      </c>
      <c r="H127">
        <v>83.033999999999992</v>
      </c>
      <c r="I127" s="147">
        <v>76.413114292483286</v>
      </c>
      <c r="J127" s="112"/>
      <c r="K127" s="112"/>
      <c r="L127" s="126"/>
      <c r="M127" s="112"/>
      <c r="N127" s="126"/>
      <c r="O127" s="147"/>
      <c r="P127" s="147"/>
      <c r="Q127" s="147"/>
      <c r="R127" s="112"/>
      <c r="S127" s="112"/>
      <c r="T127" s="112"/>
      <c r="U127" s="146"/>
      <c r="V127" s="113"/>
      <c r="W127" s="113"/>
      <c r="X127" s="126"/>
      <c r="Y127" s="126"/>
    </row>
    <row r="128" spans="1:25" ht="14.7" customHeight="1">
      <c r="A128" s="131" t="s">
        <v>75</v>
      </c>
      <c r="B128" s="131"/>
      <c r="C128">
        <v>86.520707636987098</v>
      </c>
      <c r="D128">
        <v>83.433842223559608</v>
      </c>
      <c r="E128">
        <v>85.003211368042784</v>
      </c>
      <c r="F128">
        <v>78.802929676231457</v>
      </c>
      <c r="G128">
        <v>77.755200000000002</v>
      </c>
      <c r="H128">
        <v>74.416000000000011</v>
      </c>
      <c r="I128" s="147">
        <v>76.535403940595032</v>
      </c>
      <c r="J128" s="112"/>
      <c r="K128" s="112"/>
      <c r="L128" s="126"/>
      <c r="M128" s="112"/>
      <c r="N128" s="126"/>
      <c r="O128" s="147"/>
      <c r="P128" s="147"/>
      <c r="Q128" s="147"/>
      <c r="R128" s="112"/>
      <c r="S128" s="112"/>
      <c r="T128" s="112"/>
      <c r="U128" s="147"/>
      <c r="V128" s="149"/>
      <c r="W128" s="149"/>
      <c r="X128" s="126"/>
      <c r="Y128" s="126"/>
    </row>
    <row r="129" spans="1:25" ht="14.7" customHeight="1">
      <c r="A129" s="131" t="s">
        <v>76</v>
      </c>
      <c r="B129" s="131"/>
      <c r="C129">
        <v>83.861197100623897</v>
      </c>
      <c r="D129">
        <v>85.670617796919842</v>
      </c>
      <c r="E129">
        <v>83.334868687192341</v>
      </c>
      <c r="F129">
        <v>74.331108297379487</v>
      </c>
      <c r="G129">
        <v>75.349100000000007</v>
      </c>
      <c r="H129">
        <v>78.693700000000007</v>
      </c>
      <c r="I129" s="147">
        <v>78.006482947598514</v>
      </c>
      <c r="J129" s="112"/>
      <c r="K129" s="112"/>
      <c r="L129" s="126"/>
      <c r="M129" s="112"/>
      <c r="N129" s="126"/>
      <c r="O129" s="147"/>
      <c r="P129" s="147"/>
      <c r="Q129" s="147"/>
      <c r="R129" s="112"/>
      <c r="S129" s="112"/>
      <c r="T129" s="112"/>
      <c r="U129" s="146"/>
      <c r="V129" s="113"/>
      <c r="W129" s="113"/>
      <c r="X129" s="126"/>
      <c r="Y129" s="126"/>
    </row>
    <row r="130" spans="1:25" ht="14.7" customHeight="1">
      <c r="A130" s="131" t="s">
        <v>204</v>
      </c>
      <c r="B130" s="131"/>
      <c r="C130">
        <v>87.452326210784435</v>
      </c>
      <c r="D130">
        <v>90.420644919675084</v>
      </c>
      <c r="E130">
        <v>86.723053559089109</v>
      </c>
      <c r="F130">
        <v>80.06218626006951</v>
      </c>
      <c r="G130">
        <v>79.789299999999997</v>
      </c>
      <c r="H130">
        <v>81.973200000000006</v>
      </c>
      <c r="I130" s="147">
        <v>82.989040271027164</v>
      </c>
      <c r="J130" s="112"/>
      <c r="K130" s="112"/>
      <c r="L130" s="126"/>
      <c r="M130" s="112"/>
      <c r="N130" s="126"/>
      <c r="O130" s="147"/>
      <c r="P130" s="147"/>
      <c r="Q130" s="147"/>
      <c r="R130" s="112"/>
      <c r="S130" s="112"/>
      <c r="T130" s="112"/>
      <c r="U130" s="146"/>
      <c r="V130" s="113"/>
      <c r="W130" s="113"/>
      <c r="X130" s="126"/>
      <c r="Y130" s="126"/>
    </row>
    <row r="131" spans="1:25" ht="14.7" customHeight="1">
      <c r="A131" s="131" t="s">
        <v>77</v>
      </c>
      <c r="B131" s="131"/>
      <c r="C131">
        <v>87.56058114895221</v>
      </c>
      <c r="D131">
        <v>90.974820456534616</v>
      </c>
      <c r="E131">
        <v>93.704087754218264</v>
      </c>
      <c r="F131">
        <v>85.610024338002788</v>
      </c>
      <c r="G131">
        <v>85.381700000000009</v>
      </c>
      <c r="H131">
        <v>84.928100000000001</v>
      </c>
      <c r="I131" s="147">
        <v>83.514650079811418</v>
      </c>
      <c r="J131" s="112"/>
      <c r="K131" s="112"/>
      <c r="L131" s="126"/>
      <c r="M131" s="112"/>
      <c r="N131" s="126"/>
      <c r="O131" s="147"/>
      <c r="P131" s="147"/>
      <c r="Q131" s="147"/>
      <c r="R131" s="112"/>
      <c r="S131" s="112"/>
      <c r="T131" s="112"/>
      <c r="U131" s="146"/>
      <c r="V131" s="113"/>
      <c r="W131" s="113"/>
      <c r="X131" s="126"/>
      <c r="Y131" s="126"/>
    </row>
    <row r="132" spans="1:25" ht="14.7" customHeight="1">
      <c r="A132" s="131" t="s">
        <v>205</v>
      </c>
      <c r="B132" s="131"/>
      <c r="C132">
        <v>90.018769500821392</v>
      </c>
      <c r="D132">
        <v>93.290738049095609</v>
      </c>
      <c r="E132">
        <v>93.101699700934077</v>
      </c>
      <c r="F132">
        <v>86.374920340249588</v>
      </c>
      <c r="G132">
        <v>87.424500000000009</v>
      </c>
      <c r="H132">
        <v>85.958399999999997</v>
      </c>
      <c r="I132" s="147">
        <v>83.009652007225228</v>
      </c>
      <c r="J132" s="112"/>
      <c r="K132" s="112"/>
      <c r="L132" s="126"/>
      <c r="M132" s="112"/>
      <c r="N132" s="126"/>
      <c r="O132" s="147"/>
      <c r="P132" s="147"/>
      <c r="Q132" s="147"/>
      <c r="R132" s="112"/>
      <c r="S132" s="112"/>
      <c r="T132" s="112"/>
      <c r="U132" s="146"/>
      <c r="V132" s="113"/>
      <c r="W132" s="113"/>
      <c r="X132" s="126"/>
      <c r="Y132" s="126"/>
    </row>
    <row r="133" spans="1:25" ht="14.7" customHeight="1">
      <c r="A133" s="131" t="s">
        <v>268</v>
      </c>
      <c r="B133" s="131"/>
      <c r="C133">
        <v>80.854425529801134</v>
      </c>
      <c r="D133">
        <v>84.767393490490974</v>
      </c>
      <c r="E133">
        <v>81.762333390344892</v>
      </c>
      <c r="F133">
        <v>79.049940830003933</v>
      </c>
      <c r="G133">
        <v>74.424900000000008</v>
      </c>
      <c r="H133">
        <v>77.382800000000003</v>
      </c>
      <c r="I133" s="147">
        <v>77.184909860063641</v>
      </c>
      <c r="J133" s="112"/>
      <c r="K133" s="112"/>
      <c r="L133" s="126"/>
      <c r="M133" s="112"/>
      <c r="N133" s="126"/>
      <c r="O133" s="147"/>
      <c r="P133" s="147"/>
      <c r="Q133" s="147"/>
      <c r="R133" s="112"/>
      <c r="S133" s="112"/>
      <c r="T133" s="112"/>
      <c r="U133" s="146"/>
      <c r="V133" s="113"/>
      <c r="W133" s="113"/>
      <c r="X133" s="126"/>
      <c r="Y133" s="126"/>
    </row>
    <row r="134" spans="1:25" ht="14.7" customHeight="1">
      <c r="A134" s="131" t="s">
        <v>78</v>
      </c>
      <c r="B134" s="131"/>
      <c r="C134">
        <v>89.150574760138852</v>
      </c>
      <c r="D134">
        <v>89.923652935321769</v>
      </c>
      <c r="E134">
        <v>88.275448748808756</v>
      </c>
      <c r="F134">
        <v>79.16230959762126</v>
      </c>
      <c r="G134">
        <v>82.465400000000002</v>
      </c>
      <c r="H134">
        <v>79.539400000000001</v>
      </c>
      <c r="I134" s="147">
        <v>84.789792468125</v>
      </c>
      <c r="J134" s="112"/>
      <c r="K134" s="112"/>
      <c r="L134" s="126"/>
      <c r="M134" s="112"/>
      <c r="N134" s="126"/>
      <c r="O134" s="147"/>
      <c r="P134" s="147"/>
      <c r="Q134" s="147"/>
      <c r="R134" s="112"/>
      <c r="S134" s="112"/>
      <c r="T134" s="112"/>
      <c r="U134" s="146"/>
      <c r="V134" s="113"/>
      <c r="W134" s="113"/>
      <c r="X134" s="126"/>
      <c r="Y134" s="126"/>
    </row>
    <row r="135" spans="1:25" ht="14.7" customHeight="1">
      <c r="A135" s="131" t="s">
        <v>336</v>
      </c>
      <c r="B135" s="131"/>
      <c r="C135">
        <v>91.685562001939758</v>
      </c>
      <c r="D135">
        <v>94.03292964811024</v>
      </c>
      <c r="E135">
        <v>94.024600081712194</v>
      </c>
      <c r="F135">
        <v>88.289221403410025</v>
      </c>
      <c r="G135">
        <v>83.926599999999993</v>
      </c>
      <c r="H135">
        <v>81.33890000000001</v>
      </c>
      <c r="I135" s="147">
        <v>88.483627349049343</v>
      </c>
      <c r="J135" s="112"/>
      <c r="K135" s="112"/>
      <c r="L135" s="126"/>
      <c r="M135" s="112"/>
      <c r="N135" s="126"/>
      <c r="O135" s="147"/>
      <c r="P135" s="147"/>
      <c r="Q135" s="147"/>
      <c r="R135" s="112"/>
      <c r="S135" s="112"/>
      <c r="T135" s="112"/>
      <c r="U135" s="146"/>
      <c r="V135" s="113"/>
      <c r="W135" s="113"/>
      <c r="X135" s="126"/>
      <c r="Y135" s="126"/>
    </row>
    <row r="136" spans="1:25" ht="14.7" customHeight="1">
      <c r="A136" s="131" t="s">
        <v>313</v>
      </c>
      <c r="B136" s="131"/>
      <c r="C136">
        <v>88.390706209845476</v>
      </c>
      <c r="D136">
        <v>87.717498400937131</v>
      </c>
      <c r="E136">
        <v>88.878242128292257</v>
      </c>
      <c r="F136">
        <v>80.152583396964232</v>
      </c>
      <c r="G136">
        <v>83.796000000000006</v>
      </c>
      <c r="H136">
        <v>82.884500000000003</v>
      </c>
      <c r="I136" s="147">
        <v>83.09730584074228</v>
      </c>
      <c r="J136" s="112"/>
      <c r="K136" s="112"/>
      <c r="L136" s="126"/>
      <c r="M136" s="112"/>
      <c r="N136" s="126"/>
      <c r="O136" s="147"/>
      <c r="P136" s="147"/>
      <c r="Q136" s="147"/>
      <c r="R136" s="112"/>
      <c r="S136" s="112"/>
      <c r="T136" s="112"/>
      <c r="U136" s="146"/>
      <c r="V136" s="113"/>
      <c r="W136" s="113"/>
      <c r="X136" s="126"/>
      <c r="Y136" s="126"/>
    </row>
    <row r="137" spans="1:25" ht="14.7" customHeight="1">
      <c r="A137" s="131" t="s">
        <v>79</v>
      </c>
      <c r="B137" s="131"/>
      <c r="C137">
        <v>86.704333216120688</v>
      </c>
      <c r="D137">
        <v>88.347595642852681</v>
      </c>
      <c r="E137">
        <v>92.486988096832945</v>
      </c>
      <c r="F137">
        <v>82.71370199874849</v>
      </c>
      <c r="G137">
        <v>82.559200000000004</v>
      </c>
      <c r="H137">
        <v>81.879800000000003</v>
      </c>
      <c r="I137" s="147">
        <v>80.733315578469814</v>
      </c>
      <c r="J137" s="112"/>
      <c r="K137" s="112"/>
      <c r="L137" s="126"/>
      <c r="M137" s="112"/>
      <c r="N137" s="126"/>
      <c r="O137" s="147"/>
      <c r="P137" s="147"/>
      <c r="Q137" s="147"/>
      <c r="R137" s="112"/>
      <c r="S137" s="112"/>
      <c r="T137" s="112"/>
      <c r="U137" s="146"/>
      <c r="V137" s="113"/>
      <c r="W137" s="113"/>
      <c r="X137" s="126"/>
      <c r="Y137" s="126"/>
    </row>
    <row r="138" spans="1:25" ht="14.7" customHeight="1">
      <c r="A138" s="131" t="s">
        <v>206</v>
      </c>
      <c r="B138" s="131"/>
      <c r="C138">
        <v>92.689512128490833</v>
      </c>
      <c r="D138">
        <v>92.299239496019396</v>
      </c>
      <c r="E138">
        <v>89.374713949781423</v>
      </c>
      <c r="F138">
        <v>81.945289091538243</v>
      </c>
      <c r="G138">
        <v>84.316400000000002</v>
      </c>
      <c r="H138">
        <v>79.313199999999995</v>
      </c>
      <c r="I138" s="147">
        <v>84.455801628983579</v>
      </c>
      <c r="J138" s="112"/>
      <c r="K138" s="112"/>
      <c r="L138" s="126"/>
      <c r="M138" s="112"/>
      <c r="N138" s="126"/>
      <c r="O138" s="147"/>
      <c r="P138" s="147"/>
      <c r="Q138" s="147"/>
      <c r="R138" s="112"/>
      <c r="S138" s="112"/>
      <c r="T138" s="112"/>
      <c r="U138" s="146"/>
      <c r="V138" s="113"/>
      <c r="W138" s="113"/>
      <c r="X138" s="126"/>
      <c r="Y138" s="126"/>
    </row>
    <row r="139" spans="1:25" ht="14.7" customHeight="1">
      <c r="A139" s="131" t="s">
        <v>80</v>
      </c>
      <c r="B139" s="131"/>
      <c r="C139">
        <v>81.871073189402296</v>
      </c>
      <c r="D139">
        <v>86.538551847911975</v>
      </c>
      <c r="E139">
        <v>84.282512440894308</v>
      </c>
      <c r="F139">
        <v>70.366765391699005</v>
      </c>
      <c r="G139">
        <v>78.438500000000005</v>
      </c>
      <c r="H139">
        <v>77.561300000000003</v>
      </c>
      <c r="I139" s="147">
        <v>73.035481687795397</v>
      </c>
      <c r="J139" s="112"/>
      <c r="K139" s="112"/>
      <c r="L139" s="126"/>
      <c r="M139" s="112"/>
      <c r="N139" s="126"/>
      <c r="O139" s="147"/>
      <c r="P139" s="147"/>
      <c r="Q139" s="147"/>
      <c r="R139" s="112"/>
      <c r="S139" s="112"/>
      <c r="T139" s="112"/>
      <c r="U139" s="146"/>
      <c r="V139" s="113"/>
      <c r="W139" s="113"/>
      <c r="X139" s="126"/>
      <c r="Y139" s="126"/>
    </row>
    <row r="140" spans="1:25" ht="14.7" customHeight="1">
      <c r="A140" s="131" t="s">
        <v>81</v>
      </c>
      <c r="B140" s="131"/>
      <c r="C140">
        <v>86.85247734516895</v>
      </c>
      <c r="D140">
        <v>90.416592788243051</v>
      </c>
      <c r="E140">
        <v>88.925954817895658</v>
      </c>
      <c r="F140">
        <v>82.582548887402439</v>
      </c>
      <c r="G140">
        <v>85.020499999999998</v>
      </c>
      <c r="H140">
        <v>80.537800000000004</v>
      </c>
      <c r="I140" s="147">
        <v>86.368889654737089</v>
      </c>
      <c r="J140" s="112"/>
      <c r="K140" s="112"/>
      <c r="L140" s="126"/>
      <c r="M140" s="112"/>
      <c r="N140" s="126"/>
      <c r="O140" s="147"/>
      <c r="P140" s="147"/>
      <c r="Q140" s="147"/>
      <c r="R140" s="112"/>
      <c r="S140" s="112"/>
      <c r="T140" s="112"/>
      <c r="U140" s="146"/>
      <c r="V140" s="113"/>
      <c r="W140" s="113"/>
      <c r="X140" s="126"/>
      <c r="Y140" s="126"/>
    </row>
    <row r="141" spans="1:25" ht="14.7" customHeight="1">
      <c r="A141" s="131" t="s">
        <v>207</v>
      </c>
      <c r="B141" s="131"/>
      <c r="C141">
        <v>88.309093246614395</v>
      </c>
      <c r="D141">
        <v>85.352787261488643</v>
      </c>
      <c r="E141">
        <v>83.773501649911751</v>
      </c>
      <c r="F141">
        <v>79.235747150389329</v>
      </c>
      <c r="G141">
        <v>76.5779</v>
      </c>
      <c r="H141">
        <v>75.067599999999999</v>
      </c>
      <c r="I141" s="147">
        <v>78.909587787374761</v>
      </c>
      <c r="J141" s="112"/>
      <c r="K141" s="112"/>
      <c r="L141" s="126"/>
      <c r="M141" s="112"/>
      <c r="N141" s="126"/>
      <c r="O141" s="147"/>
      <c r="P141" s="147"/>
      <c r="Q141" s="147"/>
      <c r="R141" s="112"/>
      <c r="S141" s="112"/>
      <c r="T141" s="112"/>
      <c r="U141" s="146"/>
      <c r="V141" s="113"/>
      <c r="W141" s="113"/>
      <c r="X141" s="126"/>
      <c r="Y141" s="126"/>
    </row>
    <row r="142" spans="1:25" ht="14.7" customHeight="1">
      <c r="A142" s="131" t="s">
        <v>82</v>
      </c>
      <c r="B142" s="131"/>
      <c r="C142">
        <v>89.621763784789835</v>
      </c>
      <c r="D142">
        <v>90.526972043575256</v>
      </c>
      <c r="E142">
        <v>88.997341260870527</v>
      </c>
      <c r="F142">
        <v>80.213137406551553</v>
      </c>
      <c r="G142">
        <v>86.028300000000002</v>
      </c>
      <c r="H142">
        <v>82.250500000000002</v>
      </c>
      <c r="I142" s="147">
        <v>83.68457648705197</v>
      </c>
      <c r="J142" s="112"/>
      <c r="K142" s="112"/>
      <c r="L142" s="126"/>
      <c r="M142" s="112"/>
      <c r="N142" s="126"/>
      <c r="O142" s="147"/>
      <c r="P142" s="147"/>
      <c r="Q142" s="147"/>
      <c r="R142" s="112"/>
      <c r="S142" s="112"/>
      <c r="T142" s="112"/>
      <c r="U142" s="146"/>
      <c r="V142" s="113"/>
      <c r="W142" s="113"/>
      <c r="X142" s="126"/>
      <c r="Y142" s="126"/>
    </row>
    <row r="143" spans="1:25" ht="14.7" customHeight="1">
      <c r="A143" s="131" t="s">
        <v>269</v>
      </c>
      <c r="B143" s="131"/>
      <c r="C143">
        <v>82.606795900512083</v>
      </c>
      <c r="D143">
        <v>78.784094203706587</v>
      </c>
      <c r="E143">
        <v>83.16900959230702</v>
      </c>
      <c r="F143">
        <v>76.491470989789974</v>
      </c>
      <c r="G143">
        <v>74.702799999999996</v>
      </c>
      <c r="H143">
        <v>73.953999999999994</v>
      </c>
      <c r="I143" s="147">
        <v>73.311168097946918</v>
      </c>
      <c r="J143" s="112"/>
      <c r="K143" s="112"/>
      <c r="L143" s="126"/>
      <c r="M143" s="112"/>
      <c r="N143" s="126"/>
      <c r="O143" s="147"/>
      <c r="P143" s="147"/>
      <c r="Q143" s="147"/>
      <c r="R143" s="112"/>
      <c r="S143" s="112"/>
      <c r="T143" s="112"/>
      <c r="U143" s="146"/>
      <c r="V143" s="113"/>
      <c r="W143" s="113"/>
      <c r="X143" s="126"/>
      <c r="Y143" s="126"/>
    </row>
    <row r="144" spans="1:25" ht="14.7" customHeight="1">
      <c r="A144" s="131" t="s">
        <v>83</v>
      </c>
      <c r="B144" s="131"/>
      <c r="C144">
        <v>85.992902507012062</v>
      </c>
      <c r="D144">
        <v>87.623153712117514</v>
      </c>
      <c r="E144">
        <v>85.441907869527256</v>
      </c>
      <c r="F144">
        <v>83.357868909961454</v>
      </c>
      <c r="G144">
        <v>79.428899999999999</v>
      </c>
      <c r="H144">
        <v>77.959599999999995</v>
      </c>
      <c r="I144" s="147">
        <v>80.295471478328167</v>
      </c>
      <c r="J144" s="112"/>
      <c r="K144" s="112"/>
      <c r="L144" s="126"/>
      <c r="M144" s="112"/>
      <c r="N144" s="126"/>
      <c r="O144" s="147"/>
      <c r="P144" s="147"/>
      <c r="Q144" s="147"/>
      <c r="R144" s="112"/>
      <c r="S144" s="112"/>
      <c r="T144" s="112"/>
      <c r="U144" s="146"/>
      <c r="V144" s="113"/>
      <c r="W144" s="113"/>
      <c r="X144" s="126"/>
      <c r="Y144" s="126"/>
    </row>
    <row r="145" spans="1:25" ht="14.7" customHeight="1">
      <c r="A145" s="131" t="s">
        <v>84</v>
      </c>
      <c r="B145" s="131"/>
      <c r="C145">
        <v>84.884030270773223</v>
      </c>
      <c r="D145">
        <v>84.066087587876453</v>
      </c>
      <c r="E145">
        <v>84.010350748494545</v>
      </c>
      <c r="F145">
        <v>78.952853710691954</v>
      </c>
      <c r="G145">
        <v>82.732700000000008</v>
      </c>
      <c r="H145">
        <v>79.103500000000011</v>
      </c>
      <c r="I145" s="147">
        <v>83.64737913261456</v>
      </c>
      <c r="J145" s="112"/>
      <c r="K145" s="112"/>
      <c r="L145" s="126"/>
      <c r="M145" s="112"/>
      <c r="N145" s="126"/>
      <c r="O145" s="147"/>
      <c r="P145" s="147"/>
      <c r="Q145" s="147"/>
      <c r="R145" s="112"/>
      <c r="S145" s="112"/>
      <c r="T145" s="112"/>
      <c r="U145" s="146"/>
      <c r="V145" s="113"/>
      <c r="W145" s="113"/>
      <c r="X145" s="126"/>
      <c r="Y145" s="126"/>
    </row>
    <row r="146" spans="1:25" ht="14.7" customHeight="1">
      <c r="A146" s="131" t="s">
        <v>208</v>
      </c>
      <c r="B146" s="131"/>
      <c r="C146">
        <v>86.05795920580168</v>
      </c>
      <c r="D146">
        <v>88.991309306241845</v>
      </c>
      <c r="E146">
        <v>87.894491919790184</v>
      </c>
      <c r="F146">
        <v>80.037818444474084</v>
      </c>
      <c r="G146">
        <v>76.5017</v>
      </c>
      <c r="H146">
        <v>79.103700000000003</v>
      </c>
      <c r="I146" s="147">
        <v>82.356060430728292</v>
      </c>
      <c r="J146" s="112"/>
      <c r="K146" s="112"/>
      <c r="L146" s="126"/>
      <c r="M146" s="112"/>
      <c r="N146" s="126"/>
      <c r="O146" s="147"/>
      <c r="P146" s="147"/>
      <c r="Q146" s="147"/>
      <c r="R146" s="112"/>
      <c r="S146" s="112"/>
      <c r="T146" s="112"/>
      <c r="U146" s="146"/>
      <c r="V146" s="113"/>
      <c r="W146" s="113"/>
      <c r="X146" s="126"/>
      <c r="Y146" s="126"/>
    </row>
    <row r="147" spans="1:25" ht="14.7" customHeight="1">
      <c r="A147" s="131" t="s">
        <v>816</v>
      </c>
      <c r="B147" s="131"/>
      <c r="C147">
        <v>87.902155568477667</v>
      </c>
      <c r="D147">
        <v>88.922296898950592</v>
      </c>
      <c r="E147">
        <v>87.308208911642765</v>
      </c>
      <c r="F147">
        <v>78.187334849342136</v>
      </c>
      <c r="G147">
        <v>80.814099999999996</v>
      </c>
      <c r="H147">
        <v>76.078599999999994</v>
      </c>
      <c r="I147" s="147">
        <v>79.906297385362919</v>
      </c>
      <c r="J147" s="112"/>
      <c r="K147" s="112"/>
      <c r="L147" s="126"/>
      <c r="M147" s="112"/>
      <c r="N147" s="126"/>
      <c r="O147" s="147"/>
      <c r="P147" s="147"/>
      <c r="Q147" s="147"/>
      <c r="R147" s="112"/>
      <c r="S147" s="112"/>
      <c r="T147" s="112"/>
      <c r="U147" s="146"/>
      <c r="V147" s="113"/>
      <c r="W147" s="113"/>
      <c r="X147" s="126"/>
      <c r="Y147" s="126"/>
    </row>
    <row r="148" spans="1:25" ht="14.7" customHeight="1">
      <c r="A148" s="131" t="s">
        <v>314</v>
      </c>
      <c r="B148" s="131"/>
      <c r="C148">
        <v>87.860318668783705</v>
      </c>
      <c r="D148">
        <v>89.386162822103572</v>
      </c>
      <c r="E148">
        <v>88.142296752086935</v>
      </c>
      <c r="F148">
        <v>80.892542753534812</v>
      </c>
      <c r="G148">
        <v>81.533500000000004</v>
      </c>
      <c r="H148">
        <v>81.723799999999997</v>
      </c>
      <c r="I148" s="147">
        <v>84.546740883384402</v>
      </c>
      <c r="J148" s="112"/>
      <c r="K148" s="112"/>
      <c r="L148" s="126"/>
      <c r="M148" s="112"/>
      <c r="N148" s="126"/>
      <c r="O148" s="147"/>
      <c r="P148" s="147"/>
      <c r="Q148" s="147"/>
      <c r="R148" s="112"/>
      <c r="S148" s="112"/>
      <c r="T148" s="112"/>
      <c r="U148" s="147"/>
      <c r="V148" s="149"/>
      <c r="W148" s="149"/>
      <c r="X148" s="126"/>
      <c r="Y148" s="126"/>
    </row>
    <row r="149" spans="1:25" ht="14.7" customHeight="1">
      <c r="A149" s="131" t="s">
        <v>85</v>
      </c>
      <c r="B149" s="131"/>
      <c r="C149">
        <v>88.283972268874862</v>
      </c>
      <c r="D149">
        <v>88.732873988854209</v>
      </c>
      <c r="E149">
        <v>87.921149504367179</v>
      </c>
      <c r="F149">
        <v>80.462527278763076</v>
      </c>
      <c r="G149">
        <v>76.293700000000001</v>
      </c>
      <c r="H149">
        <v>79.798199999999994</v>
      </c>
      <c r="I149" s="147">
        <v>86.767004660693942</v>
      </c>
      <c r="J149" s="112"/>
      <c r="K149" s="112"/>
      <c r="L149" s="126"/>
      <c r="M149" s="112"/>
      <c r="N149" s="126"/>
      <c r="O149" s="147"/>
      <c r="P149" s="147"/>
      <c r="Q149" s="147"/>
      <c r="R149" s="112"/>
      <c r="S149" s="112"/>
      <c r="T149" s="112"/>
      <c r="U149" s="147"/>
      <c r="V149" s="149"/>
      <c r="W149" s="149"/>
      <c r="X149" s="126"/>
      <c r="Y149" s="126"/>
    </row>
    <row r="150" spans="1:25" ht="14.7" customHeight="1">
      <c r="A150" s="131" t="s">
        <v>86</v>
      </c>
      <c r="B150" s="131"/>
      <c r="C150">
        <v>89.648634424476171</v>
      </c>
      <c r="D150">
        <v>87.105387758917445</v>
      </c>
      <c r="E150">
        <v>89.964182737875518</v>
      </c>
      <c r="F150">
        <v>80.516668712685373</v>
      </c>
      <c r="G150">
        <v>85.575999999999993</v>
      </c>
      <c r="H150">
        <v>80.783600000000007</v>
      </c>
      <c r="I150" s="147">
        <v>86.790958981324778</v>
      </c>
      <c r="J150" s="112"/>
      <c r="K150" s="112"/>
      <c r="L150" s="126"/>
      <c r="M150" s="112"/>
      <c r="N150" s="126"/>
      <c r="O150" s="147"/>
      <c r="P150" s="147"/>
      <c r="Q150" s="147"/>
      <c r="R150" s="112"/>
      <c r="S150" s="112"/>
      <c r="T150" s="112"/>
      <c r="U150" s="146"/>
      <c r="V150" s="113"/>
      <c r="W150" s="113"/>
      <c r="X150" s="126"/>
      <c r="Y150" s="126"/>
    </row>
    <row r="151" spans="1:25" ht="14.7" customHeight="1">
      <c r="A151" s="131" t="s">
        <v>209</v>
      </c>
      <c r="B151" s="131"/>
      <c r="C151">
        <v>87.508403422115194</v>
      </c>
      <c r="D151">
        <v>86.302543776027306</v>
      </c>
      <c r="E151">
        <v>87.789332503609089</v>
      </c>
      <c r="F151">
        <v>74.943837056229</v>
      </c>
      <c r="G151">
        <v>80.159599999999998</v>
      </c>
      <c r="H151">
        <v>74.751999999999995</v>
      </c>
      <c r="I151" s="146">
        <v>78.753158747871865</v>
      </c>
      <c r="J151" s="144"/>
      <c r="K151" s="144"/>
      <c r="L151" s="126"/>
      <c r="M151" s="144"/>
      <c r="N151" s="126"/>
      <c r="O151" s="146"/>
      <c r="P151" s="146"/>
      <c r="Q151" s="146"/>
      <c r="R151" s="144"/>
      <c r="S151" s="144"/>
      <c r="T151" s="144"/>
      <c r="U151" s="146"/>
      <c r="V151" s="113"/>
      <c r="W151" s="113"/>
      <c r="X151" s="126"/>
      <c r="Y151" s="126"/>
    </row>
    <row r="152" spans="1:25" ht="14.7" customHeight="1">
      <c r="A152" s="131" t="s">
        <v>344</v>
      </c>
      <c r="B152" s="131"/>
      <c r="C152">
        <v>88.17864991873175</v>
      </c>
      <c r="D152">
        <v>89.498712225619684</v>
      </c>
      <c r="E152">
        <v>88.761057411816651</v>
      </c>
      <c r="F152">
        <v>80.857668445959717</v>
      </c>
      <c r="G152">
        <v>79.688000000000002</v>
      </c>
      <c r="H152">
        <v>77.427599999999998</v>
      </c>
      <c r="I152" s="147">
        <v>83.662806862085901</v>
      </c>
      <c r="J152" s="112"/>
      <c r="K152" s="112"/>
      <c r="L152" s="126"/>
      <c r="M152" s="112"/>
      <c r="N152" s="126"/>
      <c r="O152" s="147"/>
      <c r="P152" s="147"/>
      <c r="Q152" s="147"/>
      <c r="R152" s="112"/>
      <c r="S152" s="112"/>
      <c r="T152" s="112"/>
      <c r="U152" s="146"/>
      <c r="V152" s="113"/>
      <c r="W152" s="113"/>
      <c r="X152" s="126"/>
      <c r="Y152" s="126"/>
    </row>
    <row r="153" spans="1:25" ht="14.7" customHeight="1">
      <c r="A153" s="131" t="s">
        <v>87</v>
      </c>
      <c r="B153" s="131"/>
      <c r="C153">
        <v>91.306985516844364</v>
      </c>
      <c r="D153">
        <v>88.541258490073162</v>
      </c>
      <c r="E153">
        <v>92.602967610615565</v>
      </c>
      <c r="F153">
        <v>82.463228608084492</v>
      </c>
      <c r="G153">
        <v>84.882599999999996</v>
      </c>
      <c r="H153">
        <v>83.9375</v>
      </c>
      <c r="I153" s="147">
        <v>85.215066128773415</v>
      </c>
      <c r="J153" s="112"/>
      <c r="K153" s="112"/>
      <c r="L153" s="126"/>
      <c r="M153" s="112"/>
      <c r="N153" s="126"/>
      <c r="O153" s="147"/>
      <c r="P153" s="147"/>
      <c r="Q153" s="147"/>
      <c r="R153" s="112"/>
      <c r="S153" s="112"/>
      <c r="T153" s="112"/>
      <c r="U153" s="146"/>
      <c r="V153" s="113"/>
      <c r="W153" s="113"/>
      <c r="X153" s="126"/>
      <c r="Y153" s="126"/>
    </row>
    <row r="154" spans="1:25" ht="14.7" customHeight="1">
      <c r="A154" s="131" t="s">
        <v>210</v>
      </c>
      <c r="B154" s="131"/>
      <c r="C154">
        <v>87.88821057345136</v>
      </c>
      <c r="D154">
        <v>88.348361548201865</v>
      </c>
      <c r="E154">
        <v>90.66170462791375</v>
      </c>
      <c r="F154">
        <v>72.111216686096242</v>
      </c>
      <c r="G154">
        <v>73.557500000000005</v>
      </c>
      <c r="H154">
        <v>81.35090000000001</v>
      </c>
      <c r="I154" s="147">
        <v>77.019316613640257</v>
      </c>
      <c r="J154" s="112"/>
      <c r="K154" s="112"/>
      <c r="L154" s="126"/>
      <c r="M154" s="112"/>
      <c r="N154" s="126"/>
      <c r="O154" s="147"/>
      <c r="P154" s="147"/>
      <c r="Q154" s="147"/>
      <c r="R154" s="112"/>
      <c r="S154" s="112"/>
      <c r="T154" s="112"/>
      <c r="U154" s="146"/>
      <c r="V154" s="113"/>
      <c r="W154" s="113"/>
      <c r="X154" s="126"/>
      <c r="Y154" s="126"/>
    </row>
    <row r="155" spans="1:25" ht="14.7" customHeight="1">
      <c r="A155" s="131" t="s">
        <v>88</v>
      </c>
      <c r="B155" s="131"/>
      <c r="C155">
        <v>91.259771992345776</v>
      </c>
      <c r="D155">
        <v>87.944832841379053</v>
      </c>
      <c r="E155">
        <v>88.287479010345109</v>
      </c>
      <c r="F155">
        <v>81.806096253053326</v>
      </c>
      <c r="G155">
        <v>80.840999999999994</v>
      </c>
      <c r="H155">
        <v>81.207899999999995</v>
      </c>
      <c r="I155" s="147">
        <v>80.452729669141519</v>
      </c>
      <c r="J155" s="112"/>
      <c r="K155" s="112"/>
      <c r="L155" s="126"/>
      <c r="M155" s="112"/>
      <c r="N155" s="126"/>
      <c r="O155" s="147"/>
      <c r="P155" s="147"/>
      <c r="Q155" s="147"/>
      <c r="R155" s="112"/>
      <c r="S155" s="112"/>
      <c r="T155" s="112"/>
      <c r="U155" s="146"/>
      <c r="V155" s="113"/>
      <c r="W155" s="113"/>
      <c r="X155" s="126"/>
      <c r="Y155" s="126"/>
    </row>
    <row r="156" spans="1:25" ht="14.7" customHeight="1">
      <c r="A156" s="131" t="s">
        <v>89</v>
      </c>
      <c r="B156" s="131"/>
      <c r="C156">
        <v>86.440018487175792</v>
      </c>
      <c r="D156">
        <v>86.10594682854672</v>
      </c>
      <c r="E156">
        <v>82.062241164408363</v>
      </c>
      <c r="F156">
        <v>72.591183760533411</v>
      </c>
      <c r="G156">
        <v>75.325400000000002</v>
      </c>
      <c r="H156">
        <v>67.804299999999998</v>
      </c>
      <c r="I156" s="147">
        <v>77.551421506656155</v>
      </c>
      <c r="J156" s="112"/>
      <c r="K156" s="112"/>
      <c r="L156" s="126"/>
      <c r="M156" s="112"/>
      <c r="N156" s="126"/>
      <c r="O156" s="147"/>
      <c r="P156" s="147"/>
      <c r="Q156" s="147"/>
      <c r="R156" s="112"/>
      <c r="S156" s="112"/>
      <c r="T156" s="112"/>
      <c r="U156" s="146"/>
      <c r="V156" s="113"/>
      <c r="W156" s="113"/>
      <c r="X156" s="126"/>
      <c r="Y156" s="126"/>
    </row>
    <row r="157" spans="1:25" ht="14.7" customHeight="1">
      <c r="A157" s="131" t="s">
        <v>90</v>
      </c>
      <c r="B157" s="131"/>
      <c r="C157">
        <v>89.233542510713178</v>
      </c>
      <c r="D157">
        <v>86.108989905777761</v>
      </c>
      <c r="E157">
        <v>88.142606065961687</v>
      </c>
      <c r="F157">
        <v>79.15224645175779</v>
      </c>
      <c r="G157">
        <v>83.326599999999999</v>
      </c>
      <c r="H157">
        <v>80.445300000000003</v>
      </c>
      <c r="I157" s="147">
        <v>80.378583310933735</v>
      </c>
      <c r="J157" s="112"/>
      <c r="K157" s="112"/>
      <c r="L157" s="126"/>
      <c r="M157" s="112"/>
      <c r="N157" s="126"/>
      <c r="O157" s="147"/>
      <c r="P157" s="147"/>
      <c r="Q157" s="147"/>
      <c r="R157" s="112"/>
      <c r="S157" s="112"/>
      <c r="T157" s="112"/>
      <c r="U157" s="146"/>
      <c r="V157" s="113"/>
      <c r="W157" s="113"/>
      <c r="X157" s="126"/>
      <c r="Y157" s="126"/>
    </row>
    <row r="158" spans="1:25" ht="14.7" customHeight="1">
      <c r="A158" s="131" t="s">
        <v>270</v>
      </c>
      <c r="B158" s="131"/>
      <c r="C158">
        <v>82.708211068643337</v>
      </c>
      <c r="D158">
        <v>87.928474703473469</v>
      </c>
      <c r="E158">
        <v>86.772242076924286</v>
      </c>
      <c r="F158">
        <v>82.493721029657749</v>
      </c>
      <c r="G158">
        <v>79.991100000000003</v>
      </c>
      <c r="H158">
        <v>86.394599999999997</v>
      </c>
      <c r="I158" s="147">
        <v>83.833558960633951</v>
      </c>
      <c r="J158" s="112"/>
      <c r="K158" s="112"/>
      <c r="L158" s="126"/>
      <c r="M158" s="112"/>
      <c r="N158" s="126"/>
      <c r="O158" s="147"/>
      <c r="P158" s="147"/>
      <c r="Q158" s="147"/>
      <c r="R158" s="112"/>
      <c r="S158" s="112"/>
      <c r="T158" s="112"/>
      <c r="U158" s="146"/>
      <c r="V158" s="113"/>
      <c r="W158" s="113"/>
      <c r="X158" s="126"/>
      <c r="Y158" s="126"/>
    </row>
    <row r="159" spans="1:25" ht="14.7" customHeight="1">
      <c r="A159" s="131" t="s">
        <v>2</v>
      </c>
      <c r="B159" s="131"/>
      <c r="C159">
        <v>89.873899016257624</v>
      </c>
      <c r="D159">
        <v>96.312378827716245</v>
      </c>
      <c r="E159">
        <v>94.493117851699296</v>
      </c>
      <c r="F159">
        <v>85.826091201921201</v>
      </c>
      <c r="G159">
        <v>87.510100000000008</v>
      </c>
      <c r="H159">
        <v>87.695599999999999</v>
      </c>
      <c r="I159" s="147">
        <v>88.756613242205489</v>
      </c>
      <c r="J159" s="112"/>
      <c r="K159" s="112"/>
      <c r="L159" s="126"/>
      <c r="M159" s="112"/>
      <c r="N159" s="126"/>
      <c r="O159" s="147"/>
      <c r="P159" s="147"/>
      <c r="Q159" s="147"/>
      <c r="R159" s="112"/>
      <c r="S159" s="112"/>
      <c r="T159" s="112"/>
      <c r="U159" s="146"/>
      <c r="V159" s="113"/>
      <c r="W159" s="113"/>
      <c r="X159" s="126"/>
      <c r="Y159" s="126"/>
    </row>
    <row r="160" spans="1:25" ht="14.7" customHeight="1">
      <c r="A160" s="131" t="s">
        <v>211</v>
      </c>
      <c r="B160" s="131"/>
      <c r="C160">
        <v>94.52679413179608</v>
      </c>
      <c r="D160">
        <v>91.55104108803009</v>
      </c>
      <c r="E160">
        <v>94.641079202701903</v>
      </c>
      <c r="F160">
        <v>86.967847035102864</v>
      </c>
      <c r="G160">
        <v>88.692800000000005</v>
      </c>
      <c r="H160">
        <v>88.081299999999999</v>
      </c>
      <c r="I160" s="147">
        <v>86.484786413352055</v>
      </c>
      <c r="J160" s="112"/>
      <c r="K160" s="112"/>
      <c r="L160" s="126"/>
      <c r="M160" s="112"/>
      <c r="N160" s="126"/>
      <c r="O160" s="147"/>
      <c r="P160" s="147"/>
      <c r="Q160" s="147"/>
      <c r="R160" s="112"/>
      <c r="S160" s="112"/>
      <c r="T160" s="112"/>
      <c r="U160" s="147"/>
      <c r="V160" s="149"/>
      <c r="W160" s="149"/>
      <c r="X160" s="126"/>
      <c r="Y160" s="126"/>
    </row>
    <row r="161" spans="1:25" ht="14.7" customHeight="1">
      <c r="A161" s="131" t="s">
        <v>337</v>
      </c>
      <c r="B161" s="131"/>
      <c r="C161">
        <v>92.761563165863649</v>
      </c>
      <c r="D161">
        <v>91.44925765259363</v>
      </c>
      <c r="E161">
        <v>93.480155430472053</v>
      </c>
      <c r="F161">
        <v>82.265041945907754</v>
      </c>
      <c r="G161">
        <v>83.012699999999995</v>
      </c>
      <c r="H161">
        <v>83.679999999999993</v>
      </c>
      <c r="I161" s="147">
        <v>86.928464667885976</v>
      </c>
      <c r="J161" s="112"/>
      <c r="K161" s="112"/>
      <c r="L161" s="126"/>
      <c r="M161" s="112"/>
      <c r="N161" s="126"/>
      <c r="O161" s="147"/>
      <c r="P161" s="147"/>
      <c r="Q161" s="147"/>
      <c r="R161" s="112"/>
      <c r="S161" s="112"/>
      <c r="T161" s="112"/>
      <c r="U161" s="146"/>
      <c r="V161" s="113"/>
      <c r="W161" s="113"/>
      <c r="X161" s="126"/>
      <c r="Y161" s="126"/>
    </row>
    <row r="162" spans="1:25" ht="14.7" customHeight="1">
      <c r="A162" s="131" t="s">
        <v>315</v>
      </c>
      <c r="B162" s="131"/>
      <c r="C162">
        <v>87.405950202491027</v>
      </c>
      <c r="D162">
        <v>85.786754209467333</v>
      </c>
      <c r="E162">
        <v>87.118782206765658</v>
      </c>
      <c r="F162">
        <v>80.453616476234245</v>
      </c>
      <c r="G162">
        <v>82.303400000000011</v>
      </c>
      <c r="H162">
        <v>81.934200000000004</v>
      </c>
      <c r="I162">
        <v>81.97475543901848</v>
      </c>
      <c r="J162"/>
      <c r="K162"/>
      <c r="L162"/>
      <c r="M162"/>
      <c r="N162"/>
      <c r="O162"/>
      <c r="P162" s="147"/>
      <c r="Q162" s="147"/>
      <c r="R162" s="112"/>
      <c r="S162" s="112"/>
      <c r="T162" s="112"/>
      <c r="U162" s="146"/>
      <c r="V162" s="113"/>
      <c r="W162" s="113"/>
      <c r="X162" s="126"/>
      <c r="Y162" s="126"/>
    </row>
    <row r="163" spans="1:25" ht="14.7" customHeight="1">
      <c r="A163" s="131" t="s">
        <v>91</v>
      </c>
      <c r="B163" s="131"/>
      <c r="C163">
        <v>87.278199965665806</v>
      </c>
      <c r="D163">
        <v>87.111378382400844</v>
      </c>
      <c r="E163">
        <v>84.895051576022738</v>
      </c>
      <c r="F163">
        <v>80.231516688114567</v>
      </c>
      <c r="G163">
        <v>80.416399999999996</v>
      </c>
      <c r="H163">
        <v>76.655000000000001</v>
      </c>
      <c r="I163" s="147">
        <v>81.117393248129574</v>
      </c>
      <c r="J163" s="112"/>
      <c r="K163" s="112"/>
      <c r="L163" s="126"/>
      <c r="M163" s="112"/>
      <c r="N163" s="126"/>
      <c r="O163" s="147"/>
      <c r="P163" s="147"/>
      <c r="Q163" s="147"/>
      <c r="R163" s="112"/>
      <c r="S163" s="112"/>
      <c r="T163" s="112"/>
      <c r="U163" s="147"/>
      <c r="V163" s="113"/>
      <c r="W163" s="113"/>
      <c r="X163" s="126"/>
      <c r="Y163" s="126"/>
    </row>
    <row r="164" spans="1:25" ht="14.7" customHeight="1">
      <c r="A164" s="131" t="s">
        <v>376</v>
      </c>
      <c r="B164" s="131"/>
      <c r="C164">
        <v>87.049673404165986</v>
      </c>
      <c r="D164">
        <v>84.362316822371426</v>
      </c>
      <c r="E164">
        <v>84.015751440536533</v>
      </c>
      <c r="F164">
        <v>78.045877817703669</v>
      </c>
      <c r="G164">
        <v>74.1464</v>
      </c>
      <c r="H164">
        <v>79.159000000000006</v>
      </c>
      <c r="I164" s="147">
        <v>80.638596603709118</v>
      </c>
      <c r="J164" s="112"/>
      <c r="K164" s="112"/>
      <c r="L164" s="126"/>
      <c r="M164" s="112"/>
      <c r="N164" s="126"/>
      <c r="O164" s="147"/>
      <c r="P164" s="147"/>
      <c r="Q164" s="147"/>
      <c r="R164" s="112"/>
      <c r="S164" s="112"/>
      <c r="T164" s="112"/>
      <c r="U164" s="147"/>
      <c r="V164" s="149"/>
      <c r="W164" s="149"/>
      <c r="X164" s="126"/>
      <c r="Y164" s="126"/>
    </row>
    <row r="165" spans="1:25" ht="14.7" customHeight="1">
      <c r="A165" s="132" t="s">
        <v>817</v>
      </c>
      <c r="B165" s="131"/>
      <c r="C165">
        <v>89.079600426196379</v>
      </c>
      <c r="D165">
        <v>86.338450989075582</v>
      </c>
      <c r="E165">
        <v>86.040886808419785</v>
      </c>
      <c r="F165">
        <v>78.969879698045261</v>
      </c>
      <c r="G165">
        <v>75.136200000000002</v>
      </c>
      <c r="H165">
        <v>76.922700000000006</v>
      </c>
      <c r="I165" s="147">
        <v>77.043167515294073</v>
      </c>
      <c r="J165" s="112"/>
      <c r="K165" s="112"/>
      <c r="L165" s="126"/>
      <c r="M165" s="112"/>
      <c r="N165" s="126"/>
      <c r="O165" s="147"/>
      <c r="P165" s="147"/>
      <c r="Q165" s="147"/>
      <c r="R165" s="112"/>
      <c r="S165" s="112"/>
      <c r="T165" s="112"/>
      <c r="U165" s="146"/>
      <c r="V165" s="113"/>
      <c r="W165" s="113"/>
      <c r="X165" s="126"/>
      <c r="Y165" s="126"/>
    </row>
    <row r="166" spans="1:25" ht="14.7" customHeight="1">
      <c r="A166" s="131" t="s">
        <v>392</v>
      </c>
      <c r="B166" s="131"/>
      <c r="C166">
        <v>90.736592420827435</v>
      </c>
      <c r="D166">
        <v>91.935272153010715</v>
      </c>
      <c r="E166">
        <v>92.951556298993083</v>
      </c>
      <c r="F166">
        <v>83.529918564648483</v>
      </c>
      <c r="G166">
        <v>85.059600000000003</v>
      </c>
      <c r="H166">
        <v>90.256900000000002</v>
      </c>
      <c r="I166" s="147">
        <v>87.731085674074009</v>
      </c>
      <c r="J166" s="112"/>
      <c r="K166" s="112"/>
      <c r="L166" s="126"/>
      <c r="M166" s="112"/>
      <c r="N166" s="126"/>
      <c r="O166" s="147"/>
      <c r="P166" s="147"/>
      <c r="Q166" s="147"/>
      <c r="R166" s="112"/>
      <c r="S166" s="112"/>
      <c r="T166" s="112"/>
      <c r="U166" s="146"/>
      <c r="V166" s="113"/>
      <c r="W166" s="113"/>
      <c r="X166" s="126"/>
      <c r="Y166" s="126"/>
    </row>
    <row r="167" spans="1:25" ht="14.7" customHeight="1">
      <c r="A167" s="131" t="s">
        <v>232</v>
      </c>
      <c r="B167" s="131"/>
      <c r="C167">
        <v>85.472415401267199</v>
      </c>
      <c r="D167">
        <v>81.61207568854411</v>
      </c>
      <c r="E167">
        <v>87.182842966490057</v>
      </c>
      <c r="F167">
        <v>75.333741881931601</v>
      </c>
      <c r="G167">
        <v>75.339799999999997</v>
      </c>
      <c r="H167">
        <v>72.530199999999994</v>
      </c>
      <c r="I167" s="147">
        <v>75.564248442620439</v>
      </c>
      <c r="J167" s="112"/>
      <c r="K167" s="112"/>
      <c r="L167" s="126"/>
      <c r="M167" s="112"/>
      <c r="N167" s="126"/>
      <c r="O167" s="147"/>
      <c r="P167" s="147"/>
      <c r="Q167" s="147"/>
      <c r="R167" s="112"/>
      <c r="S167" s="112"/>
      <c r="T167" s="112"/>
      <c r="U167" s="146"/>
      <c r="V167" s="113"/>
      <c r="W167" s="113"/>
      <c r="X167" s="126"/>
      <c r="Y167" s="126"/>
    </row>
    <row r="168" spans="1:25" ht="14.7" customHeight="1">
      <c r="A168" s="131" t="s">
        <v>233</v>
      </c>
      <c r="B168" s="131"/>
      <c r="C168">
        <v>81.331378336222841</v>
      </c>
      <c r="D168">
        <v>75.69332334525761</v>
      </c>
      <c r="E168">
        <v>80.045991613294049</v>
      </c>
      <c r="F168">
        <v>69.980119948670222</v>
      </c>
      <c r="G168">
        <v>74.582099999999997</v>
      </c>
      <c r="H168">
        <v>79.536000000000001</v>
      </c>
      <c r="I168" s="147">
        <v>75.725846653917898</v>
      </c>
      <c r="J168" s="112"/>
      <c r="K168" s="112"/>
      <c r="L168" s="126"/>
      <c r="M168" s="112"/>
      <c r="N168" s="126"/>
      <c r="O168" s="147"/>
      <c r="P168" s="147"/>
      <c r="Q168" s="147"/>
      <c r="R168" s="112"/>
      <c r="S168" s="112"/>
      <c r="T168" s="112"/>
      <c r="U168" s="146"/>
      <c r="V168" s="113"/>
      <c r="W168" s="113"/>
      <c r="X168" s="126"/>
      <c r="Y168" s="126"/>
    </row>
    <row r="169" spans="1:25" ht="14.7" customHeight="1">
      <c r="A169" s="131" t="s">
        <v>212</v>
      </c>
      <c r="B169" s="131"/>
      <c r="C169">
        <v>89.275000569328313</v>
      </c>
      <c r="D169">
        <v>95.853453328920551</v>
      </c>
      <c r="E169">
        <v>90.186420025521201</v>
      </c>
      <c r="F169">
        <v>84.564433583928803</v>
      </c>
      <c r="G169">
        <v>86.048699999999997</v>
      </c>
      <c r="H169">
        <v>87.187600000000003</v>
      </c>
      <c r="I169" s="147">
        <v>86.413932687990538</v>
      </c>
      <c r="J169" s="112"/>
      <c r="K169" s="112"/>
      <c r="L169" s="126"/>
      <c r="M169" s="112"/>
      <c r="N169" s="126"/>
      <c r="O169" s="147"/>
      <c r="P169" s="147"/>
      <c r="Q169" s="147"/>
      <c r="R169" s="112"/>
      <c r="S169" s="112"/>
      <c r="T169" s="112"/>
      <c r="U169" s="146"/>
      <c r="V169" s="113"/>
      <c r="W169" s="113"/>
      <c r="X169" s="126"/>
      <c r="Y169" s="126"/>
    </row>
    <row r="170" spans="1:25" ht="14.7" customHeight="1">
      <c r="A170" s="131" t="s">
        <v>316</v>
      </c>
      <c r="B170" s="131"/>
      <c r="C170">
        <v>86.304917179298741</v>
      </c>
      <c r="D170">
        <v>86.395259464702178</v>
      </c>
      <c r="E170">
        <v>85.934096539383688</v>
      </c>
      <c r="F170">
        <v>78.409739008953494</v>
      </c>
      <c r="G170">
        <v>78.218500000000006</v>
      </c>
      <c r="H170">
        <v>77.692300000000003</v>
      </c>
      <c r="I170" s="147">
        <v>80.040045724221116</v>
      </c>
      <c r="J170" s="112"/>
      <c r="K170" s="112"/>
      <c r="L170" s="126"/>
      <c r="M170" s="112"/>
      <c r="N170" s="126"/>
      <c r="O170" s="147"/>
      <c r="P170" s="147"/>
      <c r="Q170" s="147"/>
      <c r="R170" s="112"/>
      <c r="S170" s="112"/>
      <c r="T170" s="112"/>
      <c r="U170" s="146"/>
      <c r="V170" s="113"/>
      <c r="W170" s="113"/>
      <c r="X170" s="126"/>
      <c r="Y170" s="126"/>
    </row>
    <row r="171" spans="1:25" ht="14.7" customHeight="1">
      <c r="A171" s="131" t="s">
        <v>92</v>
      </c>
      <c r="B171" s="131"/>
      <c r="C171">
        <v>88.907822832314338</v>
      </c>
      <c r="D171">
        <v>89.573745633307922</v>
      </c>
      <c r="E171">
        <v>89.194382705590371</v>
      </c>
      <c r="F171">
        <v>82.886917210731696</v>
      </c>
      <c r="G171">
        <v>85.453599999999994</v>
      </c>
      <c r="H171">
        <v>82.087000000000003</v>
      </c>
      <c r="I171" s="147">
        <v>86.124289461765642</v>
      </c>
      <c r="J171" s="112"/>
      <c r="K171" s="112"/>
      <c r="L171" s="126"/>
      <c r="M171" s="112"/>
      <c r="N171" s="126"/>
      <c r="O171" s="147"/>
      <c r="P171" s="147"/>
      <c r="Q171" s="147"/>
      <c r="R171" s="112"/>
      <c r="S171" s="112"/>
      <c r="T171" s="112"/>
      <c r="U171" s="146"/>
      <c r="V171" s="113"/>
      <c r="W171" s="113"/>
      <c r="X171" s="126"/>
      <c r="Y171" s="126"/>
    </row>
    <row r="172" spans="1:25" ht="14.7" customHeight="1">
      <c r="A172" s="131" t="s">
        <v>234</v>
      </c>
      <c r="B172" s="131"/>
      <c r="C172">
        <v>86.619054341934188</v>
      </c>
      <c r="D172">
        <v>88.441386759525699</v>
      </c>
      <c r="E172">
        <v>90.483063577233978</v>
      </c>
      <c r="F172">
        <v>76.377999517323332</v>
      </c>
      <c r="G172">
        <v>79.212899999999991</v>
      </c>
      <c r="H172">
        <v>81.040999999999997</v>
      </c>
      <c r="I172" s="147">
        <v>82.980296031033774</v>
      </c>
      <c r="J172" s="112"/>
      <c r="K172" s="112"/>
      <c r="L172" s="126"/>
      <c r="M172" s="112"/>
      <c r="N172" s="126"/>
      <c r="O172" s="147"/>
      <c r="P172" s="147"/>
      <c r="Q172" s="147"/>
      <c r="R172" s="112"/>
      <c r="S172" s="112"/>
      <c r="T172" s="112"/>
      <c r="U172" s="146"/>
      <c r="V172" s="113"/>
      <c r="W172" s="113"/>
      <c r="X172" s="126"/>
      <c r="Y172" s="126"/>
    </row>
    <row r="173" spans="1:25" ht="14.7" customHeight="1">
      <c r="A173" s="131" t="s">
        <v>271</v>
      </c>
      <c r="B173" s="131"/>
      <c r="C173">
        <v>82.372534088342803</v>
      </c>
      <c r="D173">
        <v>85.928978956345432</v>
      </c>
      <c r="E173">
        <v>85.776074321363893</v>
      </c>
      <c r="F173">
        <v>71.384317467743529</v>
      </c>
      <c r="G173">
        <v>71.262</v>
      </c>
      <c r="H173">
        <v>73.447099999999992</v>
      </c>
      <c r="I173" s="147">
        <v>75.723490305633817</v>
      </c>
      <c r="J173" s="112"/>
      <c r="K173" s="112"/>
      <c r="L173" s="126"/>
      <c r="M173" s="112"/>
      <c r="N173" s="126"/>
      <c r="O173" s="147"/>
      <c r="P173" s="147"/>
      <c r="Q173" s="147"/>
      <c r="R173" s="112"/>
      <c r="S173" s="112"/>
      <c r="T173" s="112"/>
      <c r="U173" s="146"/>
      <c r="V173" s="113"/>
      <c r="W173" s="113"/>
      <c r="X173" s="126"/>
      <c r="Y173" s="126"/>
    </row>
    <row r="174" spans="1:25" ht="14.7" customHeight="1">
      <c r="A174" s="131" t="s">
        <v>317</v>
      </c>
      <c r="B174" s="131"/>
      <c r="C174">
        <v>88.639848569440332</v>
      </c>
      <c r="D174">
        <v>88.681336113912664</v>
      </c>
      <c r="E174">
        <v>88.36732456171417</v>
      </c>
      <c r="F174">
        <v>80.650875849613755</v>
      </c>
      <c r="G174">
        <v>78.383300000000006</v>
      </c>
      <c r="H174">
        <v>78.170900000000003</v>
      </c>
      <c r="I174" s="147">
        <v>82.463591325799086</v>
      </c>
      <c r="J174" s="112"/>
      <c r="K174" s="112"/>
      <c r="L174" s="126"/>
      <c r="M174" s="112"/>
      <c r="N174" s="126"/>
      <c r="O174" s="147"/>
      <c r="P174" s="147"/>
      <c r="Q174" s="147"/>
      <c r="R174" s="112"/>
      <c r="S174" s="112"/>
      <c r="T174" s="112"/>
      <c r="U174" s="146"/>
      <c r="V174" s="113"/>
      <c r="W174" s="113"/>
      <c r="X174" s="126"/>
      <c r="Y174" s="126"/>
    </row>
    <row r="175" spans="1:25" ht="14.7" customHeight="1">
      <c r="A175" s="131" t="s">
        <v>93</v>
      </c>
      <c r="B175" s="131"/>
      <c r="C175">
        <v>89.257807714778906</v>
      </c>
      <c r="D175">
        <v>89.657638149642167</v>
      </c>
      <c r="E175">
        <v>90.392093711231979</v>
      </c>
      <c r="F175">
        <v>81.534505075928067</v>
      </c>
      <c r="G175">
        <v>80.464399999999998</v>
      </c>
      <c r="H175">
        <v>81.311000000000007</v>
      </c>
      <c r="I175" s="147">
        <v>85.054382684796764</v>
      </c>
      <c r="J175" s="112"/>
      <c r="K175" s="112"/>
      <c r="L175" s="126"/>
      <c r="M175" s="112"/>
      <c r="N175" s="126"/>
      <c r="O175" s="147"/>
      <c r="P175" s="147"/>
      <c r="Q175" s="147"/>
      <c r="R175" s="112"/>
      <c r="S175" s="112"/>
      <c r="T175" s="112"/>
      <c r="U175" s="146"/>
      <c r="V175" s="113"/>
      <c r="W175" s="113"/>
      <c r="X175" s="126"/>
      <c r="Y175" s="126"/>
    </row>
    <row r="176" spans="1:25" ht="14.7" customHeight="1">
      <c r="A176" s="131" t="s">
        <v>213</v>
      </c>
      <c r="B176" s="131"/>
      <c r="C176">
        <v>87.765184956995014</v>
      </c>
      <c r="D176">
        <v>88.623979593922328</v>
      </c>
      <c r="E176">
        <v>88.647153327692891</v>
      </c>
      <c r="F176">
        <v>81.718138447989631</v>
      </c>
      <c r="G176">
        <v>79.063299999999998</v>
      </c>
      <c r="H176">
        <v>84.387199999999993</v>
      </c>
      <c r="I176" s="147">
        <v>87.252054655694749</v>
      </c>
      <c r="J176" s="112"/>
      <c r="K176" s="112"/>
      <c r="L176" s="126"/>
      <c r="M176" s="112"/>
      <c r="N176" s="126"/>
      <c r="O176" s="147"/>
      <c r="P176" s="147"/>
      <c r="Q176" s="147"/>
      <c r="R176" s="112"/>
      <c r="S176" s="112"/>
      <c r="T176" s="112"/>
      <c r="U176" s="146"/>
      <c r="V176" s="113"/>
      <c r="W176" s="113"/>
      <c r="X176" s="126"/>
      <c r="Y176" s="126"/>
    </row>
    <row r="177" spans="1:25" ht="14.7" customHeight="1">
      <c r="A177" s="131" t="s">
        <v>94</v>
      </c>
      <c r="B177" s="131"/>
      <c r="C177">
        <v>86.450565334106969</v>
      </c>
      <c r="D177">
        <v>84.717843963889493</v>
      </c>
      <c r="E177">
        <v>89.161283416947967</v>
      </c>
      <c r="F177">
        <v>77.02153533459591</v>
      </c>
      <c r="G177">
        <v>81.096299999999999</v>
      </c>
      <c r="H177">
        <v>78.850899999999996</v>
      </c>
      <c r="I177" s="147">
        <v>81.685036915300657</v>
      </c>
      <c r="J177" s="112"/>
      <c r="K177" s="112"/>
      <c r="L177" s="126"/>
      <c r="M177" s="112"/>
      <c r="N177" s="126"/>
      <c r="O177" s="147"/>
      <c r="P177" s="147"/>
      <c r="Q177" s="147"/>
      <c r="R177" s="112"/>
      <c r="S177" s="112"/>
      <c r="T177" s="112"/>
      <c r="U177" s="146"/>
      <c r="V177" s="113"/>
      <c r="W177" s="113"/>
      <c r="X177" s="126"/>
      <c r="Y177" s="126"/>
    </row>
    <row r="178" spans="1:25" ht="14.7" customHeight="1">
      <c r="A178" s="131" t="s">
        <v>95</v>
      </c>
      <c r="B178" s="131"/>
      <c r="C178">
        <v>86.69355770534834</v>
      </c>
      <c r="D178">
        <v>85.285427941471227</v>
      </c>
      <c r="E178">
        <v>86.848891283955055</v>
      </c>
      <c r="F178">
        <v>86.008467830045731</v>
      </c>
      <c r="G178">
        <v>81.544600000000003</v>
      </c>
      <c r="H178">
        <v>82.439099999999996</v>
      </c>
      <c r="I178" s="147">
        <v>81.305855513372521</v>
      </c>
      <c r="J178" s="112"/>
      <c r="K178" s="112"/>
      <c r="L178" s="126"/>
      <c r="M178" s="112"/>
      <c r="N178" s="126"/>
      <c r="O178" s="147"/>
      <c r="P178" s="147"/>
      <c r="Q178" s="147"/>
      <c r="R178" s="112"/>
      <c r="S178" s="112"/>
      <c r="T178" s="112"/>
      <c r="U178" s="146"/>
      <c r="V178" s="113"/>
      <c r="W178" s="113"/>
      <c r="X178" s="126"/>
      <c r="Y178" s="126"/>
    </row>
    <row r="179" spans="1:25" ht="14.7" customHeight="1">
      <c r="A179" s="131" t="s">
        <v>318</v>
      </c>
      <c r="B179" s="131"/>
      <c r="C179">
        <v>84.237522629887749</v>
      </c>
      <c r="D179">
        <v>84.550810265331648</v>
      </c>
      <c r="E179">
        <v>86.451944754215219</v>
      </c>
      <c r="F179">
        <v>78.928049841735387</v>
      </c>
      <c r="G179">
        <v>79.395200000000003</v>
      </c>
      <c r="H179">
        <v>77.364699999999999</v>
      </c>
      <c r="I179" s="147">
        <v>78.211534177467797</v>
      </c>
      <c r="J179" s="112"/>
      <c r="K179" s="112"/>
      <c r="L179" s="126"/>
      <c r="M179" s="112"/>
      <c r="N179" s="126"/>
      <c r="O179" s="147"/>
      <c r="P179" s="147"/>
      <c r="Q179" s="147"/>
      <c r="R179" s="112"/>
      <c r="S179" s="112"/>
      <c r="T179" s="112"/>
      <c r="U179" s="146"/>
      <c r="V179" s="113"/>
      <c r="W179" s="113"/>
      <c r="X179" s="126"/>
      <c r="Y179" s="126"/>
    </row>
    <row r="180" spans="1:25" ht="14.7" customHeight="1">
      <c r="A180" s="131" t="s">
        <v>235</v>
      </c>
      <c r="B180" s="131"/>
      <c r="C180">
        <v>84.69122214777272</v>
      </c>
      <c r="D180">
        <v>86.696473592608854</v>
      </c>
      <c r="E180">
        <v>85.423021141712255</v>
      </c>
      <c r="F180">
        <v>79.084719327086447</v>
      </c>
      <c r="G180">
        <v>78.448700000000002</v>
      </c>
      <c r="H180">
        <v>79.982500000000002</v>
      </c>
      <c r="I180" s="147">
        <v>80.332786065105097</v>
      </c>
      <c r="J180" s="112"/>
      <c r="K180" s="112"/>
      <c r="L180" s="126"/>
      <c r="M180" s="112"/>
      <c r="N180" s="126"/>
      <c r="O180" s="147"/>
      <c r="P180" s="147"/>
      <c r="Q180" s="147"/>
      <c r="R180" s="112"/>
      <c r="S180" s="112"/>
      <c r="T180" s="112"/>
      <c r="U180" s="146"/>
      <c r="V180" s="113"/>
      <c r="W180" s="113"/>
      <c r="X180" s="126"/>
      <c r="Y180" s="126"/>
    </row>
    <row r="181" spans="1:25" ht="14.7" customHeight="1">
      <c r="A181" s="131" t="s">
        <v>272</v>
      </c>
      <c r="B181" s="131"/>
      <c r="C181">
        <v>86.174188978004963</v>
      </c>
      <c r="D181">
        <v>81.2026411975841</v>
      </c>
      <c r="E181">
        <v>82.535521228556476</v>
      </c>
      <c r="F181">
        <v>71.587355543611579</v>
      </c>
      <c r="G181">
        <v>72.535499999999999</v>
      </c>
      <c r="H181">
        <v>65.622100000000003</v>
      </c>
      <c r="I181" s="147">
        <v>70.445250278475953</v>
      </c>
      <c r="J181" s="112"/>
      <c r="K181" s="112"/>
      <c r="L181" s="126"/>
      <c r="M181" s="112"/>
      <c r="N181" s="126"/>
      <c r="O181" s="147"/>
      <c r="P181" s="147"/>
      <c r="Q181" s="147"/>
      <c r="R181" s="112"/>
      <c r="S181" s="112"/>
      <c r="T181" s="112"/>
      <c r="U181" s="146"/>
      <c r="V181" s="113"/>
      <c r="W181" s="113"/>
      <c r="X181" s="126"/>
      <c r="Y181" s="126"/>
    </row>
    <row r="182" spans="1:25" ht="14.7" customHeight="1">
      <c r="A182" s="131" t="s">
        <v>96</v>
      </c>
      <c r="B182" s="131"/>
      <c r="C182">
        <v>89.578832070695668</v>
      </c>
      <c r="D182">
        <v>87.328970005843018</v>
      </c>
      <c r="E182">
        <v>90.378485433252322</v>
      </c>
      <c r="F182">
        <v>79.332017606461093</v>
      </c>
      <c r="G182">
        <v>80.922499999999999</v>
      </c>
      <c r="H182">
        <v>81.147899999999993</v>
      </c>
      <c r="I182" s="147">
        <v>79.493690785563018</v>
      </c>
      <c r="J182" s="112"/>
      <c r="K182" s="112"/>
      <c r="L182" s="126"/>
      <c r="M182" s="112"/>
      <c r="N182" s="126"/>
      <c r="O182" s="147"/>
      <c r="P182" s="147"/>
      <c r="Q182" s="147"/>
      <c r="R182" s="112"/>
      <c r="S182" s="112"/>
      <c r="T182" s="112"/>
      <c r="U182" s="146"/>
      <c r="V182" s="113"/>
      <c r="W182" s="113"/>
      <c r="X182" s="126"/>
      <c r="Y182" s="126"/>
    </row>
    <row r="183" spans="1:25" ht="14.7" customHeight="1">
      <c r="A183" s="131" t="s">
        <v>97</v>
      </c>
      <c r="B183" s="131"/>
      <c r="C183">
        <v>86.300066156311999</v>
      </c>
      <c r="D183">
        <v>86.725431272504665</v>
      </c>
      <c r="E183">
        <v>84.370168533656255</v>
      </c>
      <c r="F183">
        <v>76.413032582756955</v>
      </c>
      <c r="G183">
        <v>82.811700000000002</v>
      </c>
      <c r="H183">
        <v>81.416399999999996</v>
      </c>
      <c r="I183" s="147">
        <v>83.768341906905448</v>
      </c>
      <c r="J183" s="112"/>
      <c r="K183" s="112"/>
      <c r="L183" s="126"/>
      <c r="M183" s="112"/>
      <c r="N183" s="126"/>
      <c r="O183" s="147"/>
      <c r="P183" s="147"/>
      <c r="Q183" s="147"/>
      <c r="R183" s="112"/>
      <c r="S183" s="112"/>
      <c r="T183" s="112"/>
      <c r="U183" s="146"/>
      <c r="V183" s="113"/>
      <c r="W183" s="113"/>
      <c r="X183" s="126"/>
      <c r="Y183" s="126"/>
    </row>
    <row r="184" spans="1:25" ht="14.7" customHeight="1">
      <c r="A184" s="131" t="s">
        <v>98</v>
      </c>
      <c r="B184" s="131"/>
      <c r="C184">
        <v>88.056853524283866</v>
      </c>
      <c r="D184">
        <v>84.562393280255677</v>
      </c>
      <c r="E184">
        <v>86.063521741024928</v>
      </c>
      <c r="F184">
        <v>81.129879297742619</v>
      </c>
      <c r="G184">
        <v>83.603300000000004</v>
      </c>
      <c r="H184">
        <v>77.44250000000001</v>
      </c>
      <c r="I184" s="147">
        <v>86.323077218978213</v>
      </c>
      <c r="J184" s="112"/>
      <c r="K184" s="112"/>
      <c r="L184" s="126"/>
      <c r="M184" s="112"/>
      <c r="N184" s="126"/>
      <c r="O184" s="147"/>
      <c r="P184" s="147"/>
      <c r="Q184" s="147"/>
      <c r="R184" s="112"/>
      <c r="S184" s="112"/>
      <c r="T184" s="112"/>
      <c r="U184" s="146"/>
      <c r="V184" s="113"/>
      <c r="W184" s="113"/>
      <c r="X184" s="126"/>
      <c r="Y184" s="126"/>
    </row>
    <row r="185" spans="1:25" ht="14.7" customHeight="1">
      <c r="A185" s="131" t="s">
        <v>236</v>
      </c>
      <c r="B185" s="131"/>
      <c r="C185">
        <v>86.131575040002971</v>
      </c>
      <c r="D185">
        <v>85.703850867626812</v>
      </c>
      <c r="E185">
        <v>85.773371712786656</v>
      </c>
      <c r="F185">
        <v>76.168153969495592</v>
      </c>
      <c r="G185">
        <v>77.908599999999993</v>
      </c>
      <c r="H185">
        <v>78.495899999999992</v>
      </c>
      <c r="I185" s="147">
        <v>78.19634629350422</v>
      </c>
      <c r="J185" s="112"/>
      <c r="K185" s="112"/>
      <c r="L185" s="126"/>
      <c r="M185" s="112"/>
      <c r="N185" s="126"/>
      <c r="O185" s="147"/>
      <c r="P185" s="147"/>
      <c r="Q185" s="147"/>
      <c r="R185" s="112"/>
      <c r="S185" s="112"/>
      <c r="T185" s="112"/>
      <c r="U185" s="146"/>
      <c r="V185" s="113"/>
      <c r="W185" s="113"/>
      <c r="X185" s="126"/>
      <c r="Y185" s="126"/>
    </row>
    <row r="186" spans="1:25" ht="14.7" customHeight="1">
      <c r="A186" s="131" t="s">
        <v>99</v>
      </c>
      <c r="B186" s="131"/>
      <c r="C186">
        <v>84.68152983071559</v>
      </c>
      <c r="D186">
        <v>80.395496494527862</v>
      </c>
      <c r="E186">
        <v>85.410067330540926</v>
      </c>
      <c r="F186">
        <v>75.539746870763054</v>
      </c>
      <c r="G186">
        <v>73.731800000000007</v>
      </c>
      <c r="H186">
        <v>76.966300000000004</v>
      </c>
      <c r="I186" s="147">
        <v>74.692429033356589</v>
      </c>
      <c r="J186" s="112"/>
      <c r="K186" s="112"/>
      <c r="L186" s="126"/>
      <c r="M186" s="112"/>
      <c r="N186" s="126"/>
      <c r="O186" s="147"/>
      <c r="P186" s="147"/>
      <c r="Q186" s="147"/>
      <c r="R186" s="112"/>
      <c r="S186" s="112"/>
      <c r="T186" s="112"/>
      <c r="U186" s="146"/>
      <c r="V186" s="113"/>
      <c r="W186" s="113"/>
      <c r="X186" s="126"/>
      <c r="Y186" s="126"/>
    </row>
    <row r="187" spans="1:25" ht="14.7" customHeight="1">
      <c r="A187" s="131" t="s">
        <v>273</v>
      </c>
      <c r="B187" s="131"/>
      <c r="C187">
        <v>83.423062704099962</v>
      </c>
      <c r="D187">
        <v>83.475886284709901</v>
      </c>
      <c r="E187">
        <v>84.568649628533578</v>
      </c>
      <c r="F187">
        <v>77.066558193938008</v>
      </c>
      <c r="G187">
        <v>76.800700000000006</v>
      </c>
      <c r="H187">
        <v>76.756799999999998</v>
      </c>
      <c r="I187" s="147">
        <v>77.146657569100753</v>
      </c>
      <c r="J187" s="112"/>
      <c r="K187" s="112"/>
      <c r="L187" s="126"/>
      <c r="M187" s="112"/>
      <c r="N187" s="126"/>
      <c r="O187" s="147"/>
      <c r="P187" s="147"/>
      <c r="Q187" s="147"/>
      <c r="R187" s="112"/>
      <c r="S187" s="112"/>
      <c r="T187" s="112"/>
      <c r="U187" s="146"/>
      <c r="V187" s="113"/>
      <c r="W187" s="113"/>
      <c r="X187" s="126"/>
      <c r="Y187" s="126"/>
    </row>
    <row r="188" spans="1:25" ht="14.7" customHeight="1">
      <c r="A188" s="131" t="s">
        <v>100</v>
      </c>
      <c r="B188" s="131"/>
      <c r="C188">
        <v>90.638462262429428</v>
      </c>
      <c r="D188">
        <v>87.880816873116842</v>
      </c>
      <c r="E188">
        <v>85.477028197440092</v>
      </c>
      <c r="F188">
        <v>78.471736662261307</v>
      </c>
      <c r="G188">
        <v>80.346699999999998</v>
      </c>
      <c r="H188">
        <v>81.5886</v>
      </c>
      <c r="I188" s="147">
        <v>81.684854523733151</v>
      </c>
      <c r="J188" s="112"/>
      <c r="K188" s="112"/>
      <c r="L188" s="126"/>
      <c r="M188" s="112"/>
      <c r="N188" s="126"/>
      <c r="O188" s="147"/>
      <c r="P188" s="147"/>
      <c r="Q188" s="147"/>
      <c r="R188" s="112"/>
      <c r="S188" s="112"/>
      <c r="T188" s="112"/>
      <c r="U188" s="146"/>
      <c r="V188" s="113"/>
      <c r="W188" s="113"/>
      <c r="X188" s="126"/>
      <c r="Y188" s="126"/>
    </row>
    <row r="189" spans="1:25" ht="14.7" customHeight="1">
      <c r="A189" s="131" t="s">
        <v>101</v>
      </c>
      <c r="B189" s="131"/>
      <c r="C189">
        <v>88.951191621623636</v>
      </c>
      <c r="D189">
        <v>88.044078832506585</v>
      </c>
      <c r="E189">
        <v>89.033069835640461</v>
      </c>
      <c r="F189">
        <v>83.244994120865556</v>
      </c>
      <c r="G189">
        <v>79.319600000000008</v>
      </c>
      <c r="H189">
        <v>80.437899999999999</v>
      </c>
      <c r="I189" s="147">
        <v>86.158562537308995</v>
      </c>
      <c r="J189" s="112"/>
      <c r="K189" s="112"/>
      <c r="L189" s="126"/>
      <c r="M189" s="112"/>
      <c r="N189" s="126"/>
      <c r="O189" s="147"/>
      <c r="P189" s="147"/>
      <c r="Q189" s="147"/>
      <c r="R189" s="112"/>
      <c r="S189" s="112"/>
      <c r="T189" s="112"/>
      <c r="U189" s="146"/>
      <c r="V189" s="113"/>
      <c r="W189" s="113"/>
      <c r="X189" s="126"/>
      <c r="Y189" s="126"/>
    </row>
    <row r="190" spans="1:25" ht="14.7" customHeight="1">
      <c r="A190" s="131" t="s">
        <v>214</v>
      </c>
      <c r="B190" s="131"/>
      <c r="C190">
        <v>89.783270436805495</v>
      </c>
      <c r="D190">
        <v>90.422046205695125</v>
      </c>
      <c r="E190">
        <v>90.790901928466099</v>
      </c>
      <c r="F190">
        <v>85.326190702678446</v>
      </c>
      <c r="G190">
        <v>82.037800000000004</v>
      </c>
      <c r="H190">
        <v>83.240099999999998</v>
      </c>
      <c r="I190" s="147">
        <v>85.828588747647387</v>
      </c>
      <c r="J190" s="112"/>
      <c r="K190" s="112"/>
      <c r="L190" s="126"/>
      <c r="M190" s="112"/>
      <c r="N190" s="126"/>
      <c r="O190" s="147"/>
      <c r="P190" s="147"/>
      <c r="Q190" s="147"/>
      <c r="R190" s="112"/>
      <c r="S190" s="112"/>
      <c r="T190" s="112"/>
      <c r="U190" s="146"/>
      <c r="V190" s="113"/>
      <c r="W190" s="113"/>
      <c r="X190" s="126"/>
      <c r="Y190" s="126"/>
    </row>
    <row r="191" spans="1:25" ht="14.7" customHeight="1">
      <c r="A191" s="131" t="s">
        <v>102</v>
      </c>
      <c r="B191" s="131"/>
      <c r="C191">
        <v>88.164140008356298</v>
      </c>
      <c r="D191">
        <v>88.717521584560686</v>
      </c>
      <c r="E191">
        <v>90.447039467084011</v>
      </c>
      <c r="F191">
        <v>84.91926593129881</v>
      </c>
      <c r="G191">
        <v>82.920400000000001</v>
      </c>
      <c r="H191">
        <v>82.942599999999999</v>
      </c>
      <c r="I191" s="147">
        <v>87.858171031059385</v>
      </c>
      <c r="J191" s="112"/>
      <c r="K191" s="112"/>
      <c r="L191" s="126"/>
      <c r="M191" s="112"/>
      <c r="N191" s="126"/>
      <c r="O191" s="147"/>
      <c r="P191" s="147"/>
      <c r="Q191" s="147"/>
      <c r="R191" s="112"/>
      <c r="S191" s="112"/>
      <c r="T191" s="112"/>
      <c r="U191" s="146"/>
      <c r="V191" s="113"/>
      <c r="W191" s="113"/>
      <c r="X191" s="126"/>
      <c r="Y191" s="126"/>
    </row>
    <row r="192" spans="1:25" ht="14.7" customHeight="1">
      <c r="A192" s="131" t="s">
        <v>103</v>
      </c>
      <c r="B192" s="131"/>
      <c r="C192">
        <v>88.31781988602043</v>
      </c>
      <c r="D192">
        <v>87.876927426765363</v>
      </c>
      <c r="E192">
        <v>87.613162952676504</v>
      </c>
      <c r="F192">
        <v>81.334638739004447</v>
      </c>
      <c r="G192">
        <v>79.998800000000003</v>
      </c>
      <c r="H192">
        <v>81.270799999999994</v>
      </c>
      <c r="I192" s="147">
        <v>86.064138133544859</v>
      </c>
      <c r="J192" s="112"/>
      <c r="K192" s="112"/>
      <c r="L192" s="126"/>
      <c r="M192" s="112"/>
      <c r="N192" s="126"/>
      <c r="O192" s="147"/>
      <c r="P192" s="147"/>
      <c r="Q192" s="147"/>
      <c r="R192" s="112"/>
      <c r="S192" s="112"/>
      <c r="T192" s="112"/>
      <c r="U192" s="146"/>
      <c r="V192" s="113"/>
      <c r="W192" s="113"/>
      <c r="X192" s="126"/>
      <c r="Y192" s="126"/>
    </row>
    <row r="193" spans="1:196" ht="14.7" customHeight="1">
      <c r="A193" s="131" t="s">
        <v>104</v>
      </c>
      <c r="B193" s="131"/>
      <c r="C193">
        <v>90.457079374178576</v>
      </c>
      <c r="D193">
        <v>92.387976763880246</v>
      </c>
      <c r="E193">
        <v>89.782711746390177</v>
      </c>
      <c r="F193">
        <v>81.407687842579563</v>
      </c>
      <c r="G193">
        <v>83.999200000000002</v>
      </c>
      <c r="H193">
        <v>83.747900000000001</v>
      </c>
      <c r="I193" s="147">
        <v>88.090950078857276</v>
      </c>
      <c r="J193" s="112"/>
      <c r="K193" s="112"/>
      <c r="L193" s="126"/>
      <c r="M193" s="112"/>
      <c r="N193" s="126"/>
      <c r="O193" s="147"/>
      <c r="P193" s="147"/>
      <c r="Q193" s="147"/>
      <c r="R193" s="112"/>
      <c r="S193" s="112"/>
      <c r="T193" s="112"/>
      <c r="U193" s="146"/>
      <c r="V193" s="113"/>
      <c r="W193" s="113"/>
      <c r="X193" s="126"/>
      <c r="Y193" s="126"/>
    </row>
    <row r="194" spans="1:196" ht="14.7" customHeight="1">
      <c r="A194" s="131" t="s">
        <v>274</v>
      </c>
      <c r="B194" s="131"/>
      <c r="C194">
        <v>82.778691870257461</v>
      </c>
      <c r="D194">
        <v>84.459252794577651</v>
      </c>
      <c r="E194">
        <v>82.241888139942247</v>
      </c>
      <c r="F194">
        <v>75.692348970105513</v>
      </c>
      <c r="G194">
        <v>74.639099999999999</v>
      </c>
      <c r="H194">
        <v>68.442000000000007</v>
      </c>
      <c r="I194" s="147">
        <v>71.31898618016173</v>
      </c>
      <c r="J194" s="112"/>
      <c r="K194" s="112"/>
      <c r="L194" s="126"/>
      <c r="M194" s="112"/>
      <c r="N194" s="126"/>
      <c r="O194" s="147"/>
      <c r="P194" s="147"/>
      <c r="Q194" s="147"/>
      <c r="R194" s="112"/>
      <c r="S194" s="112"/>
      <c r="T194" s="112"/>
      <c r="U194" s="146"/>
      <c r="V194" s="113"/>
      <c r="W194" s="113"/>
      <c r="X194" s="126"/>
      <c r="Y194" s="126"/>
    </row>
    <row r="195" spans="1:196" ht="14.7" customHeight="1">
      <c r="A195" s="131" t="s">
        <v>275</v>
      </c>
      <c r="B195" s="131"/>
      <c r="C195">
        <v>87.447508851420423</v>
      </c>
      <c r="D195">
        <v>88.49922724327925</v>
      </c>
      <c r="E195">
        <v>84.469857025421973</v>
      </c>
      <c r="F195">
        <v>79.211667797641567</v>
      </c>
      <c r="G195">
        <v>77.856300000000005</v>
      </c>
      <c r="H195">
        <v>84.072400000000002</v>
      </c>
      <c r="I195" s="147">
        <v>86.259907299488788</v>
      </c>
      <c r="J195" s="112"/>
      <c r="K195" s="112"/>
      <c r="L195" s="126"/>
      <c r="M195" s="112"/>
      <c r="N195" s="126"/>
      <c r="O195" s="147"/>
      <c r="P195" s="147"/>
      <c r="Q195" s="147"/>
      <c r="R195" s="112"/>
      <c r="S195" s="112"/>
      <c r="T195" s="112"/>
      <c r="U195" s="146"/>
      <c r="V195" s="113"/>
      <c r="W195" s="113"/>
      <c r="X195" s="126"/>
      <c r="Y195" s="126"/>
    </row>
    <row r="196" spans="1:196" ht="14.7" customHeight="1">
      <c r="A196" s="131" t="s">
        <v>105</v>
      </c>
      <c r="B196" s="131"/>
      <c r="C196">
        <v>91.254602625214872</v>
      </c>
      <c r="D196">
        <v>91.961103284584624</v>
      </c>
      <c r="E196">
        <v>88.82485653042923</v>
      </c>
      <c r="F196">
        <v>84.083380601205832</v>
      </c>
      <c r="G196">
        <v>81.60260000000001</v>
      </c>
      <c r="H196">
        <v>79.056300000000007</v>
      </c>
      <c r="I196" s="147">
        <v>87.778055448573227</v>
      </c>
      <c r="J196" s="112"/>
      <c r="K196" s="112"/>
      <c r="L196" s="126"/>
      <c r="M196" s="112"/>
      <c r="N196" s="126"/>
      <c r="O196" s="147"/>
      <c r="P196" s="147"/>
      <c r="Q196" s="147"/>
      <c r="R196" s="112"/>
      <c r="S196" s="112"/>
      <c r="T196" s="144"/>
      <c r="U196" s="146"/>
      <c r="V196" s="113"/>
      <c r="W196" s="113"/>
      <c r="X196" s="126"/>
      <c r="Y196" s="126"/>
    </row>
    <row r="197" spans="1:196" ht="14.7" customHeight="1">
      <c r="A197" s="131" t="s">
        <v>106</v>
      </c>
      <c r="B197" s="131"/>
      <c r="C197">
        <v>89.773771711743876</v>
      </c>
      <c r="D197">
        <v>89.082357893373469</v>
      </c>
      <c r="E197">
        <v>89.190630806770088</v>
      </c>
      <c r="F197">
        <v>80.227323524282909</v>
      </c>
      <c r="G197">
        <v>81.663300000000007</v>
      </c>
      <c r="H197">
        <v>85.742499999999993</v>
      </c>
      <c r="I197" s="147">
        <v>85.574582674005825</v>
      </c>
      <c r="J197" s="112"/>
      <c r="K197" s="112"/>
      <c r="L197" s="126"/>
      <c r="M197" s="112"/>
      <c r="N197" s="126"/>
      <c r="O197" s="147"/>
      <c r="P197" s="147"/>
      <c r="Q197" s="147"/>
      <c r="R197" s="112"/>
      <c r="S197" s="112"/>
      <c r="T197" s="112"/>
      <c r="U197" s="146"/>
      <c r="V197" s="113"/>
      <c r="W197" s="113"/>
      <c r="X197" s="126"/>
      <c r="Y197" s="126"/>
    </row>
    <row r="198" spans="1:196" ht="14.7" customHeight="1">
      <c r="A198" s="131" t="s">
        <v>345</v>
      </c>
      <c r="B198" s="131"/>
      <c r="C198">
        <v>85.58445528219336</v>
      </c>
      <c r="D198">
        <v>87.96427422280243</v>
      </c>
      <c r="E198">
        <v>87.901377396279273</v>
      </c>
      <c r="F198">
        <v>75.359238663983078</v>
      </c>
      <c r="G198">
        <v>81.637500000000003</v>
      </c>
      <c r="H198">
        <v>79.288600000000002</v>
      </c>
      <c r="I198" s="147">
        <v>80.124545311152787</v>
      </c>
      <c r="J198" s="112"/>
      <c r="K198" s="112"/>
      <c r="L198" s="126"/>
      <c r="M198" s="112"/>
      <c r="N198" s="126"/>
      <c r="O198" s="147"/>
      <c r="P198" s="147"/>
      <c r="Q198" s="147"/>
      <c r="R198" s="112"/>
      <c r="S198" s="112"/>
      <c r="T198" s="112"/>
      <c r="U198" s="147"/>
      <c r="V198" s="149"/>
      <c r="W198" s="149"/>
      <c r="X198" s="126"/>
      <c r="Y198" s="126"/>
    </row>
    <row r="199" spans="1:196" ht="14.7" customHeight="1">
      <c r="A199" s="131" t="s">
        <v>237</v>
      </c>
      <c r="B199" s="131"/>
      <c r="C199">
        <v>87.958490749224424</v>
      </c>
      <c r="D199">
        <v>88.008096211606997</v>
      </c>
      <c r="E199">
        <v>84.472609754343821</v>
      </c>
      <c r="F199">
        <v>80.744370698177747</v>
      </c>
      <c r="G199">
        <v>81.465500000000006</v>
      </c>
      <c r="H199">
        <v>79.2821</v>
      </c>
      <c r="I199" s="146">
        <v>80.690088061195226</v>
      </c>
      <c r="J199" s="144"/>
      <c r="K199" s="144"/>
      <c r="L199" s="126"/>
      <c r="M199" s="144"/>
      <c r="N199" s="126"/>
      <c r="O199" s="146"/>
      <c r="P199" s="146"/>
      <c r="Q199" s="146"/>
      <c r="R199" s="144"/>
      <c r="S199" s="144"/>
      <c r="T199" s="144"/>
      <c r="U199" s="146"/>
      <c r="V199" s="113"/>
      <c r="W199" s="113"/>
      <c r="X199" s="126"/>
      <c r="Y199" s="126"/>
    </row>
    <row r="200" spans="1:196" ht="14.7" customHeight="1">
      <c r="A200" s="131" t="s">
        <v>107</v>
      </c>
      <c r="B200" s="131"/>
      <c r="C200">
        <v>81.215163856533593</v>
      </c>
      <c r="D200">
        <v>85.506139354775456</v>
      </c>
      <c r="E200">
        <v>80.674469382848997</v>
      </c>
      <c r="F200">
        <v>74.445983106079225</v>
      </c>
      <c r="G200">
        <v>74.274000000000001</v>
      </c>
      <c r="H200">
        <v>75.855099999999993</v>
      </c>
      <c r="I200" s="147">
        <v>77.970266597016874</v>
      </c>
      <c r="J200" s="112"/>
      <c r="K200" s="112"/>
      <c r="L200" s="126"/>
      <c r="M200" s="112"/>
      <c r="N200" s="126"/>
      <c r="O200" s="147"/>
      <c r="P200" s="147"/>
      <c r="Q200" s="147"/>
      <c r="R200" s="112"/>
      <c r="S200" s="112"/>
      <c r="T200" s="112"/>
      <c r="U200" s="147"/>
      <c r="V200" s="149"/>
      <c r="W200" s="149"/>
      <c r="X200" s="126"/>
      <c r="Y200" s="126"/>
    </row>
    <row r="201" spans="1:196" ht="14.7" customHeight="1">
      <c r="A201" s="131" t="s">
        <v>215</v>
      </c>
      <c r="B201" s="131"/>
      <c r="C201">
        <v>82.587567691239997</v>
      </c>
      <c r="D201">
        <v>86.69046135865122</v>
      </c>
      <c r="E201">
        <v>83.042443399280216</v>
      </c>
      <c r="F201">
        <v>77.200108086808299</v>
      </c>
      <c r="G201">
        <v>78.159700000000001</v>
      </c>
      <c r="H201">
        <v>73.899000000000001</v>
      </c>
      <c r="I201" s="147">
        <v>79.226513527376213</v>
      </c>
      <c r="J201" s="112"/>
      <c r="K201" s="112"/>
      <c r="L201" s="126"/>
      <c r="M201" s="112"/>
      <c r="N201" s="126"/>
      <c r="O201" s="147"/>
      <c r="P201" s="147"/>
      <c r="Q201" s="147"/>
      <c r="R201" s="112"/>
      <c r="S201" s="112"/>
      <c r="T201" s="112"/>
      <c r="U201" s="146"/>
      <c r="V201" s="113"/>
      <c r="W201" s="113"/>
      <c r="X201" s="126"/>
      <c r="Y201" s="126"/>
    </row>
    <row r="202" spans="1:196" ht="14.7" customHeight="1">
      <c r="A202" s="131" t="s">
        <v>319</v>
      </c>
      <c r="B202" s="131"/>
      <c r="C202">
        <v>87.270743345184357</v>
      </c>
      <c r="D202">
        <v>87.4919036412293</v>
      </c>
      <c r="E202">
        <v>85.721183274436427</v>
      </c>
      <c r="F202">
        <v>78.510270024588223</v>
      </c>
      <c r="G202">
        <v>81.668499999999995</v>
      </c>
      <c r="H202">
        <v>81.222200000000001</v>
      </c>
      <c r="I202" s="147">
        <v>81.75538355622308</v>
      </c>
      <c r="J202" s="112"/>
      <c r="K202" s="112"/>
      <c r="L202" s="126"/>
      <c r="M202" s="112"/>
      <c r="N202" s="126"/>
      <c r="O202" s="147"/>
      <c r="P202" s="147"/>
      <c r="Q202" s="147"/>
      <c r="R202" s="112"/>
      <c r="S202" s="112"/>
      <c r="T202" s="112"/>
      <c r="U202" s="146"/>
      <c r="V202" s="113"/>
      <c r="W202" s="113"/>
      <c r="X202" s="126"/>
      <c r="Y202" s="126"/>
    </row>
    <row r="203" spans="1:196" ht="14.7" customHeight="1">
      <c r="A203" s="131" t="s">
        <v>108</v>
      </c>
      <c r="B203" s="131"/>
      <c r="C203">
        <v>88.076404755433416</v>
      </c>
      <c r="D203">
        <v>91.171845918199224</v>
      </c>
      <c r="E203">
        <v>88.984467389468037</v>
      </c>
      <c r="F203">
        <v>81.129652221160342</v>
      </c>
      <c r="G203">
        <v>81.588300000000004</v>
      </c>
      <c r="H203">
        <v>84.844099999999997</v>
      </c>
      <c r="I203" s="147">
        <v>81.713744611381074</v>
      </c>
      <c r="J203" s="112"/>
      <c r="K203" s="112"/>
      <c r="L203" s="126"/>
      <c r="M203" s="112"/>
      <c r="N203" s="126"/>
      <c r="O203" s="147"/>
      <c r="P203" s="147"/>
      <c r="Q203" s="147"/>
      <c r="R203" s="112"/>
      <c r="S203" s="112"/>
      <c r="T203" s="112"/>
      <c r="U203" s="146"/>
      <c r="V203" s="113"/>
      <c r="W203" s="113"/>
      <c r="X203" s="126"/>
      <c r="Y203" s="126"/>
    </row>
    <row r="204" spans="1:196" ht="14.7" customHeight="1">
      <c r="A204" s="131" t="s">
        <v>109</v>
      </c>
      <c r="B204" s="131"/>
      <c r="C204">
        <v>87.418351736962975</v>
      </c>
      <c r="D204">
        <v>87.392309780445643</v>
      </c>
      <c r="E204">
        <v>87.198419488698178</v>
      </c>
      <c r="F204">
        <v>78.782917192671704</v>
      </c>
      <c r="G204">
        <v>81.7958</v>
      </c>
      <c r="H204">
        <v>85.591700000000003</v>
      </c>
      <c r="I204" s="147" t="s">
        <v>908</v>
      </c>
      <c r="J204" s="112"/>
      <c r="K204" s="112"/>
      <c r="L204" s="126"/>
      <c r="M204" s="112"/>
      <c r="N204" s="126"/>
      <c r="O204" s="147"/>
      <c r="P204" s="147"/>
      <c r="Q204" s="147"/>
      <c r="R204" s="112"/>
      <c r="S204" s="112"/>
      <c r="T204" s="112"/>
      <c r="U204" s="146"/>
      <c r="V204" s="113"/>
      <c r="W204" s="113"/>
      <c r="X204" s="126"/>
      <c r="Y204" s="126"/>
    </row>
    <row r="205" spans="1:196" ht="14.7" customHeight="1">
      <c r="A205" s="131" t="s">
        <v>110</v>
      </c>
      <c r="B205" s="131"/>
      <c r="C205">
        <v>85.939854111308762</v>
      </c>
      <c r="D205">
        <v>81.516497656321818</v>
      </c>
      <c r="E205">
        <v>85.812753030312209</v>
      </c>
      <c r="F205">
        <v>81.25826491098897</v>
      </c>
      <c r="G205">
        <v>77.983100000000007</v>
      </c>
      <c r="H205">
        <v>76.912000000000006</v>
      </c>
      <c r="I205" s="147">
        <v>82.305033352848682</v>
      </c>
      <c r="J205" s="112"/>
      <c r="K205" s="112"/>
      <c r="L205" s="126"/>
      <c r="M205" s="112"/>
      <c r="N205" s="126"/>
      <c r="O205" s="147"/>
      <c r="P205" s="147"/>
      <c r="Q205" s="147"/>
      <c r="R205" s="112"/>
      <c r="S205" s="112"/>
      <c r="T205" s="112"/>
      <c r="U205" s="147"/>
      <c r="V205" s="149"/>
      <c r="W205" s="149"/>
      <c r="X205" s="126"/>
      <c r="Y205" s="126"/>
    </row>
    <row r="206" spans="1:196" ht="14.7" customHeight="1">
      <c r="A206" s="131" t="s">
        <v>276</v>
      </c>
      <c r="B206" s="131"/>
      <c r="C206">
        <v>84.135283917960521</v>
      </c>
      <c r="D206">
        <v>85.71695141856479</v>
      </c>
      <c r="E206">
        <v>86.456301685615983</v>
      </c>
      <c r="F206">
        <v>77.80124185861888</v>
      </c>
      <c r="G206">
        <v>73.987200000000001</v>
      </c>
      <c r="H206">
        <v>71.992100000000008</v>
      </c>
      <c r="I206" s="147">
        <v>74.110753457806638</v>
      </c>
      <c r="J206" s="112"/>
      <c r="K206" s="112"/>
      <c r="L206" s="126"/>
      <c r="M206" s="112"/>
      <c r="N206" s="126"/>
      <c r="O206" s="147"/>
      <c r="P206" s="147"/>
      <c r="Q206" s="147"/>
      <c r="R206" s="112"/>
      <c r="S206" s="112"/>
      <c r="T206" s="112"/>
      <c r="U206" s="146"/>
      <c r="V206" s="113"/>
      <c r="W206" s="113"/>
      <c r="X206" s="126"/>
      <c r="Y206" s="126"/>
    </row>
    <row r="207" spans="1:196" ht="14.7" customHeight="1">
      <c r="A207" s="171" t="s">
        <v>111</v>
      </c>
      <c r="B207" s="171"/>
      <c r="C207">
        <v>90.280853417859703</v>
      </c>
      <c r="D207">
        <v>92.018021913471969</v>
      </c>
      <c r="E207">
        <v>89.446104745121289</v>
      </c>
      <c r="F207">
        <v>82.192561566491008</v>
      </c>
      <c r="G207">
        <v>82.270200000000003</v>
      </c>
      <c r="H207">
        <v>84.456699999999998</v>
      </c>
      <c r="I207" s="147">
        <v>87.469177998201303</v>
      </c>
      <c r="J207" s="112"/>
      <c r="K207" s="112"/>
      <c r="L207" s="126"/>
      <c r="M207" s="112"/>
      <c r="N207" s="126"/>
      <c r="O207" s="147"/>
      <c r="P207" s="147"/>
      <c r="Q207" s="147"/>
      <c r="R207" s="112"/>
      <c r="S207" s="112"/>
      <c r="T207" s="112"/>
      <c r="U207" s="146"/>
      <c r="V207" s="113"/>
      <c r="W207" s="113"/>
      <c r="X207" s="126"/>
      <c r="Y207" s="126"/>
    </row>
    <row r="208" spans="1:196" s="175" customFormat="1" ht="11.25" customHeight="1">
      <c r="A208" s="172" t="s">
        <v>112</v>
      </c>
      <c r="B208" s="172"/>
      <c r="C208">
        <v>86.322613060353731</v>
      </c>
      <c r="D208">
        <v>87.377507218596563</v>
      </c>
      <c r="E208">
        <v>85.629886274195783</v>
      </c>
      <c r="F208">
        <v>80.894716590668352</v>
      </c>
      <c r="G208">
        <v>79.2029</v>
      </c>
      <c r="H208">
        <v>79.635100000000008</v>
      </c>
      <c r="I208" s="173">
        <v>81.826191824274247</v>
      </c>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25" ht="14.7" customHeight="1">
      <c r="A209" s="110" t="s">
        <v>277</v>
      </c>
      <c r="B209" s="190"/>
      <c r="C209">
        <v>81.227593543776408</v>
      </c>
      <c r="D209">
        <v>80.719337934194314</v>
      </c>
      <c r="E209">
        <v>78.559491945403209</v>
      </c>
      <c r="F209">
        <v>77.897416705201195</v>
      </c>
      <c r="G209">
        <v>77.884699999999995</v>
      </c>
      <c r="H209">
        <v>75.070899999999995</v>
      </c>
      <c r="I209" s="147">
        <v>75.210789842839205</v>
      </c>
      <c r="J209" s="112"/>
      <c r="K209" s="112"/>
      <c r="L209" s="126"/>
      <c r="M209" s="112"/>
      <c r="N209" s="126"/>
      <c r="O209" s="147"/>
      <c r="P209" s="147"/>
      <c r="Q209" s="147"/>
      <c r="R209" s="112"/>
      <c r="S209" s="112"/>
      <c r="T209" s="112"/>
      <c r="U209" s="146"/>
      <c r="V209" s="113"/>
      <c r="W209" s="113"/>
      <c r="X209" s="126"/>
      <c r="Y209" s="126"/>
    </row>
    <row r="210" spans="1:25" ht="14.7" customHeight="1">
      <c r="A210" s="142" t="s">
        <v>113</v>
      </c>
      <c r="B210" s="190"/>
      <c r="C210">
        <v>87.230915285708363</v>
      </c>
      <c r="D210">
        <v>90.194199999999995</v>
      </c>
      <c r="E210">
        <v>83.500832978187589</v>
      </c>
      <c r="F210">
        <v>81.438218522410082</v>
      </c>
      <c r="G210">
        <v>81.884900000000002</v>
      </c>
      <c r="H210">
        <v>85.3005</v>
      </c>
      <c r="I210" s="147">
        <v>83.964601414595634</v>
      </c>
      <c r="J210" s="112"/>
      <c r="K210" s="112"/>
      <c r="L210" s="126"/>
      <c r="M210" s="112"/>
      <c r="N210" s="126"/>
      <c r="O210" s="147"/>
      <c r="P210" s="147"/>
      <c r="Q210" s="147"/>
      <c r="R210" s="112"/>
      <c r="S210" s="112"/>
      <c r="T210" s="112"/>
      <c r="U210" s="146"/>
      <c r="V210" s="113"/>
      <c r="W210" s="113"/>
      <c r="X210" s="126"/>
      <c r="Y210" s="126"/>
    </row>
    <row r="211" spans="1:25" ht="14.7" customHeight="1">
      <c r="A211" s="110" t="s">
        <v>278</v>
      </c>
      <c r="B211" s="190"/>
      <c r="C211">
        <v>86.005953205070156</v>
      </c>
      <c r="D211">
        <v>87.826577193185244</v>
      </c>
      <c r="E211">
        <v>88.018573772221856</v>
      </c>
      <c r="F211">
        <v>80.801997692717578</v>
      </c>
      <c r="G211">
        <v>83.412800000000004</v>
      </c>
      <c r="H211">
        <v>84.479100000000003</v>
      </c>
      <c r="I211" s="147">
        <v>84.047015474190218</v>
      </c>
      <c r="J211" s="112"/>
      <c r="K211" s="112"/>
      <c r="L211" s="126"/>
      <c r="M211" s="112"/>
      <c r="N211" s="126"/>
      <c r="O211" s="147"/>
      <c r="P211" s="147"/>
      <c r="Q211" s="147"/>
      <c r="R211" s="112"/>
      <c r="S211" s="112"/>
      <c r="T211" s="112"/>
      <c r="U211" s="146"/>
      <c r="V211" s="113"/>
      <c r="W211" s="113"/>
      <c r="X211" s="126"/>
      <c r="Y211" s="126"/>
    </row>
    <row r="212" spans="1:25" ht="14.7" customHeight="1">
      <c r="A212" s="110" t="s">
        <v>238</v>
      </c>
      <c r="B212" s="190"/>
      <c r="C212">
        <v>85.262396429932522</v>
      </c>
      <c r="D212">
        <v>89.303386454183268</v>
      </c>
      <c r="E212">
        <v>85.665223464765035</v>
      </c>
      <c r="F212">
        <v>79.169653212586113</v>
      </c>
      <c r="G212">
        <v>81.505799999999994</v>
      </c>
      <c r="H212">
        <v>77.680300000000003</v>
      </c>
      <c r="I212" s="147">
        <v>77.428046096756603</v>
      </c>
      <c r="J212" s="112"/>
      <c r="K212" s="112"/>
      <c r="L212" s="126"/>
      <c r="M212" s="112"/>
      <c r="N212" s="126"/>
      <c r="O212" s="147"/>
      <c r="P212" s="147"/>
      <c r="Q212" s="147"/>
      <c r="R212" s="112"/>
      <c r="S212" s="112"/>
      <c r="T212" s="112"/>
      <c r="U212" s="147"/>
      <c r="V212" s="149"/>
      <c r="W212" s="149"/>
      <c r="X212" s="126"/>
      <c r="Y212" s="126"/>
    </row>
    <row r="213" spans="1:25" ht="14.7" customHeight="1">
      <c r="A213" s="110" t="s">
        <v>114</v>
      </c>
      <c r="B213" s="190"/>
      <c r="C213">
        <v>86.351459523745945</v>
      </c>
      <c r="D213">
        <v>81.646975632984464</v>
      </c>
      <c r="E213">
        <v>85.461358976171965</v>
      </c>
      <c r="F213">
        <v>78.409067893917367</v>
      </c>
      <c r="G213">
        <v>76.585300000000004</v>
      </c>
      <c r="H213">
        <v>80.865200000000002</v>
      </c>
      <c r="I213" s="147">
        <v>77.300064284355642</v>
      </c>
      <c r="J213" s="112"/>
      <c r="K213" s="112"/>
      <c r="L213" s="126"/>
      <c r="M213" s="112"/>
      <c r="N213" s="126"/>
      <c r="O213" s="147"/>
      <c r="P213" s="147"/>
      <c r="Q213" s="147"/>
      <c r="R213" s="112"/>
      <c r="S213" s="112"/>
      <c r="T213" s="112"/>
      <c r="U213" s="146"/>
      <c r="V213" s="113"/>
      <c r="W213" s="113"/>
      <c r="X213" s="126"/>
      <c r="Y213" s="126"/>
    </row>
    <row r="214" spans="1:25" ht="14.7" customHeight="1">
      <c r="A214" s="110" t="s">
        <v>115</v>
      </c>
      <c r="B214" s="190"/>
      <c r="C214">
        <v>87.982903306092439</v>
      </c>
      <c r="D214">
        <v>87.805382560924429</v>
      </c>
      <c r="E214">
        <v>83.774007457261447</v>
      </c>
      <c r="F214">
        <v>75.108238750538121</v>
      </c>
      <c r="G214">
        <v>78.803599999999989</v>
      </c>
      <c r="H214">
        <v>77.100300000000004</v>
      </c>
      <c r="I214" s="147">
        <v>82.385392027866203</v>
      </c>
      <c r="J214" s="112"/>
      <c r="K214" s="112"/>
      <c r="L214" s="126"/>
      <c r="M214" s="112"/>
      <c r="N214" s="126"/>
      <c r="O214" s="147"/>
      <c r="P214" s="147"/>
      <c r="Q214" s="147"/>
      <c r="R214" s="112"/>
      <c r="S214" s="112"/>
      <c r="T214" s="112"/>
      <c r="U214" s="146"/>
      <c r="V214" s="113"/>
      <c r="W214" s="113"/>
      <c r="X214" s="126"/>
      <c r="Y214" s="126"/>
    </row>
    <row r="215" spans="1:25" ht="14.7" customHeight="1">
      <c r="A215" s="110" t="s">
        <v>320</v>
      </c>
      <c r="B215" s="190"/>
      <c r="C215">
        <v>88.327599515654356</v>
      </c>
      <c r="D215">
        <v>88.926774324231388</v>
      </c>
      <c r="E215">
        <v>88.202753893331732</v>
      </c>
      <c r="F215">
        <v>80.339522343284514</v>
      </c>
      <c r="G215">
        <v>83.225099999999998</v>
      </c>
      <c r="H215">
        <v>82.5334</v>
      </c>
      <c r="I215" s="147">
        <v>83.963842489910377</v>
      </c>
      <c r="J215" s="112"/>
      <c r="K215" s="112"/>
      <c r="L215" s="126"/>
      <c r="M215" s="112"/>
      <c r="N215" s="126"/>
      <c r="O215" s="147"/>
      <c r="P215" s="147"/>
      <c r="Q215" s="147"/>
      <c r="R215" s="112"/>
      <c r="S215" s="112"/>
      <c r="T215" s="112"/>
      <c r="U215" s="147"/>
      <c r="V215" s="149"/>
      <c r="W215" s="149"/>
      <c r="X215" s="126"/>
      <c r="Y215" s="126"/>
    </row>
    <row r="216" spans="1:25" ht="14.7" customHeight="1">
      <c r="A216" s="110" t="s">
        <v>116</v>
      </c>
      <c r="B216" s="190"/>
      <c r="C216">
        <v>89.689460915081696</v>
      </c>
      <c r="D216">
        <v>85.193278515620989</v>
      </c>
      <c r="E216">
        <v>86.136657849906726</v>
      </c>
      <c r="F216">
        <v>77.197025711273611</v>
      </c>
      <c r="G216">
        <v>76.798400000000001</v>
      </c>
      <c r="H216">
        <v>74.955700000000007</v>
      </c>
      <c r="I216" s="147">
        <v>75.921860953740193</v>
      </c>
      <c r="J216" s="112"/>
      <c r="K216" s="112"/>
      <c r="L216" s="126"/>
      <c r="M216" s="112"/>
      <c r="N216" s="126"/>
      <c r="O216" s="147"/>
      <c r="P216" s="147"/>
      <c r="Q216" s="147"/>
      <c r="R216" s="112"/>
      <c r="S216" s="112"/>
      <c r="T216" s="112"/>
      <c r="U216" s="146"/>
      <c r="V216" s="113"/>
      <c r="W216" s="113"/>
      <c r="X216" s="126"/>
      <c r="Y216" s="126"/>
    </row>
    <row r="217" spans="1:25" ht="14.7" customHeight="1">
      <c r="A217" s="110" t="s">
        <v>321</v>
      </c>
      <c r="B217" s="190"/>
      <c r="C217">
        <v>87.979747508360546</v>
      </c>
      <c r="D217">
        <v>86.205153224187754</v>
      </c>
      <c r="E217">
        <v>85.894909398675949</v>
      </c>
      <c r="F217">
        <v>78.843598959306831</v>
      </c>
      <c r="G217">
        <v>77.708299999999994</v>
      </c>
      <c r="H217">
        <v>76.165499999999994</v>
      </c>
      <c r="I217" s="147">
        <v>79.79867780945284</v>
      </c>
      <c r="J217" s="112"/>
      <c r="K217" s="112"/>
      <c r="L217" s="126"/>
      <c r="M217" s="112"/>
      <c r="N217" s="126"/>
      <c r="O217" s="147"/>
      <c r="P217" s="147"/>
      <c r="Q217" s="147"/>
      <c r="R217" s="112"/>
      <c r="S217" s="112"/>
      <c r="T217" s="112"/>
      <c r="U217" s="146"/>
      <c r="V217" s="113"/>
      <c r="W217" s="113"/>
      <c r="X217" s="126"/>
      <c r="Y217" s="126"/>
    </row>
    <row r="218" spans="1:25" ht="14.7" customHeight="1">
      <c r="A218" s="110" t="s">
        <v>322</v>
      </c>
      <c r="B218" s="190"/>
      <c r="C218">
        <v>88.360467872841909</v>
      </c>
      <c r="D218">
        <v>89.925963580312711</v>
      </c>
      <c r="E218">
        <v>87.020828950136746</v>
      </c>
      <c r="F218">
        <v>78.895828375138365</v>
      </c>
      <c r="G218">
        <v>80.256299999999996</v>
      </c>
      <c r="H218">
        <v>78.613699999999994</v>
      </c>
      <c r="I218" s="147">
        <v>84.749168702818679</v>
      </c>
      <c r="J218" s="112"/>
      <c r="K218" s="112"/>
      <c r="L218" s="126"/>
      <c r="M218" s="112"/>
      <c r="N218" s="126"/>
      <c r="O218" s="147"/>
      <c r="P218" s="147"/>
      <c r="Q218" s="147"/>
      <c r="R218" s="112"/>
      <c r="S218" s="112"/>
      <c r="T218" s="112"/>
      <c r="U218" s="146"/>
      <c r="V218" s="113"/>
      <c r="W218" s="113"/>
      <c r="X218" s="126"/>
      <c r="Y218" s="126"/>
    </row>
    <row r="219" spans="1:25" ht="14.7" customHeight="1">
      <c r="A219" s="110" t="s">
        <v>117</v>
      </c>
      <c r="B219" s="190"/>
      <c r="C219">
        <v>91.139847908791566</v>
      </c>
      <c r="D219">
        <v>91.345361707681135</v>
      </c>
      <c r="E219">
        <v>91.603739873793003</v>
      </c>
      <c r="F219">
        <v>87.218691766386613</v>
      </c>
      <c r="G219">
        <v>86.369500000000002</v>
      </c>
      <c r="H219">
        <v>85.798200000000008</v>
      </c>
      <c r="I219" s="147">
        <v>87.667255896741864</v>
      </c>
      <c r="J219" s="112"/>
      <c r="K219" s="112"/>
      <c r="L219" s="126"/>
      <c r="M219" s="112"/>
      <c r="N219" s="126"/>
      <c r="O219" s="147"/>
      <c r="P219" s="147"/>
      <c r="Q219" s="147"/>
      <c r="R219" s="112"/>
      <c r="S219" s="112"/>
      <c r="T219" s="112"/>
      <c r="U219" s="146"/>
      <c r="V219" s="113"/>
      <c r="W219" s="113"/>
      <c r="X219" s="126"/>
      <c r="Y219" s="126"/>
    </row>
    <row r="220" spans="1:25" ht="14.7" customHeight="1">
      <c r="A220" s="110" t="s">
        <v>279</v>
      </c>
      <c r="B220" s="190"/>
      <c r="C220">
        <v>85.615645673401431</v>
      </c>
      <c r="D220">
        <v>87.261692643562142</v>
      </c>
      <c r="E220">
        <v>82.848479770216628</v>
      </c>
      <c r="F220">
        <v>76.756300734105494</v>
      </c>
      <c r="G220">
        <v>78.002200000000002</v>
      </c>
      <c r="H220">
        <v>78.478999999999999</v>
      </c>
      <c r="I220" s="147">
        <v>79.213544996271906</v>
      </c>
      <c r="J220" s="112"/>
      <c r="K220" s="112"/>
      <c r="L220" s="126"/>
      <c r="M220" s="112"/>
      <c r="N220" s="126"/>
      <c r="O220" s="147"/>
      <c r="P220" s="147"/>
      <c r="Q220" s="147"/>
      <c r="R220" s="112"/>
      <c r="S220" s="112"/>
      <c r="T220" s="112"/>
      <c r="U220" s="147"/>
      <c r="V220" s="149"/>
      <c r="W220" s="149"/>
      <c r="X220" s="126"/>
      <c r="Y220" s="126"/>
    </row>
    <row r="221" spans="1:25" ht="14.7" customHeight="1">
      <c r="A221" s="110" t="s">
        <v>323</v>
      </c>
      <c r="B221" s="190"/>
      <c r="C221">
        <v>86.914344414725591</v>
      </c>
      <c r="D221">
        <v>86.045942393596022</v>
      </c>
      <c r="E221">
        <v>87.478328187924618</v>
      </c>
      <c r="F221">
        <v>78.083163768629888</v>
      </c>
      <c r="G221">
        <v>79.117699999999999</v>
      </c>
      <c r="H221">
        <v>79.461700000000008</v>
      </c>
      <c r="I221" s="147">
        <v>80.365637953863711</v>
      </c>
      <c r="J221" s="112"/>
      <c r="K221" s="112"/>
      <c r="L221" s="126"/>
      <c r="M221" s="112"/>
      <c r="N221" s="126"/>
      <c r="O221" s="147"/>
      <c r="P221" s="147"/>
      <c r="Q221" s="147"/>
      <c r="R221" s="112"/>
      <c r="S221" s="112"/>
      <c r="T221" s="112"/>
      <c r="U221" s="146"/>
      <c r="V221" s="113"/>
      <c r="W221" s="113"/>
      <c r="X221" s="126"/>
      <c r="Y221" s="126"/>
    </row>
    <row r="222" spans="1:25" ht="14.7" customHeight="1">
      <c r="A222" s="110" t="s">
        <v>346</v>
      </c>
      <c r="B222" s="190"/>
      <c r="C222">
        <v>84.610463877468689</v>
      </c>
      <c r="D222">
        <v>86.368505896200048</v>
      </c>
      <c r="E222">
        <v>87.549998104809987</v>
      </c>
      <c r="F222">
        <v>70.039736286900762</v>
      </c>
      <c r="G222">
        <v>73.355000000000004</v>
      </c>
      <c r="H222">
        <v>78.091499999999996</v>
      </c>
      <c r="I222" s="147">
        <v>74.132264342587916</v>
      </c>
      <c r="J222" s="112"/>
      <c r="K222" s="112"/>
      <c r="L222" s="126"/>
      <c r="M222" s="112"/>
      <c r="N222" s="126"/>
      <c r="O222" s="147"/>
      <c r="P222" s="147"/>
      <c r="Q222" s="147"/>
      <c r="R222" s="112"/>
      <c r="S222" s="112"/>
      <c r="T222" s="112"/>
      <c r="U222" s="146"/>
      <c r="V222" s="113"/>
      <c r="W222" s="113"/>
      <c r="X222" s="126"/>
      <c r="Y222" s="126"/>
    </row>
    <row r="223" spans="1:25" ht="14.7" customHeight="1">
      <c r="A223" s="110" t="s">
        <v>347</v>
      </c>
      <c r="B223" s="190"/>
      <c r="C223">
        <v>88.71702699400214</v>
      </c>
      <c r="D223">
        <v>88.597700304461554</v>
      </c>
      <c r="E223">
        <v>83.330447388555555</v>
      </c>
      <c r="F223">
        <v>78.459269619473332</v>
      </c>
      <c r="G223">
        <v>70.854200000000006</v>
      </c>
      <c r="H223">
        <v>73.594899999999996</v>
      </c>
      <c r="I223" s="147">
        <v>79.971389270307597</v>
      </c>
      <c r="J223" s="112"/>
      <c r="K223" s="112"/>
      <c r="L223" s="126"/>
      <c r="M223" s="112"/>
      <c r="N223" s="126"/>
      <c r="O223" s="147"/>
      <c r="P223" s="147"/>
      <c r="Q223" s="147"/>
      <c r="R223" s="112"/>
      <c r="S223" s="112"/>
      <c r="T223" s="112"/>
      <c r="U223" s="146"/>
      <c r="V223" s="113"/>
      <c r="W223" s="113"/>
      <c r="X223" s="126"/>
      <c r="Y223" s="126"/>
    </row>
    <row r="224" spans="1:25" ht="14.7" customHeight="1">
      <c r="A224" s="110" t="s">
        <v>239</v>
      </c>
      <c r="B224" s="190"/>
      <c r="C224">
        <v>84.154456604252573</v>
      </c>
      <c r="D224">
        <v>81.246296783962606</v>
      </c>
      <c r="E224">
        <v>84.470376674085657</v>
      </c>
      <c r="F224">
        <v>77.946562362327654</v>
      </c>
      <c r="G224">
        <v>71.953999999999994</v>
      </c>
      <c r="H224">
        <v>71.332999999999998</v>
      </c>
      <c r="I224" s="147">
        <v>71.172151536990555</v>
      </c>
      <c r="J224" s="112"/>
      <c r="K224" s="112"/>
      <c r="L224" s="126"/>
      <c r="M224" s="112"/>
      <c r="N224" s="126"/>
      <c r="O224" s="147"/>
      <c r="P224" s="147"/>
      <c r="Q224" s="147"/>
      <c r="R224" s="112"/>
      <c r="S224" s="112"/>
      <c r="T224" s="112"/>
      <c r="U224" s="146"/>
      <c r="V224" s="113"/>
      <c r="W224" s="113"/>
      <c r="X224" s="126"/>
      <c r="Y224" s="126"/>
    </row>
    <row r="225" spans="1:25" ht="14.7" customHeight="1">
      <c r="A225" s="110" t="s">
        <v>118</v>
      </c>
      <c r="B225" s="190"/>
      <c r="C225">
        <v>93.732409709678805</v>
      </c>
      <c r="D225">
        <v>91.966773136856716</v>
      </c>
      <c r="E225">
        <v>92.757802504248346</v>
      </c>
      <c r="F225">
        <v>89.871919114577565</v>
      </c>
      <c r="G225">
        <v>84.79379999999999</v>
      </c>
      <c r="H225">
        <v>89.169499999999999</v>
      </c>
      <c r="I225" s="147">
        <v>90.450497364548298</v>
      </c>
      <c r="J225" s="112"/>
      <c r="K225" s="112"/>
      <c r="L225" s="126"/>
      <c r="M225" s="112"/>
      <c r="N225" s="126"/>
      <c r="O225" s="147"/>
      <c r="P225" s="147"/>
      <c r="Q225" s="147"/>
      <c r="R225" s="112"/>
      <c r="S225" s="112"/>
      <c r="T225" s="112"/>
      <c r="U225" s="146"/>
      <c r="V225" s="113"/>
      <c r="W225" s="113"/>
      <c r="X225" s="126"/>
      <c r="Y225" s="126"/>
    </row>
    <row r="226" spans="1:25" ht="14.7" customHeight="1">
      <c r="A226" s="110" t="s">
        <v>324</v>
      </c>
      <c r="B226" s="190"/>
      <c r="C226">
        <v>91.437304608546725</v>
      </c>
      <c r="D226">
        <v>90.575477125033302</v>
      </c>
      <c r="E226">
        <v>89.754903943056448</v>
      </c>
      <c r="F226">
        <v>84.21962209314276</v>
      </c>
      <c r="G226">
        <v>83.221599999999995</v>
      </c>
      <c r="H226">
        <v>86.718900000000005</v>
      </c>
      <c r="I226" s="147">
        <v>87.874989098739817</v>
      </c>
      <c r="J226" s="112"/>
      <c r="K226" s="112"/>
      <c r="L226" s="126"/>
      <c r="M226" s="112"/>
      <c r="N226" s="126"/>
      <c r="O226" s="147"/>
      <c r="P226" s="147"/>
      <c r="Q226" s="147"/>
      <c r="R226" s="112"/>
      <c r="S226" s="112"/>
      <c r="T226" s="112"/>
      <c r="U226" s="146"/>
      <c r="V226" s="113"/>
      <c r="W226" s="113"/>
      <c r="X226" s="126"/>
      <c r="Y226" s="126"/>
    </row>
    <row r="227" spans="1:25" ht="14.7" customHeight="1">
      <c r="A227" s="110" t="s">
        <v>119</v>
      </c>
      <c r="B227" s="190"/>
      <c r="C227">
        <v>85.760036297043513</v>
      </c>
      <c r="D227">
        <v>80.340432266599564</v>
      </c>
      <c r="E227">
        <v>85.330393316840556</v>
      </c>
      <c r="F227">
        <v>71.035576366899036</v>
      </c>
      <c r="G227">
        <v>75.520299999999992</v>
      </c>
      <c r="H227">
        <v>67.229200000000006</v>
      </c>
      <c r="I227" s="147">
        <v>75.635752488429077</v>
      </c>
      <c r="J227" s="112"/>
      <c r="K227" s="112"/>
      <c r="L227" s="126"/>
      <c r="M227" s="112"/>
      <c r="N227" s="126"/>
      <c r="O227" s="147"/>
      <c r="P227" s="147"/>
      <c r="Q227" s="147"/>
      <c r="R227" s="112"/>
      <c r="S227" s="112"/>
      <c r="T227" s="112"/>
      <c r="U227" s="147"/>
      <c r="V227" s="149"/>
      <c r="W227" s="149"/>
      <c r="X227" s="126"/>
      <c r="Y227" s="126"/>
    </row>
    <row r="228" spans="1:25" ht="14.7" customHeight="1">
      <c r="A228" s="110" t="s">
        <v>280</v>
      </c>
      <c r="B228" s="190"/>
      <c r="C228">
        <v>84.235165733999636</v>
      </c>
      <c r="D228">
        <v>86.265118888503864</v>
      </c>
      <c r="E228">
        <v>85.741036268016614</v>
      </c>
      <c r="F228">
        <v>77.162970177679028</v>
      </c>
      <c r="G228">
        <v>80.429099999999991</v>
      </c>
      <c r="H228">
        <v>76.956699999999998</v>
      </c>
      <c r="I228" s="147">
        <v>78.442350379171074</v>
      </c>
      <c r="J228" s="112"/>
      <c r="K228" s="112"/>
      <c r="L228" s="126"/>
      <c r="M228" s="112"/>
      <c r="N228" s="126"/>
      <c r="O228" s="147"/>
      <c r="P228" s="147"/>
      <c r="Q228" s="147"/>
      <c r="R228" s="112"/>
      <c r="S228" s="112"/>
      <c r="T228" s="112"/>
      <c r="U228" s="146"/>
      <c r="V228" s="113"/>
      <c r="W228" s="113"/>
      <c r="X228" s="126"/>
      <c r="Y228" s="126"/>
    </row>
    <row r="229" spans="1:25" ht="14.7" customHeight="1">
      <c r="A229" s="110" t="s">
        <v>281</v>
      </c>
      <c r="B229" s="190"/>
      <c r="C229">
        <v>88.410118414041264</v>
      </c>
      <c r="D229">
        <v>87.985274768230738</v>
      </c>
      <c r="E229">
        <v>85.335752460212589</v>
      </c>
      <c r="F229">
        <v>81.813643548819044</v>
      </c>
      <c r="G229">
        <v>79.593599999999995</v>
      </c>
      <c r="H229">
        <v>77.491100000000003</v>
      </c>
      <c r="I229" s="147">
        <v>81.902072060518705</v>
      </c>
      <c r="J229" s="112"/>
      <c r="K229" s="112"/>
      <c r="L229" s="126"/>
      <c r="M229" s="112"/>
      <c r="N229" s="126"/>
      <c r="O229" s="147"/>
      <c r="P229" s="147"/>
      <c r="Q229" s="147"/>
      <c r="R229" s="112"/>
      <c r="S229" s="112"/>
      <c r="T229" s="112"/>
      <c r="U229" s="147"/>
      <c r="V229" s="149"/>
      <c r="W229" s="149"/>
      <c r="X229" s="126"/>
      <c r="Y229" s="126"/>
    </row>
    <row r="230" spans="1:25" ht="14.7" customHeight="1">
      <c r="A230" s="110" t="s">
        <v>282</v>
      </c>
      <c r="B230" s="190"/>
      <c r="C230">
        <v>86.446655508894054</v>
      </c>
      <c r="D230">
        <v>88.474083994396551</v>
      </c>
      <c r="E230">
        <v>87.899852654593857</v>
      </c>
      <c r="F230">
        <v>77.016533903503088</v>
      </c>
      <c r="G230">
        <v>88.738</v>
      </c>
      <c r="H230">
        <v>82.905799999999999</v>
      </c>
      <c r="I230" s="147" t="s">
        <v>908</v>
      </c>
      <c r="J230" s="112"/>
      <c r="K230" s="112"/>
      <c r="L230" s="126"/>
      <c r="M230" s="112"/>
      <c r="N230" s="126"/>
      <c r="O230" s="147"/>
      <c r="P230" s="147"/>
      <c r="Q230" s="147"/>
      <c r="R230" s="112"/>
      <c r="S230" s="112"/>
      <c r="T230" s="112"/>
      <c r="U230" s="146"/>
      <c r="V230" s="113"/>
      <c r="W230" s="113"/>
      <c r="X230" s="126"/>
      <c r="Y230" s="126"/>
    </row>
    <row r="231" spans="1:25" ht="14.7" customHeight="1">
      <c r="A231" s="110" t="s">
        <v>283</v>
      </c>
      <c r="B231" s="190"/>
      <c r="C231">
        <v>90.056627069746241</v>
      </c>
      <c r="D231">
        <v>88.59978644429755</v>
      </c>
      <c r="E231">
        <v>88.323501501677768</v>
      </c>
      <c r="F231">
        <v>84.510655480309964</v>
      </c>
      <c r="G231">
        <v>82.460999999999999</v>
      </c>
      <c r="H231">
        <v>86.90870000000001</v>
      </c>
      <c r="I231" s="147">
        <v>83.722046138343117</v>
      </c>
      <c r="J231" s="112"/>
      <c r="K231" s="112"/>
      <c r="L231" s="126"/>
      <c r="M231" s="112"/>
      <c r="N231" s="126"/>
      <c r="O231" s="147"/>
      <c r="P231" s="147"/>
      <c r="Q231" s="147"/>
      <c r="R231" s="112"/>
      <c r="S231" s="112"/>
      <c r="T231" s="112"/>
      <c r="U231" s="147"/>
      <c r="V231" s="113"/>
      <c r="W231" s="113"/>
      <c r="X231" s="126"/>
      <c r="Y231" s="126"/>
    </row>
    <row r="232" spans="1:25" ht="14.7" customHeight="1">
      <c r="A232" s="110" t="s">
        <v>120</v>
      </c>
      <c r="B232" s="190"/>
      <c r="C232">
        <v>84.91486928820062</v>
      </c>
      <c r="D232">
        <v>85.742451034151316</v>
      </c>
      <c r="E232">
        <v>83.941018712978732</v>
      </c>
      <c r="F232">
        <v>78.546550114743326</v>
      </c>
      <c r="G232">
        <v>76.532799999999995</v>
      </c>
      <c r="H232">
        <v>79.496299999999991</v>
      </c>
      <c r="I232" s="147">
        <v>79.710929981788055</v>
      </c>
      <c r="J232" s="112"/>
      <c r="K232" s="112"/>
      <c r="L232" s="126"/>
      <c r="M232" s="112"/>
      <c r="N232" s="126"/>
      <c r="O232" s="147"/>
      <c r="P232" s="147"/>
      <c r="Q232" s="147"/>
      <c r="R232" s="112"/>
      <c r="S232" s="112"/>
      <c r="T232" s="112"/>
      <c r="U232" s="146"/>
      <c r="V232" s="113"/>
      <c r="W232" s="113"/>
      <c r="X232" s="126"/>
      <c r="Y232" s="126"/>
    </row>
    <row r="233" spans="1:25" ht="14.7" customHeight="1">
      <c r="A233" s="110" t="s">
        <v>121</v>
      </c>
      <c r="B233" s="189"/>
      <c r="C233">
        <v>90.144482206140111</v>
      </c>
      <c r="D233">
        <v>87.61913185768303</v>
      </c>
      <c r="E233">
        <v>89.059111888196611</v>
      </c>
      <c r="F233">
        <v>84.37053370602456</v>
      </c>
      <c r="G233">
        <v>84.751800000000003</v>
      </c>
      <c r="H233">
        <v>83.436900000000009</v>
      </c>
      <c r="I233" s="146" t="s">
        <v>908</v>
      </c>
      <c r="J233" s="144"/>
      <c r="K233" s="144"/>
      <c r="L233" s="126"/>
      <c r="M233" s="144"/>
      <c r="N233" s="126"/>
      <c r="O233" s="146"/>
      <c r="P233" s="146"/>
      <c r="Q233" s="146"/>
      <c r="R233" s="144"/>
      <c r="S233" s="144"/>
      <c r="T233" s="144"/>
      <c r="U233" s="146"/>
      <c r="V233" s="113"/>
      <c r="W233" s="113"/>
      <c r="X233" s="126"/>
      <c r="Y233" s="126"/>
    </row>
    <row r="234" spans="1:25" ht="14.7" customHeight="1">
      <c r="A234" s="110" t="s">
        <v>284</v>
      </c>
      <c r="B234" s="190"/>
      <c r="C234">
        <v>87.623581389878183</v>
      </c>
      <c r="D234">
        <v>88.846705267756619</v>
      </c>
      <c r="E234">
        <v>85.833346443685784</v>
      </c>
      <c r="F234">
        <v>80.504833085253154</v>
      </c>
      <c r="G234">
        <v>84.446699999999993</v>
      </c>
      <c r="H234">
        <v>85.2517</v>
      </c>
      <c r="I234" s="147">
        <v>79.30048938847051</v>
      </c>
      <c r="J234" s="112"/>
      <c r="K234" s="112"/>
      <c r="L234" s="126"/>
      <c r="M234" s="112"/>
      <c r="N234" s="126"/>
      <c r="O234" s="147"/>
      <c r="P234" s="147"/>
      <c r="Q234" s="147"/>
      <c r="R234" s="112"/>
      <c r="S234" s="112"/>
      <c r="T234" s="112"/>
      <c r="U234" s="147"/>
      <c r="V234" s="149"/>
      <c r="W234" s="149"/>
      <c r="X234" s="126"/>
      <c r="Y234" s="126"/>
    </row>
    <row r="235" spans="1:25" ht="14.7" customHeight="1">
      <c r="A235" s="110" t="s">
        <v>216</v>
      </c>
      <c r="B235" s="190"/>
      <c r="C235">
        <v>85.880475885632833</v>
      </c>
      <c r="D235">
        <v>85.307225336052824</v>
      </c>
      <c r="E235">
        <v>85.14273536742428</v>
      </c>
      <c r="F235">
        <v>75.135256927449518</v>
      </c>
      <c r="G235">
        <v>79.270200000000003</v>
      </c>
      <c r="H235">
        <v>71.495800000000003</v>
      </c>
      <c r="I235" s="147">
        <v>76.104783692477454</v>
      </c>
      <c r="J235" s="112"/>
      <c r="K235" s="112"/>
      <c r="L235" s="126"/>
      <c r="M235" s="112"/>
      <c r="N235" s="126"/>
      <c r="O235" s="147"/>
      <c r="P235" s="147"/>
      <c r="Q235" s="147"/>
      <c r="R235" s="112"/>
      <c r="S235" s="112"/>
      <c r="T235" s="112"/>
      <c r="U235" s="146"/>
      <c r="V235" s="113"/>
      <c r="W235" s="113"/>
      <c r="X235" s="126"/>
      <c r="Y235" s="126"/>
    </row>
    <row r="236" spans="1:25" ht="14.7" customHeight="1">
      <c r="A236" s="110" t="s">
        <v>809</v>
      </c>
      <c r="B236" s="190"/>
      <c r="C236">
        <v>86.998937918640877</v>
      </c>
      <c r="D236">
        <v>80.36127103046752</v>
      </c>
      <c r="E236">
        <v>85.456549042822985</v>
      </c>
      <c r="F236">
        <v>78.05113739385942</v>
      </c>
      <c r="G236">
        <v>77.009100000000004</v>
      </c>
      <c r="H236">
        <v>77.095799999999997</v>
      </c>
      <c r="I236" s="147">
        <v>81.614039414475286</v>
      </c>
      <c r="J236" s="112"/>
      <c r="K236" s="112"/>
      <c r="L236" s="126"/>
      <c r="M236" s="112"/>
      <c r="N236" s="126"/>
      <c r="O236" s="147"/>
      <c r="P236" s="147"/>
      <c r="Q236" s="147"/>
      <c r="R236" s="112"/>
      <c r="S236" s="112"/>
      <c r="T236" s="112"/>
      <c r="U236" s="146"/>
      <c r="V236" s="113"/>
      <c r="W236" s="113"/>
      <c r="X236" s="126"/>
      <c r="Y236" s="126"/>
    </row>
    <row r="237" spans="1:25" ht="14.7" customHeight="1">
      <c r="A237" s="110" t="s">
        <v>122</v>
      </c>
      <c r="B237" s="190"/>
      <c r="C237">
        <v>85.540972266189584</v>
      </c>
      <c r="D237">
        <v>86.652453672277346</v>
      </c>
      <c r="E237">
        <v>84.289935601984936</v>
      </c>
      <c r="F237">
        <v>76.469752648473943</v>
      </c>
      <c r="G237">
        <v>76.784300000000002</v>
      </c>
      <c r="H237">
        <v>81.114900000000006</v>
      </c>
      <c r="I237" s="147">
        <v>76.059769934592339</v>
      </c>
      <c r="J237" s="112"/>
      <c r="K237" s="112"/>
      <c r="L237" s="126"/>
      <c r="M237" s="112"/>
      <c r="N237" s="126"/>
      <c r="O237" s="147"/>
      <c r="P237" s="147"/>
      <c r="Q237" s="147"/>
      <c r="R237" s="112"/>
      <c r="S237" s="112"/>
      <c r="T237" s="112"/>
      <c r="U237" s="146"/>
      <c r="V237" s="113"/>
      <c r="W237" s="113"/>
      <c r="X237" s="126"/>
      <c r="Y237" s="126"/>
    </row>
    <row r="238" spans="1:25" ht="14.7" customHeight="1">
      <c r="A238" s="110" t="s">
        <v>348</v>
      </c>
      <c r="B238" s="190"/>
      <c r="C238">
        <v>91.598364136213519</v>
      </c>
      <c r="D238">
        <v>89.464323635591427</v>
      </c>
      <c r="E238">
        <v>88.959149302835669</v>
      </c>
      <c r="F238">
        <v>81.71055341204297</v>
      </c>
      <c r="G238">
        <v>85.211199999999991</v>
      </c>
      <c r="H238">
        <v>83.855999999999995</v>
      </c>
      <c r="I238" s="147">
        <v>83.841518911555866</v>
      </c>
      <c r="J238" s="112"/>
      <c r="K238" s="112"/>
      <c r="L238" s="126"/>
      <c r="M238" s="112"/>
      <c r="N238" s="126"/>
      <c r="O238" s="147"/>
      <c r="P238" s="147"/>
      <c r="Q238" s="147"/>
      <c r="R238" s="112"/>
      <c r="S238" s="112"/>
      <c r="T238" s="112"/>
      <c r="U238" s="147"/>
      <c r="V238" s="149"/>
      <c r="W238" s="149"/>
      <c r="X238" s="126"/>
      <c r="Y238" s="126"/>
    </row>
    <row r="239" spans="1:25" ht="14.7" customHeight="1">
      <c r="A239" s="26" t="s">
        <v>123</v>
      </c>
      <c r="B239" s="190"/>
      <c r="C239">
        <v>89.609932293139082</v>
      </c>
      <c r="D239">
        <v>89.371288226645092</v>
      </c>
      <c r="E239">
        <v>90.611287950818209</v>
      </c>
      <c r="F239">
        <v>83.159463668209654</v>
      </c>
      <c r="G239">
        <v>76.388400000000004</v>
      </c>
      <c r="H239">
        <v>79.130700000000004</v>
      </c>
      <c r="I239" s="147">
        <v>86.534664357842871</v>
      </c>
      <c r="J239" s="112"/>
      <c r="K239" s="112"/>
      <c r="L239" s="126"/>
      <c r="M239" s="112"/>
      <c r="N239" s="126"/>
      <c r="O239" s="147"/>
      <c r="P239" s="147"/>
      <c r="Q239" s="147"/>
      <c r="R239" s="112"/>
      <c r="S239" s="112"/>
      <c r="T239" s="112"/>
      <c r="U239" s="146"/>
      <c r="V239" s="113"/>
      <c r="W239" s="113"/>
      <c r="X239" s="126"/>
      <c r="Y239" s="126"/>
    </row>
    <row r="240" spans="1:25" ht="14.7" customHeight="1">
      <c r="A240" s="26" t="s">
        <v>393</v>
      </c>
      <c r="B240" s="190"/>
      <c r="C240">
        <v>94.007495920293096</v>
      </c>
      <c r="D240">
        <v>92.074097685366809</v>
      </c>
      <c r="E240">
        <v>94.762281721117745</v>
      </c>
      <c r="F240">
        <v>89.097239608715967</v>
      </c>
      <c r="G240">
        <v>89.462800000000001</v>
      </c>
      <c r="H240">
        <v>90.354100000000003</v>
      </c>
      <c r="I240" s="147">
        <v>91.991643707185773</v>
      </c>
      <c r="J240" s="112"/>
      <c r="K240" s="112"/>
      <c r="L240" s="126"/>
      <c r="M240" s="112"/>
      <c r="N240" s="126"/>
      <c r="O240" s="147"/>
      <c r="P240" s="147"/>
      <c r="Q240" s="147"/>
      <c r="R240" s="112"/>
      <c r="S240" s="112"/>
      <c r="T240" s="112"/>
      <c r="U240" s="146"/>
      <c r="V240" s="113"/>
      <c r="W240" s="113"/>
      <c r="X240" s="126"/>
      <c r="Y240" s="126"/>
    </row>
    <row r="241" spans="1:25" ht="14.7" customHeight="1">
      <c r="A241" s="110" t="s">
        <v>124</v>
      </c>
      <c r="B241" s="190"/>
      <c r="C241">
        <v>89.076214134329788</v>
      </c>
      <c r="D241">
        <v>85.779128337695539</v>
      </c>
      <c r="E241">
        <v>90.329590582782544</v>
      </c>
      <c r="F241">
        <v>78.342800767251305</v>
      </c>
      <c r="G241">
        <v>85.784599999999998</v>
      </c>
      <c r="H241">
        <v>86.960000000000008</v>
      </c>
      <c r="I241" s="147">
        <v>85.027168137497483</v>
      </c>
      <c r="J241" s="112"/>
      <c r="K241" s="112"/>
      <c r="L241" s="126"/>
      <c r="M241" s="112"/>
      <c r="N241" s="126"/>
      <c r="O241" s="147"/>
      <c r="P241" s="147"/>
      <c r="Q241" s="147"/>
      <c r="R241" s="112"/>
      <c r="S241" s="112"/>
      <c r="T241" s="112"/>
      <c r="U241" s="146"/>
      <c r="V241" s="113"/>
      <c r="W241" s="113"/>
      <c r="X241" s="126"/>
      <c r="Y241" s="126"/>
    </row>
    <row r="242" spans="1:25" ht="14.7" customHeight="1">
      <c r="A242" s="110" t="s">
        <v>240</v>
      </c>
      <c r="B242" s="190"/>
      <c r="C242">
        <v>82.249672822378585</v>
      </c>
      <c r="D242">
        <v>83.89173537595876</v>
      </c>
      <c r="E242">
        <v>84.957682903893172</v>
      </c>
      <c r="F242">
        <v>69.614241695408481</v>
      </c>
      <c r="G242">
        <v>71.378699999999995</v>
      </c>
      <c r="H242">
        <v>71.692999999999998</v>
      </c>
      <c r="I242" s="147">
        <v>75.291741438130259</v>
      </c>
      <c r="J242" s="112"/>
      <c r="K242" s="112"/>
      <c r="L242" s="126"/>
      <c r="M242" s="112"/>
      <c r="N242" s="126"/>
      <c r="O242" s="147"/>
      <c r="P242" s="147"/>
      <c r="Q242" s="147"/>
      <c r="R242" s="112"/>
      <c r="S242" s="112"/>
      <c r="T242" s="112"/>
      <c r="U242" s="146"/>
      <c r="V242" s="113"/>
      <c r="W242" s="113"/>
      <c r="X242" s="126"/>
      <c r="Y242" s="126"/>
    </row>
    <row r="243" spans="1:25" ht="14.7" customHeight="1">
      <c r="A243" s="110" t="s">
        <v>125</v>
      </c>
      <c r="B243" s="190"/>
      <c r="C243">
        <v>85.56796161408046</v>
      </c>
      <c r="D243">
        <v>86.739827459176155</v>
      </c>
      <c r="E243">
        <v>85.318985703783682</v>
      </c>
      <c r="F243">
        <v>77.773152460030573</v>
      </c>
      <c r="G243">
        <v>79.908699999999996</v>
      </c>
      <c r="H243">
        <v>78.809799999999996</v>
      </c>
      <c r="I243" s="147">
        <v>86.613854711442926</v>
      </c>
      <c r="J243" s="112"/>
      <c r="K243" s="112"/>
      <c r="L243" s="126"/>
      <c r="M243" s="112"/>
      <c r="N243" s="126"/>
      <c r="O243" s="147"/>
      <c r="P243" s="147"/>
      <c r="Q243" s="147"/>
      <c r="R243" s="112"/>
      <c r="S243" s="112"/>
      <c r="T243" s="112"/>
      <c r="U243" s="146"/>
      <c r="V243" s="113"/>
      <c r="W243" s="113"/>
      <c r="X243" s="126"/>
      <c r="Y243" s="126"/>
    </row>
    <row r="244" spans="1:25" ht="14.7" customHeight="1">
      <c r="A244" s="110" t="s">
        <v>126</v>
      </c>
      <c r="B244" s="190"/>
      <c r="C244">
        <v>86.47213789525037</v>
      </c>
      <c r="D244">
        <v>79.294307568128531</v>
      </c>
      <c r="E244">
        <v>83.689845521498953</v>
      </c>
      <c r="F244">
        <v>75.505192415784819</v>
      </c>
      <c r="G244">
        <v>74.4208</v>
      </c>
      <c r="H244">
        <v>78.809600000000003</v>
      </c>
      <c r="I244" s="147">
        <v>76.997319645735686</v>
      </c>
      <c r="J244" s="112"/>
      <c r="K244" s="112"/>
      <c r="L244" s="126"/>
      <c r="M244" s="112"/>
      <c r="N244" s="126"/>
      <c r="O244" s="147"/>
      <c r="P244" s="147"/>
      <c r="Q244" s="147"/>
      <c r="R244" s="112"/>
      <c r="S244" s="112"/>
      <c r="T244" s="112"/>
      <c r="U244" s="146"/>
      <c r="V244" s="113"/>
      <c r="W244" s="113"/>
      <c r="X244" s="126"/>
      <c r="Y244" s="126"/>
    </row>
    <row r="245" spans="1:25" ht="14.7" customHeight="1">
      <c r="A245" s="110" t="s">
        <v>127</v>
      </c>
      <c r="B245" s="190"/>
      <c r="C245">
        <v>86.526890488006686</v>
      </c>
      <c r="D245">
        <v>81.920082904574727</v>
      </c>
      <c r="E245">
        <v>85.799132933508218</v>
      </c>
      <c r="F245">
        <v>78.275156814591725</v>
      </c>
      <c r="G245">
        <v>80.265799999999999</v>
      </c>
      <c r="H245">
        <v>79.908699999999996</v>
      </c>
      <c r="I245" s="147">
        <v>83.007360126079334</v>
      </c>
      <c r="J245" s="112"/>
      <c r="K245" s="112"/>
      <c r="L245" s="126"/>
      <c r="M245" s="112"/>
      <c r="N245" s="126"/>
      <c r="O245" s="147"/>
      <c r="P245" s="147"/>
      <c r="Q245" s="147"/>
      <c r="R245" s="112"/>
      <c r="S245" s="112"/>
      <c r="T245" s="112"/>
      <c r="U245" s="146"/>
      <c r="V245" s="113"/>
      <c r="W245" s="113"/>
      <c r="X245" s="126"/>
      <c r="Y245" s="126"/>
    </row>
    <row r="246" spans="1:25" ht="14.7" customHeight="1">
      <c r="A246" s="110" t="s">
        <v>241</v>
      </c>
      <c r="B246" s="190"/>
      <c r="C246">
        <v>84.660294271150988</v>
      </c>
      <c r="D246">
        <v>82.568855889081561</v>
      </c>
      <c r="E246">
        <v>82.93642324718985</v>
      </c>
      <c r="F246">
        <v>74.920518790344971</v>
      </c>
      <c r="G246">
        <v>71.074300000000008</v>
      </c>
      <c r="H246">
        <v>69.492500000000007</v>
      </c>
      <c r="I246" s="147">
        <v>74.957151826490644</v>
      </c>
      <c r="J246" s="112"/>
      <c r="K246" s="112"/>
      <c r="L246" s="126"/>
      <c r="M246" s="112"/>
      <c r="N246" s="126"/>
      <c r="O246" s="147"/>
      <c r="P246" s="147"/>
      <c r="Q246" s="147"/>
      <c r="R246" s="112"/>
      <c r="S246" s="112"/>
      <c r="T246" s="112"/>
      <c r="U246" s="146"/>
      <c r="V246" s="113"/>
      <c r="W246" s="113"/>
      <c r="X246" s="126"/>
      <c r="Y246" s="126"/>
    </row>
    <row r="247" spans="1:25" ht="14.7" customHeight="1">
      <c r="A247" s="110" t="s">
        <v>128</v>
      </c>
      <c r="B247" s="190"/>
      <c r="C247">
        <v>86.755753702972626</v>
      </c>
      <c r="D247">
        <v>86.975625044230782</v>
      </c>
      <c r="E247">
        <v>84.451746214559122</v>
      </c>
      <c r="F247">
        <v>76.334278285418279</v>
      </c>
      <c r="G247">
        <v>78.258700000000005</v>
      </c>
      <c r="H247">
        <v>74.731300000000005</v>
      </c>
      <c r="I247" s="147">
        <v>75.92105706500837</v>
      </c>
      <c r="J247" s="112"/>
      <c r="K247" s="112"/>
      <c r="L247" s="126"/>
      <c r="M247" s="112"/>
      <c r="N247" s="126"/>
      <c r="O247" s="147"/>
      <c r="P247" s="147"/>
      <c r="Q247" s="147"/>
      <c r="R247" s="112"/>
      <c r="S247" s="112"/>
      <c r="T247" s="112"/>
      <c r="U247" s="146"/>
      <c r="V247" s="113"/>
      <c r="W247" s="113"/>
      <c r="X247" s="126"/>
      <c r="Y247" s="126"/>
    </row>
    <row r="248" spans="1:25" ht="14.7" customHeight="1">
      <c r="A248" s="110" t="s">
        <v>129</v>
      </c>
      <c r="B248" s="190"/>
      <c r="C248">
        <v>86.667153754754068</v>
      </c>
      <c r="D248">
        <v>85.784851699857796</v>
      </c>
      <c r="E248">
        <v>83.637417788487667</v>
      </c>
      <c r="F248">
        <v>76.049706889740605</v>
      </c>
      <c r="G248">
        <v>80.773399999999995</v>
      </c>
      <c r="H248">
        <v>81.924300000000002</v>
      </c>
      <c r="I248" s="147">
        <v>84.329753971580772</v>
      </c>
      <c r="J248" s="112"/>
      <c r="K248" s="112"/>
      <c r="L248" s="126"/>
      <c r="M248" s="112"/>
      <c r="N248" s="126"/>
      <c r="O248" s="147"/>
      <c r="P248" s="147"/>
      <c r="Q248" s="147"/>
      <c r="R248" s="112"/>
      <c r="S248" s="112"/>
      <c r="T248" s="112"/>
      <c r="U248" s="146"/>
      <c r="V248" s="113"/>
      <c r="W248" s="113"/>
      <c r="X248" s="126"/>
      <c r="Y248" s="126"/>
    </row>
    <row r="249" spans="1:25" ht="14.7" customHeight="1">
      <c r="A249" s="110" t="s">
        <v>130</v>
      </c>
      <c r="B249" s="190"/>
      <c r="C249">
        <v>91.312437910951289</v>
      </c>
      <c r="D249">
        <v>86.234167212185369</v>
      </c>
      <c r="E249">
        <v>89.26452172712662</v>
      </c>
      <c r="F249">
        <v>81.926762810907306</v>
      </c>
      <c r="G249">
        <v>81.737499999999997</v>
      </c>
      <c r="H249">
        <v>86.358000000000004</v>
      </c>
      <c r="I249" s="147">
        <v>83.438744533859193</v>
      </c>
      <c r="J249" s="112"/>
      <c r="K249" s="112"/>
      <c r="L249" s="126"/>
      <c r="M249" s="112"/>
      <c r="N249" s="126"/>
      <c r="O249" s="147"/>
      <c r="P249" s="147"/>
      <c r="Q249" s="147"/>
      <c r="R249" s="112"/>
      <c r="S249" s="112"/>
      <c r="T249" s="112"/>
      <c r="U249" s="146"/>
      <c r="V249" s="113"/>
      <c r="W249" s="113"/>
      <c r="X249" s="126"/>
      <c r="Y249" s="126"/>
    </row>
    <row r="250" spans="1:25" ht="14.7" customHeight="1">
      <c r="A250" s="110" t="s">
        <v>131</v>
      </c>
      <c r="B250" s="190"/>
      <c r="C250">
        <v>84.757370371807525</v>
      </c>
      <c r="D250">
        <v>84.23347328149454</v>
      </c>
      <c r="E250">
        <v>88.876287704511839</v>
      </c>
      <c r="F250">
        <v>74.736623379630885</v>
      </c>
      <c r="G250">
        <v>78.866799999999998</v>
      </c>
      <c r="H250">
        <v>76.068600000000004</v>
      </c>
      <c r="I250" s="147">
        <v>78.312667209779903</v>
      </c>
      <c r="J250" s="112"/>
      <c r="K250" s="112"/>
      <c r="L250" s="126"/>
      <c r="M250" s="112"/>
      <c r="N250" s="126"/>
      <c r="O250" s="147"/>
      <c r="P250" s="147"/>
      <c r="Q250" s="147"/>
      <c r="R250" s="112"/>
      <c r="S250" s="112"/>
      <c r="T250" s="112"/>
      <c r="U250" s="146"/>
      <c r="V250" s="113"/>
      <c r="W250" s="113"/>
      <c r="X250" s="126"/>
      <c r="Y250" s="126"/>
    </row>
    <row r="251" spans="1:25" ht="14.7" customHeight="1">
      <c r="A251" s="110" t="s">
        <v>285</v>
      </c>
      <c r="B251" s="190"/>
      <c r="C251">
        <v>91.676854247705521</v>
      </c>
      <c r="D251">
        <v>90.934377020221774</v>
      </c>
      <c r="E251">
        <v>88.851370262856946</v>
      </c>
      <c r="F251">
        <v>83.984855997792479</v>
      </c>
      <c r="G251">
        <v>80.710499999999996</v>
      </c>
      <c r="H251">
        <v>79.055900000000008</v>
      </c>
      <c r="I251" s="147">
        <v>81.61192367139229</v>
      </c>
      <c r="J251" s="112"/>
      <c r="K251" s="112"/>
      <c r="L251" s="126"/>
      <c r="M251" s="112"/>
      <c r="N251" s="126"/>
      <c r="O251" s="147"/>
      <c r="P251" s="147"/>
      <c r="Q251" s="147"/>
      <c r="R251" s="112"/>
      <c r="S251" s="112"/>
      <c r="T251" s="112"/>
      <c r="U251" s="146"/>
      <c r="V251" s="113"/>
      <c r="W251" s="113"/>
      <c r="X251" s="126"/>
      <c r="Y251" s="126"/>
    </row>
    <row r="252" spans="1:25" ht="14.7" customHeight="1">
      <c r="A252" s="110" t="s">
        <v>132</v>
      </c>
      <c r="B252" s="190"/>
      <c r="C252">
        <v>89.351958222168122</v>
      </c>
      <c r="D252">
        <v>89.697112238219901</v>
      </c>
      <c r="E252">
        <v>89.765199127489339</v>
      </c>
      <c r="F252">
        <v>79.267179282518484</v>
      </c>
      <c r="G252">
        <v>84.7303</v>
      </c>
      <c r="H252">
        <v>83.522899999999993</v>
      </c>
      <c r="I252" s="147">
        <v>82.233358963034703</v>
      </c>
      <c r="J252" s="112"/>
      <c r="K252" s="112"/>
      <c r="L252" s="126"/>
      <c r="M252" s="112"/>
      <c r="N252" s="126"/>
      <c r="O252" s="147"/>
      <c r="P252" s="147"/>
      <c r="Q252" s="147"/>
      <c r="R252" s="112"/>
      <c r="S252" s="112"/>
      <c r="T252" s="112"/>
      <c r="U252" s="146"/>
      <c r="V252" s="113"/>
      <c r="W252" s="113"/>
      <c r="X252" s="126"/>
      <c r="Y252" s="126"/>
    </row>
    <row r="253" spans="1:25" ht="14.7" customHeight="1">
      <c r="A253" s="110" t="s">
        <v>242</v>
      </c>
      <c r="B253" s="190"/>
      <c r="C253">
        <v>84.34864459572421</v>
      </c>
      <c r="D253">
        <v>84.140677917979787</v>
      </c>
      <c r="E253">
        <v>79.827819578804892</v>
      </c>
      <c r="F253">
        <v>75.256822761546488</v>
      </c>
      <c r="G253">
        <v>76.492599999999996</v>
      </c>
      <c r="H253">
        <v>77.400500000000008</v>
      </c>
      <c r="I253" s="147">
        <v>81.544853660043032</v>
      </c>
      <c r="J253" s="112"/>
      <c r="K253" s="112"/>
      <c r="L253" s="126"/>
      <c r="M253" s="112"/>
      <c r="N253" s="126"/>
      <c r="O253" s="147"/>
      <c r="P253" s="147"/>
      <c r="Q253" s="147"/>
      <c r="R253" s="112"/>
      <c r="S253" s="112"/>
      <c r="T253" s="112"/>
      <c r="U253" s="146"/>
      <c r="V253" s="113"/>
      <c r="W253" s="113"/>
      <c r="X253" s="126"/>
      <c r="Y253" s="126"/>
    </row>
    <row r="254" spans="1:25" ht="14.7" customHeight="1">
      <c r="A254" s="110" t="s">
        <v>243</v>
      </c>
      <c r="B254" s="190"/>
      <c r="C254">
        <v>81.898669246923234</v>
      </c>
      <c r="D254">
        <v>80.339820350014136</v>
      </c>
      <c r="E254">
        <v>80.944821301227861</v>
      </c>
      <c r="F254">
        <v>65.412356488251419</v>
      </c>
      <c r="G254">
        <v>68.259299999999996</v>
      </c>
      <c r="H254">
        <v>71.015900000000002</v>
      </c>
      <c r="I254" s="147">
        <v>66.072755904419523</v>
      </c>
      <c r="J254" s="112"/>
      <c r="K254" s="112"/>
      <c r="L254" s="126"/>
      <c r="M254" s="112"/>
      <c r="N254" s="126"/>
      <c r="O254" s="147"/>
      <c r="P254" s="147"/>
      <c r="Q254" s="147"/>
      <c r="R254" s="112"/>
      <c r="S254" s="112"/>
      <c r="T254" s="112"/>
      <c r="U254" s="146"/>
      <c r="V254" s="113"/>
      <c r="W254" s="113"/>
      <c r="X254" s="126"/>
      <c r="Y254" s="126"/>
    </row>
    <row r="255" spans="1:25" ht="14.7" customHeight="1">
      <c r="A255" s="110" t="s">
        <v>133</v>
      </c>
      <c r="B255" s="190"/>
      <c r="C255">
        <v>88.221710666254438</v>
      </c>
      <c r="D255">
        <v>89.285844689577942</v>
      </c>
      <c r="E255">
        <v>84.595679647783598</v>
      </c>
      <c r="F255">
        <v>77.151902340281325</v>
      </c>
      <c r="G255">
        <v>81.304400000000001</v>
      </c>
      <c r="H255">
        <v>84.115099999999998</v>
      </c>
      <c r="I255" s="147">
        <v>82.576163755771162</v>
      </c>
      <c r="J255" s="112"/>
      <c r="K255" s="112"/>
      <c r="L255" s="126"/>
      <c r="M255" s="112"/>
      <c r="N255" s="126"/>
      <c r="O255" s="147"/>
      <c r="P255" s="147"/>
      <c r="Q255" s="147"/>
      <c r="R255" s="112"/>
      <c r="S255" s="112"/>
      <c r="T255" s="112"/>
      <c r="U255" s="146"/>
      <c r="V255" s="113"/>
      <c r="W255" s="113"/>
      <c r="X255" s="126"/>
      <c r="Y255" s="126"/>
    </row>
    <row r="256" spans="1:25" ht="14.7" customHeight="1">
      <c r="A256" s="110" t="s">
        <v>134</v>
      </c>
      <c r="B256" s="190"/>
      <c r="C256">
        <v>86.130707113952155</v>
      </c>
      <c r="D256">
        <v>81.897351819218827</v>
      </c>
      <c r="E256">
        <v>81.947946084596083</v>
      </c>
      <c r="F256">
        <v>72.566677140668247</v>
      </c>
      <c r="G256">
        <v>78.639200000000002</v>
      </c>
      <c r="H256">
        <v>81.230599999999995</v>
      </c>
      <c r="I256" s="147">
        <v>80.987988076128133</v>
      </c>
      <c r="J256" s="112"/>
      <c r="K256" s="112"/>
      <c r="L256" s="126"/>
      <c r="M256" s="112"/>
      <c r="N256" s="126"/>
      <c r="O256" s="147"/>
      <c r="P256" s="147"/>
      <c r="Q256" s="147"/>
      <c r="R256" s="112"/>
      <c r="S256" s="112"/>
      <c r="T256" s="112"/>
      <c r="U256" s="146"/>
      <c r="V256" s="113"/>
      <c r="W256" s="113"/>
      <c r="X256" s="126"/>
      <c r="Y256" s="126"/>
    </row>
    <row r="257" spans="1:25" ht="14.7" customHeight="1">
      <c r="A257" s="110" t="s">
        <v>244</v>
      </c>
      <c r="B257" s="190"/>
      <c r="C257">
        <v>84.457749865397844</v>
      </c>
      <c r="D257">
        <v>87.593275730758265</v>
      </c>
      <c r="E257">
        <v>85.547288872758756</v>
      </c>
      <c r="F257">
        <v>77.173409693539313</v>
      </c>
      <c r="G257">
        <v>79.211799999999997</v>
      </c>
      <c r="H257">
        <v>78.291200000000003</v>
      </c>
      <c r="I257" s="147">
        <v>79.853902396339464</v>
      </c>
      <c r="J257" s="112"/>
      <c r="K257" s="112"/>
      <c r="L257" s="126"/>
      <c r="M257" s="112"/>
      <c r="N257" s="126"/>
      <c r="O257" s="147"/>
      <c r="P257" s="147"/>
      <c r="Q257" s="147"/>
      <c r="R257" s="112"/>
      <c r="S257" s="112"/>
      <c r="T257" s="112"/>
      <c r="U257" s="146"/>
      <c r="V257" s="113"/>
      <c r="W257" s="113"/>
      <c r="X257" s="126"/>
      <c r="Y257" s="126"/>
    </row>
    <row r="258" spans="1:25" ht="14.7" customHeight="1">
      <c r="A258" s="110" t="s">
        <v>135</v>
      </c>
      <c r="B258" s="190"/>
      <c r="C258">
        <v>87.53492852160538</v>
      </c>
      <c r="D258">
        <v>86.177238207729047</v>
      </c>
      <c r="E258">
        <v>86.727213765824047</v>
      </c>
      <c r="F258">
        <v>80.913329995326862</v>
      </c>
      <c r="G258">
        <v>77.439499999999995</v>
      </c>
      <c r="H258">
        <v>82.511700000000005</v>
      </c>
      <c r="I258" s="147">
        <v>82.07013394594594</v>
      </c>
      <c r="J258" s="112"/>
      <c r="K258" s="112"/>
      <c r="L258" s="126"/>
      <c r="M258" s="112"/>
      <c r="N258" s="126"/>
      <c r="O258" s="147"/>
      <c r="P258" s="147"/>
      <c r="Q258" s="147"/>
      <c r="R258" s="112"/>
      <c r="S258" s="112"/>
      <c r="T258" s="112"/>
      <c r="U258" s="146"/>
      <c r="V258" s="113"/>
      <c r="W258" s="113"/>
      <c r="X258" s="126"/>
      <c r="Y258" s="126"/>
    </row>
    <row r="259" spans="1:25" ht="14.7" customHeight="1">
      <c r="A259" s="110" t="s">
        <v>136</v>
      </c>
      <c r="B259" s="190"/>
      <c r="C259">
        <v>87.069333875031944</v>
      </c>
      <c r="D259">
        <v>87.356570288969962</v>
      </c>
      <c r="E259">
        <v>87.609253158541634</v>
      </c>
      <c r="F259">
        <v>80.977661985403842</v>
      </c>
      <c r="G259">
        <v>82.513099999999994</v>
      </c>
      <c r="H259">
        <v>82.240300000000005</v>
      </c>
      <c r="I259" s="147">
        <v>83.403242624283962</v>
      </c>
      <c r="J259" s="112"/>
      <c r="K259" s="112"/>
      <c r="L259" s="126"/>
      <c r="M259" s="112"/>
      <c r="N259" s="126"/>
      <c r="O259" s="147"/>
      <c r="P259" s="147"/>
      <c r="Q259" s="147"/>
      <c r="R259" s="112"/>
      <c r="S259" s="112"/>
      <c r="T259" s="112"/>
      <c r="U259" s="146"/>
      <c r="V259" s="113"/>
      <c r="W259" s="113"/>
      <c r="X259" s="126"/>
      <c r="Y259" s="126"/>
    </row>
    <row r="260" spans="1:25" ht="14.7" customHeight="1">
      <c r="A260" s="110" t="s">
        <v>245</v>
      </c>
      <c r="B260" s="190"/>
      <c r="C260">
        <v>90.745376359557866</v>
      </c>
      <c r="D260">
        <v>87.07982131667778</v>
      </c>
      <c r="E260">
        <v>88.812741653818762</v>
      </c>
      <c r="F260">
        <v>77.734382488347848</v>
      </c>
      <c r="G260">
        <v>78.369699999999995</v>
      </c>
      <c r="H260">
        <v>79.277900000000002</v>
      </c>
      <c r="I260" s="147">
        <v>80.057201862067416</v>
      </c>
      <c r="J260" s="112"/>
      <c r="K260" s="112"/>
      <c r="L260" s="126"/>
      <c r="M260" s="112"/>
      <c r="N260" s="126"/>
      <c r="O260" s="147"/>
      <c r="P260" s="147"/>
      <c r="Q260" s="147"/>
      <c r="R260" s="112"/>
      <c r="S260" s="112"/>
      <c r="T260" s="112"/>
      <c r="U260" s="146"/>
      <c r="V260" s="113"/>
      <c r="W260" s="113"/>
      <c r="X260" s="126"/>
      <c r="Y260" s="126"/>
    </row>
    <row r="261" spans="1:25" ht="14.7" customHeight="1">
      <c r="A261" s="26" t="s">
        <v>325</v>
      </c>
      <c r="B261" s="190"/>
      <c r="C261">
        <v>88.441781498695306</v>
      </c>
      <c r="D261">
        <v>88.35108125487848</v>
      </c>
      <c r="E261">
        <v>88.022932750335912</v>
      </c>
      <c r="F261">
        <v>79.447898088880223</v>
      </c>
      <c r="G261">
        <v>81.064000000000007</v>
      </c>
      <c r="H261">
        <v>79.623100000000008</v>
      </c>
      <c r="I261" s="147">
        <v>81.262706667325276</v>
      </c>
      <c r="J261" s="112"/>
      <c r="K261" s="112"/>
      <c r="L261" s="126"/>
      <c r="M261" s="112"/>
      <c r="N261" s="126"/>
      <c r="O261" s="147"/>
      <c r="P261" s="147"/>
      <c r="Q261" s="147"/>
      <c r="R261" s="112"/>
      <c r="S261" s="112"/>
      <c r="T261" s="112"/>
      <c r="U261" s="146"/>
      <c r="V261" s="113"/>
      <c r="W261" s="113"/>
      <c r="X261" s="126"/>
      <c r="Y261" s="126"/>
    </row>
    <row r="262" spans="1:25" ht="14.7" customHeight="1">
      <c r="A262" s="110" t="s">
        <v>286</v>
      </c>
      <c r="B262" s="190"/>
      <c r="C262">
        <v>87.210052355582377</v>
      </c>
      <c r="D262">
        <v>87.331067957195017</v>
      </c>
      <c r="E262">
        <v>87.228691684304565</v>
      </c>
      <c r="F262">
        <v>73.908072750311362</v>
      </c>
      <c r="G262">
        <v>69.677000000000007</v>
      </c>
      <c r="H262">
        <v>69.687799999999996</v>
      </c>
      <c r="I262" s="147">
        <v>71.66128613397585</v>
      </c>
      <c r="J262" s="112"/>
      <c r="K262" s="112"/>
      <c r="L262" s="126"/>
      <c r="M262" s="112"/>
      <c r="N262" s="126"/>
      <c r="O262" s="147"/>
      <c r="P262" s="147"/>
      <c r="Q262" s="147"/>
      <c r="R262" s="112"/>
      <c r="S262" s="112"/>
      <c r="T262" s="112"/>
      <c r="U262" s="146"/>
      <c r="V262" s="113"/>
      <c r="W262" s="113"/>
      <c r="X262" s="126"/>
      <c r="Y262" s="126"/>
    </row>
    <row r="263" spans="1:25" ht="14.7" customHeight="1">
      <c r="A263" s="110" t="s">
        <v>246</v>
      </c>
      <c r="B263" s="190"/>
      <c r="C263">
        <v>87.843195023089066</v>
      </c>
      <c r="D263">
        <v>88.486911979802031</v>
      </c>
      <c r="E263">
        <v>87.275991595607735</v>
      </c>
      <c r="F263">
        <v>75.867810092548368</v>
      </c>
      <c r="G263">
        <v>76.348399999999998</v>
      </c>
      <c r="H263">
        <v>77.84020000000001</v>
      </c>
      <c r="I263" s="147">
        <v>83.574346282408229</v>
      </c>
      <c r="J263" s="112"/>
      <c r="K263" s="112"/>
      <c r="L263" s="126"/>
      <c r="M263" s="112"/>
      <c r="N263" s="126"/>
      <c r="O263" s="147"/>
      <c r="P263" s="147"/>
      <c r="Q263" s="147"/>
      <c r="R263" s="112"/>
      <c r="S263" s="112"/>
      <c r="T263" s="112"/>
      <c r="U263" s="146"/>
      <c r="V263" s="113"/>
      <c r="W263" s="113"/>
      <c r="X263" s="126"/>
      <c r="Y263" s="126"/>
    </row>
    <row r="264" spans="1:25" ht="14.7" customHeight="1">
      <c r="A264" s="26" t="s">
        <v>326</v>
      </c>
      <c r="B264" s="190"/>
      <c r="C264">
        <v>87.548785441840323</v>
      </c>
      <c r="D264">
        <v>86.610018955132986</v>
      </c>
      <c r="E264">
        <v>86.262118797186034</v>
      </c>
      <c r="F264">
        <v>79.579414279737563</v>
      </c>
      <c r="G264">
        <v>81.145499999999998</v>
      </c>
      <c r="H264">
        <v>79.932099999999991</v>
      </c>
      <c r="I264" s="147">
        <v>83.236095220846323</v>
      </c>
      <c r="J264" s="112"/>
      <c r="K264" s="112"/>
      <c r="L264" s="126"/>
      <c r="M264" s="112"/>
      <c r="N264" s="126"/>
      <c r="O264" s="147"/>
      <c r="P264" s="147"/>
      <c r="Q264" s="147"/>
      <c r="R264" s="112"/>
      <c r="S264" s="112"/>
      <c r="T264" s="112"/>
      <c r="U264" s="147"/>
      <c r="V264" s="149"/>
      <c r="W264" s="149"/>
      <c r="X264" s="126"/>
      <c r="Y264" s="126"/>
    </row>
    <row r="265" spans="1:25" ht="14.7" customHeight="1">
      <c r="A265" s="110" t="s">
        <v>906</v>
      </c>
      <c r="B265" s="190"/>
      <c r="C265" t="s">
        <v>908</v>
      </c>
      <c r="D265" t="s">
        <v>908</v>
      </c>
      <c r="E265" t="s">
        <v>908</v>
      </c>
      <c r="F265" t="s">
        <v>908</v>
      </c>
      <c r="G265" t="s">
        <v>908</v>
      </c>
      <c r="H265" t="s">
        <v>908</v>
      </c>
      <c r="I265" s="147">
        <v>83.146927184978921</v>
      </c>
      <c r="J265" s="112"/>
      <c r="K265" s="112"/>
      <c r="L265" s="126"/>
      <c r="M265" s="112"/>
      <c r="N265" s="126"/>
      <c r="O265" s="147"/>
      <c r="P265" s="147"/>
      <c r="Q265" s="147"/>
      <c r="R265" s="112"/>
      <c r="S265" s="112"/>
      <c r="T265" s="112"/>
      <c r="U265" s="147"/>
      <c r="V265" s="149"/>
      <c r="W265" s="149"/>
      <c r="X265" s="126"/>
      <c r="Y265" s="126"/>
    </row>
    <row r="266" spans="1:25" ht="14.7" customHeight="1">
      <c r="A266" s="26" t="s">
        <v>137</v>
      </c>
      <c r="B266" s="190"/>
      <c r="C266">
        <v>87.294810222630318</v>
      </c>
      <c r="D266">
        <v>89.296000658327856</v>
      </c>
      <c r="E266">
        <v>85.754259771468213</v>
      </c>
      <c r="F266">
        <v>84.093369893029276</v>
      </c>
      <c r="G266">
        <v>82.778099999999995</v>
      </c>
      <c r="H266">
        <v>78.803399999999996</v>
      </c>
      <c r="I266" s="147">
        <v>80.06415858676192</v>
      </c>
      <c r="J266" s="112"/>
      <c r="K266" s="112"/>
      <c r="L266" s="126"/>
      <c r="M266" s="112"/>
      <c r="N266" s="126"/>
      <c r="O266" s="147"/>
      <c r="P266" s="147"/>
      <c r="Q266" s="147"/>
      <c r="R266" s="112"/>
      <c r="S266" s="112"/>
      <c r="T266" s="112"/>
      <c r="U266" s="146"/>
      <c r="V266" s="113"/>
      <c r="W266" s="113"/>
      <c r="X266" s="126"/>
      <c r="Y266" s="126"/>
    </row>
    <row r="267" spans="1:25" ht="14.7" customHeight="1">
      <c r="A267" s="110" t="s">
        <v>138</v>
      </c>
      <c r="B267" s="190"/>
      <c r="C267">
        <v>89.56119654403048</v>
      </c>
      <c r="D267">
        <v>91.036859924947052</v>
      </c>
      <c r="E267">
        <v>91.683673871417653</v>
      </c>
      <c r="F267">
        <v>82.504225517294643</v>
      </c>
      <c r="G267">
        <v>89.591800000000006</v>
      </c>
      <c r="H267">
        <v>80.010099999999994</v>
      </c>
      <c r="I267" s="147">
        <v>85.854298338940708</v>
      </c>
      <c r="J267" s="112"/>
      <c r="K267" s="112"/>
      <c r="L267" s="126"/>
      <c r="M267" s="112"/>
      <c r="N267" s="126"/>
      <c r="O267" s="147"/>
      <c r="P267" s="147"/>
      <c r="Q267" s="147"/>
      <c r="R267" s="112"/>
      <c r="S267" s="112"/>
      <c r="T267" s="112"/>
      <c r="U267" s="146"/>
      <c r="V267" s="113"/>
      <c r="W267" s="113"/>
      <c r="X267" s="126"/>
      <c r="Y267" s="126"/>
    </row>
    <row r="268" spans="1:25" ht="14.7" customHeight="1">
      <c r="A268" s="110" t="s">
        <v>139</v>
      </c>
      <c r="B268" s="190"/>
      <c r="C268">
        <v>87.392576893495757</v>
      </c>
      <c r="D268">
        <v>88.375276232761351</v>
      </c>
      <c r="E268">
        <v>88.635853691372077</v>
      </c>
      <c r="F268">
        <v>78.205530061580916</v>
      </c>
      <c r="G268">
        <v>83.666300000000007</v>
      </c>
      <c r="H268">
        <v>79.698000000000008</v>
      </c>
      <c r="I268" s="147">
        <v>76.551521459605794</v>
      </c>
      <c r="J268" s="112"/>
      <c r="K268" s="112"/>
      <c r="L268" s="126"/>
      <c r="M268" s="112"/>
      <c r="N268" s="126"/>
      <c r="O268" s="147"/>
      <c r="P268" s="147"/>
      <c r="Q268" s="147"/>
      <c r="R268" s="112"/>
      <c r="S268" s="112"/>
      <c r="T268" s="112"/>
      <c r="U268" s="146"/>
      <c r="V268" s="113"/>
      <c r="W268" s="113"/>
      <c r="X268" s="126"/>
      <c r="Y268" s="126"/>
    </row>
    <row r="269" spans="1:25" ht="14.7" customHeight="1">
      <c r="A269" s="110" t="s">
        <v>287</v>
      </c>
      <c r="B269" s="190"/>
      <c r="C269">
        <v>89.426992780435498</v>
      </c>
      <c r="D269">
        <v>89.889039231172688</v>
      </c>
      <c r="E269">
        <v>87.283177586404165</v>
      </c>
      <c r="F269">
        <v>81.767746782996781</v>
      </c>
      <c r="G269">
        <v>83.550600000000003</v>
      </c>
      <c r="H269">
        <v>79.4923</v>
      </c>
      <c r="I269" s="147">
        <v>86.169250060231562</v>
      </c>
      <c r="J269" s="112"/>
      <c r="K269" s="112"/>
      <c r="L269" s="126"/>
      <c r="M269" s="112"/>
      <c r="N269" s="126"/>
      <c r="O269" s="147"/>
      <c r="P269" s="147"/>
      <c r="Q269" s="147"/>
      <c r="R269" s="112"/>
      <c r="S269" s="112"/>
      <c r="T269" s="112"/>
      <c r="U269" s="147"/>
      <c r="V269" s="149"/>
      <c r="W269" s="149"/>
      <c r="X269" s="126"/>
      <c r="Y269" s="126"/>
    </row>
    <row r="270" spans="1:25" ht="14.7" customHeight="1">
      <c r="A270" s="26" t="s">
        <v>140</v>
      </c>
      <c r="B270" s="190"/>
      <c r="C270">
        <v>88.37549423870415</v>
      </c>
      <c r="D270">
        <v>87.972186746133104</v>
      </c>
      <c r="E270">
        <v>86.939626219921777</v>
      </c>
      <c r="F270">
        <v>81.605937228539872</v>
      </c>
      <c r="G270">
        <v>85.041799999999995</v>
      </c>
      <c r="H270">
        <v>84.060599999999994</v>
      </c>
      <c r="I270" s="147">
        <v>88.114833574245324</v>
      </c>
      <c r="J270" s="112"/>
      <c r="K270" s="112"/>
      <c r="L270" s="126"/>
      <c r="M270" s="112"/>
      <c r="N270" s="126"/>
      <c r="O270" s="147"/>
      <c r="P270" s="147"/>
      <c r="Q270" s="147"/>
      <c r="R270" s="112"/>
      <c r="S270" s="112"/>
      <c r="T270" s="112"/>
      <c r="U270" s="146"/>
      <c r="V270" s="113"/>
      <c r="W270" s="113"/>
      <c r="X270" s="126"/>
      <c r="Y270" s="126"/>
    </row>
    <row r="271" spans="1:25" ht="14.7" customHeight="1">
      <c r="A271" s="26" t="s">
        <v>141</v>
      </c>
      <c r="B271" s="190"/>
      <c r="C271">
        <v>78.44698319418751</v>
      </c>
      <c r="D271">
        <v>83.778512436824485</v>
      </c>
      <c r="E271">
        <v>80.927651898215203</v>
      </c>
      <c r="F271">
        <v>72.060279402112513</v>
      </c>
      <c r="G271">
        <v>70.673900000000003</v>
      </c>
      <c r="H271">
        <v>71.415899999999993</v>
      </c>
      <c r="I271" s="147">
        <v>74.535433975926495</v>
      </c>
      <c r="J271" s="112"/>
      <c r="K271" s="112"/>
      <c r="L271" s="126"/>
      <c r="M271" s="112"/>
      <c r="N271" s="126"/>
      <c r="O271" s="147"/>
      <c r="P271" s="147"/>
      <c r="Q271" s="147"/>
      <c r="R271" s="112"/>
      <c r="S271" s="112"/>
      <c r="T271" s="112"/>
      <c r="U271" s="147"/>
      <c r="V271" s="149"/>
      <c r="W271" s="149"/>
      <c r="X271" s="126"/>
      <c r="Y271" s="126"/>
    </row>
    <row r="272" spans="1:25" ht="14.7" customHeight="1">
      <c r="A272" s="110" t="s">
        <v>142</v>
      </c>
      <c r="B272" s="190"/>
      <c r="C272">
        <v>88.698786210945059</v>
      </c>
      <c r="D272">
        <v>87.558626991362615</v>
      </c>
      <c r="E272">
        <v>90.099987924641852</v>
      </c>
      <c r="F272">
        <v>75.608394164317161</v>
      </c>
      <c r="G272">
        <v>83.305099999999996</v>
      </c>
      <c r="H272">
        <v>81.820800000000006</v>
      </c>
      <c r="I272" s="147">
        <v>76.277737156810716</v>
      </c>
      <c r="J272" s="112"/>
      <c r="K272" s="112"/>
      <c r="L272" s="126"/>
      <c r="M272" s="112"/>
      <c r="N272" s="126"/>
      <c r="O272" s="147"/>
      <c r="P272" s="147"/>
      <c r="Q272" s="147"/>
      <c r="R272" s="112"/>
      <c r="S272" s="112"/>
      <c r="T272" s="112"/>
      <c r="U272" s="146"/>
      <c r="V272" s="113"/>
      <c r="W272" s="113"/>
      <c r="X272" s="126"/>
      <c r="Y272" s="126"/>
    </row>
    <row r="273" spans="1:25" ht="14.7" customHeight="1">
      <c r="A273" s="110" t="s">
        <v>143</v>
      </c>
      <c r="B273" s="190"/>
      <c r="C273">
        <v>88.752680503429758</v>
      </c>
      <c r="D273">
        <v>89.530199158462466</v>
      </c>
      <c r="E273">
        <v>90.072975140336808</v>
      </c>
      <c r="F273">
        <v>82.337795354784092</v>
      </c>
      <c r="G273">
        <v>82.258399999999995</v>
      </c>
      <c r="H273">
        <v>83.526700000000005</v>
      </c>
      <c r="I273" s="147">
        <v>86.127920184335537</v>
      </c>
      <c r="J273" s="112"/>
      <c r="K273" s="112"/>
      <c r="L273" s="126"/>
      <c r="M273" s="112"/>
      <c r="N273" s="126"/>
      <c r="O273" s="147"/>
      <c r="P273" s="147"/>
      <c r="Q273" s="147"/>
      <c r="R273" s="112"/>
      <c r="S273" s="112"/>
      <c r="T273" s="112"/>
      <c r="U273" s="146"/>
      <c r="V273" s="113"/>
      <c r="W273" s="113"/>
      <c r="X273" s="126"/>
      <c r="Y273" s="126"/>
    </row>
    <row r="274" spans="1:25" ht="14.7" customHeight="1">
      <c r="A274" s="110" t="s">
        <v>144</v>
      </c>
      <c r="B274" s="190"/>
      <c r="C274">
        <v>89.977523438726877</v>
      </c>
      <c r="D274">
        <v>87.853483091884513</v>
      </c>
      <c r="E274">
        <v>86.44701839946795</v>
      </c>
      <c r="F274">
        <v>80.974207430765489</v>
      </c>
      <c r="G274">
        <v>84.490899999999996</v>
      </c>
      <c r="H274">
        <v>85.689099999999996</v>
      </c>
      <c r="I274" s="147">
        <v>83.687660389800357</v>
      </c>
      <c r="J274" s="112"/>
      <c r="K274" s="112"/>
      <c r="L274" s="126"/>
      <c r="M274" s="112"/>
      <c r="N274" s="126"/>
      <c r="O274" s="147"/>
      <c r="P274" s="147"/>
      <c r="Q274" s="147"/>
      <c r="R274" s="112"/>
      <c r="S274" s="112"/>
      <c r="T274" s="112"/>
      <c r="U274" s="146"/>
      <c r="V274" s="113"/>
      <c r="W274" s="113"/>
      <c r="X274" s="126"/>
      <c r="Y274" s="126"/>
    </row>
    <row r="275" spans="1:25" ht="14.7" customHeight="1">
      <c r="A275" s="110" t="s">
        <v>145</v>
      </c>
      <c r="B275" s="190"/>
      <c r="C275">
        <v>88.472399897837334</v>
      </c>
      <c r="D275">
        <v>89.314065266627594</v>
      </c>
      <c r="E275">
        <v>90.60564533881751</v>
      </c>
      <c r="F275">
        <v>79.640256450667167</v>
      </c>
      <c r="G275">
        <v>78.497500000000002</v>
      </c>
      <c r="H275">
        <v>80.031599999999997</v>
      </c>
      <c r="I275" s="147">
        <v>83.691511995421209</v>
      </c>
      <c r="J275" s="112"/>
      <c r="K275" s="112"/>
      <c r="L275" s="126"/>
      <c r="M275" s="112"/>
      <c r="N275" s="126"/>
      <c r="O275" s="147"/>
      <c r="P275" s="147"/>
      <c r="Q275" s="147"/>
      <c r="R275" s="112"/>
      <c r="S275" s="112"/>
      <c r="T275" s="112"/>
      <c r="U275" s="146"/>
      <c r="V275" s="113"/>
      <c r="W275" s="113"/>
      <c r="X275" s="126"/>
      <c r="Y275" s="126"/>
    </row>
    <row r="276" spans="1:25" ht="14.7" customHeight="1">
      <c r="A276" s="110" t="s">
        <v>146</v>
      </c>
      <c r="B276" s="190"/>
      <c r="C276">
        <v>90.590791571286942</v>
      </c>
      <c r="D276">
        <v>91.716787818407681</v>
      </c>
      <c r="E276">
        <v>89.496077675403058</v>
      </c>
      <c r="F276">
        <v>82.154701717121867</v>
      </c>
      <c r="G276">
        <v>81.166899999999998</v>
      </c>
      <c r="H276">
        <v>86.233499999999992</v>
      </c>
      <c r="I276" s="147">
        <v>86.607379837809205</v>
      </c>
      <c r="J276" s="112"/>
      <c r="K276" s="112"/>
      <c r="L276" s="126"/>
      <c r="M276" s="112"/>
      <c r="N276" s="126"/>
      <c r="O276" s="147"/>
      <c r="P276" s="147"/>
      <c r="Q276" s="147"/>
      <c r="R276" s="112"/>
      <c r="S276" s="112"/>
      <c r="T276" s="112"/>
      <c r="U276" s="146"/>
      <c r="V276" s="113"/>
      <c r="W276" s="113"/>
      <c r="X276" s="126"/>
      <c r="Y276" s="126"/>
    </row>
    <row r="277" spans="1:25" ht="14.7" customHeight="1">
      <c r="A277" s="110" t="s">
        <v>147</v>
      </c>
      <c r="B277" s="190"/>
      <c r="C277">
        <v>88.683616847029768</v>
      </c>
      <c r="D277">
        <v>82.152386961521643</v>
      </c>
      <c r="E277">
        <v>87.951202122400431</v>
      </c>
      <c r="F277">
        <v>78.851003427688312</v>
      </c>
      <c r="G277">
        <v>79.203999999999994</v>
      </c>
      <c r="H277">
        <v>79.5916</v>
      </c>
      <c r="I277" s="147">
        <v>83.096861801507984</v>
      </c>
      <c r="J277" s="112"/>
      <c r="K277" s="112"/>
      <c r="L277" s="126"/>
      <c r="M277" s="112"/>
      <c r="N277" s="126"/>
      <c r="O277" s="147"/>
      <c r="P277" s="147"/>
      <c r="Q277" s="147"/>
      <c r="R277" s="112"/>
      <c r="S277" s="112"/>
      <c r="T277" s="112"/>
      <c r="U277" s="146"/>
      <c r="V277" s="113"/>
      <c r="W277" s="113"/>
      <c r="X277" s="126"/>
      <c r="Y277" s="126"/>
    </row>
    <row r="278" spans="1:25" ht="14.7" customHeight="1">
      <c r="A278" s="26" t="s">
        <v>148</v>
      </c>
      <c r="B278" s="190"/>
      <c r="C278">
        <v>87.517321483961965</v>
      </c>
      <c r="D278">
        <v>88.826636395573857</v>
      </c>
      <c r="E278">
        <v>87.527827962002448</v>
      </c>
      <c r="F278">
        <v>80.856446913331524</v>
      </c>
      <c r="G278">
        <v>78.466999999999999</v>
      </c>
      <c r="H278">
        <v>80.817700000000002</v>
      </c>
      <c r="I278" s="147">
        <v>82.960311715456797</v>
      </c>
      <c r="J278" s="112"/>
      <c r="K278" s="112"/>
      <c r="L278" s="126"/>
      <c r="M278" s="112"/>
      <c r="N278" s="126"/>
      <c r="O278" s="147"/>
      <c r="P278" s="147"/>
      <c r="Q278" s="147"/>
      <c r="R278" s="112"/>
      <c r="S278" s="112"/>
      <c r="T278" s="112"/>
      <c r="U278" s="146"/>
      <c r="V278" s="113"/>
      <c r="W278" s="113"/>
      <c r="X278" s="126"/>
      <c r="Y278" s="126"/>
    </row>
    <row r="279" spans="1:25" ht="14.7" customHeight="1">
      <c r="A279" s="110" t="s">
        <v>149</v>
      </c>
      <c r="B279" s="190"/>
      <c r="C279">
        <v>84.948341566081041</v>
      </c>
      <c r="D279">
        <v>83.962146145407203</v>
      </c>
      <c r="E279">
        <v>85.638768243534059</v>
      </c>
      <c r="F279">
        <v>77.711307597333274</v>
      </c>
      <c r="G279">
        <v>79.947000000000003</v>
      </c>
      <c r="H279">
        <v>78.986699999999999</v>
      </c>
      <c r="I279" s="147">
        <v>77.878464707712496</v>
      </c>
      <c r="J279" s="112"/>
      <c r="K279" s="112"/>
      <c r="L279" s="126"/>
      <c r="M279" s="112"/>
      <c r="N279" s="126"/>
      <c r="O279" s="147"/>
      <c r="P279" s="147"/>
      <c r="Q279" s="147"/>
      <c r="R279" s="112"/>
      <c r="S279" s="112"/>
      <c r="T279" s="112"/>
      <c r="U279" s="146"/>
      <c r="V279" s="113"/>
      <c r="W279" s="113"/>
      <c r="X279" s="126"/>
      <c r="Y279" s="126"/>
    </row>
    <row r="280" spans="1:25" ht="14.7" customHeight="1">
      <c r="A280" s="110" t="s">
        <v>247</v>
      </c>
      <c r="B280" s="190"/>
      <c r="C280">
        <v>83.811679447098129</v>
      </c>
      <c r="D280">
        <v>85.121522209442716</v>
      </c>
      <c r="E280">
        <v>85.332970464819113</v>
      </c>
      <c r="F280">
        <v>73.710163353975716</v>
      </c>
      <c r="G280">
        <v>75.673000000000002</v>
      </c>
      <c r="H280">
        <v>79.056899999999999</v>
      </c>
      <c r="I280" s="147">
        <v>79.897493596827786</v>
      </c>
      <c r="J280" s="112"/>
      <c r="K280" s="112"/>
      <c r="L280" s="126"/>
      <c r="M280" s="112"/>
      <c r="N280" s="126"/>
      <c r="O280" s="147"/>
      <c r="P280" s="147"/>
      <c r="Q280" s="147"/>
      <c r="R280" s="112"/>
      <c r="S280" s="112"/>
      <c r="T280" s="112"/>
      <c r="U280" s="147"/>
      <c r="V280" s="149"/>
      <c r="W280" s="149"/>
      <c r="X280" s="126"/>
      <c r="Y280" s="126"/>
    </row>
    <row r="281" spans="1:25" ht="14.7" customHeight="1">
      <c r="A281" s="26" t="s">
        <v>288</v>
      </c>
      <c r="B281" s="190"/>
      <c r="C281">
        <v>88.324891178286251</v>
      </c>
      <c r="D281">
        <v>90.530204664599992</v>
      </c>
      <c r="E281">
        <v>84.318712752344922</v>
      </c>
      <c r="F281">
        <v>79.538843080239872</v>
      </c>
      <c r="G281">
        <v>81.427999999999997</v>
      </c>
      <c r="H281">
        <v>80.920400000000001</v>
      </c>
      <c r="I281" s="147">
        <v>84.463162833012163</v>
      </c>
      <c r="J281" s="112"/>
      <c r="K281" s="112"/>
      <c r="L281" s="126"/>
      <c r="M281" s="112"/>
      <c r="N281" s="126"/>
      <c r="O281" s="147"/>
      <c r="P281" s="147"/>
      <c r="Q281" s="147"/>
      <c r="R281" s="112"/>
      <c r="S281" s="112"/>
      <c r="T281" s="112"/>
      <c r="U281" s="146"/>
      <c r="V281" s="113"/>
      <c r="W281" s="113"/>
      <c r="X281" s="126"/>
      <c r="Y281" s="126"/>
    </row>
    <row r="282" spans="1:25" ht="14.7" customHeight="1">
      <c r="A282" s="110" t="s">
        <v>289</v>
      </c>
      <c r="B282" s="190"/>
      <c r="C282">
        <v>85.992832278342959</v>
      </c>
      <c r="D282">
        <v>87.889744552967699</v>
      </c>
      <c r="E282">
        <v>86.249588938129307</v>
      </c>
      <c r="F282">
        <v>83.025001923220316</v>
      </c>
      <c r="G282">
        <v>80.055399999999992</v>
      </c>
      <c r="H282">
        <v>79.992400000000004</v>
      </c>
      <c r="I282" s="147">
        <v>76.94998961504443</v>
      </c>
      <c r="J282" s="112"/>
      <c r="K282" s="112"/>
      <c r="L282" s="126"/>
      <c r="M282" s="112"/>
      <c r="N282" s="126"/>
      <c r="O282" s="147"/>
      <c r="P282" s="147"/>
      <c r="Q282" s="147"/>
      <c r="R282" s="112"/>
      <c r="S282" s="112"/>
      <c r="T282" s="112"/>
      <c r="U282" s="146"/>
      <c r="V282" s="113"/>
      <c r="W282" s="113"/>
      <c r="X282" s="126"/>
      <c r="Y282" s="126"/>
    </row>
    <row r="283" spans="1:25" ht="14.7" customHeight="1">
      <c r="A283" s="110" t="s">
        <v>217</v>
      </c>
      <c r="B283" s="190"/>
      <c r="C283">
        <v>92.608187215517091</v>
      </c>
      <c r="D283">
        <v>93.484797252835136</v>
      </c>
      <c r="E283">
        <v>92.411694759799403</v>
      </c>
      <c r="F283">
        <v>85.025539795798153</v>
      </c>
      <c r="G283">
        <v>84.191199999999995</v>
      </c>
      <c r="H283">
        <v>83.902900000000002</v>
      </c>
      <c r="I283" s="147">
        <v>84.343569969916516</v>
      </c>
      <c r="J283" s="112"/>
      <c r="K283" s="112"/>
      <c r="L283" s="126"/>
      <c r="M283" s="112"/>
      <c r="N283" s="126"/>
      <c r="O283" s="147"/>
      <c r="P283" s="147"/>
      <c r="Q283" s="147"/>
      <c r="R283" s="112"/>
      <c r="S283" s="112"/>
      <c r="T283" s="112"/>
      <c r="U283" s="146"/>
      <c r="V283" s="113"/>
      <c r="W283" s="113"/>
      <c r="X283" s="126"/>
      <c r="Y283" s="126"/>
    </row>
    <row r="284" spans="1:25" ht="14.7" customHeight="1">
      <c r="A284" s="110" t="s">
        <v>150</v>
      </c>
      <c r="B284" s="190"/>
      <c r="C284">
        <v>85.455096205050239</v>
      </c>
      <c r="D284">
        <v>87.572192209730545</v>
      </c>
      <c r="E284">
        <v>85.52103514389826</v>
      </c>
      <c r="F284">
        <v>80.145823997034896</v>
      </c>
      <c r="G284">
        <v>79.816500000000005</v>
      </c>
      <c r="H284">
        <v>80.418199999999999</v>
      </c>
      <c r="I284" s="147">
        <v>82.285651741674101</v>
      </c>
      <c r="J284" s="112"/>
      <c r="K284" s="112"/>
      <c r="L284" s="126"/>
      <c r="M284" s="112"/>
      <c r="N284" s="126"/>
      <c r="O284" s="147"/>
      <c r="P284" s="147"/>
      <c r="Q284" s="147"/>
      <c r="R284" s="112"/>
      <c r="S284" s="112"/>
      <c r="T284" s="112"/>
      <c r="U284" s="146"/>
      <c r="V284" s="113"/>
      <c r="W284" s="113"/>
      <c r="X284" s="126"/>
      <c r="Y284" s="126"/>
    </row>
    <row r="285" spans="1:25" ht="14.7" customHeight="1">
      <c r="A285" s="110" t="s">
        <v>151</v>
      </c>
      <c r="B285" s="190"/>
      <c r="C285">
        <v>90.136033796816932</v>
      </c>
      <c r="D285">
        <v>90.367252954444595</v>
      </c>
      <c r="E285">
        <v>89.007731418544608</v>
      </c>
      <c r="F285">
        <v>81.847864230782349</v>
      </c>
      <c r="G285">
        <v>85.532399999999996</v>
      </c>
      <c r="H285">
        <v>87.205200000000005</v>
      </c>
      <c r="I285" s="147">
        <v>86.168577447552352</v>
      </c>
      <c r="J285" s="112"/>
      <c r="K285" s="112"/>
      <c r="L285" s="126"/>
      <c r="M285" s="112"/>
      <c r="N285" s="126"/>
      <c r="O285" s="147"/>
      <c r="P285" s="147"/>
      <c r="Q285" s="147"/>
      <c r="R285" s="112"/>
      <c r="S285" s="112"/>
      <c r="T285" s="112"/>
      <c r="U285" s="146"/>
      <c r="V285" s="113"/>
      <c r="W285" s="113"/>
      <c r="X285" s="126"/>
      <c r="Y285" s="126"/>
    </row>
    <row r="286" spans="1:25" ht="14.7" customHeight="1">
      <c r="A286" s="110" t="s">
        <v>152</v>
      </c>
      <c r="B286" s="190"/>
      <c r="C286">
        <v>89.147472219390579</v>
      </c>
      <c r="D286">
        <v>87.561225652124378</v>
      </c>
      <c r="E286">
        <v>90.579947575360407</v>
      </c>
      <c r="F286">
        <v>75.647444236615385</v>
      </c>
      <c r="G286">
        <v>83.056100000000001</v>
      </c>
      <c r="H286">
        <v>80.337400000000002</v>
      </c>
      <c r="I286" s="147" t="s">
        <v>908</v>
      </c>
      <c r="J286" s="112"/>
      <c r="K286" s="112"/>
      <c r="L286" s="126"/>
      <c r="M286" s="112"/>
      <c r="N286" s="126"/>
      <c r="O286" s="147"/>
      <c r="P286" s="147"/>
      <c r="Q286" s="147"/>
      <c r="R286" s="112"/>
      <c r="S286" s="112"/>
      <c r="T286" s="112"/>
      <c r="U286" s="146"/>
      <c r="V286" s="113"/>
      <c r="W286" s="113"/>
      <c r="X286" s="126"/>
      <c r="Y286" s="126"/>
    </row>
    <row r="287" spans="1:25" ht="14.7" customHeight="1">
      <c r="A287" s="110" t="s">
        <v>248</v>
      </c>
      <c r="B287" s="190"/>
      <c r="C287">
        <v>82.661291054524668</v>
      </c>
      <c r="D287">
        <v>86.372122348548444</v>
      </c>
      <c r="E287">
        <v>79.746061603573949</v>
      </c>
      <c r="F287">
        <v>77.721285997907245</v>
      </c>
      <c r="G287">
        <v>74.055400000000006</v>
      </c>
      <c r="H287">
        <v>76.637599999999992</v>
      </c>
      <c r="I287" s="147">
        <v>77.535024896980801</v>
      </c>
      <c r="J287" s="112"/>
      <c r="K287" s="112"/>
      <c r="L287" s="126"/>
      <c r="M287" s="112"/>
      <c r="N287" s="126"/>
      <c r="O287" s="147"/>
      <c r="P287" s="147"/>
      <c r="Q287" s="147"/>
      <c r="R287" s="112"/>
      <c r="S287" s="112"/>
      <c r="T287" s="112"/>
      <c r="U287" s="146"/>
      <c r="V287" s="113"/>
      <c r="W287" s="113"/>
      <c r="X287" s="126"/>
      <c r="Y287" s="126"/>
    </row>
    <row r="288" spans="1:25" ht="14.7" customHeight="1">
      <c r="A288" s="110" t="s">
        <v>153</v>
      </c>
      <c r="B288" s="190"/>
      <c r="C288">
        <v>85.057378970998599</v>
      </c>
      <c r="D288">
        <v>89.032862415270927</v>
      </c>
      <c r="E288">
        <v>87.054838741718569</v>
      </c>
      <c r="F288">
        <v>80.166771049623293</v>
      </c>
      <c r="G288">
        <v>81.259199999999993</v>
      </c>
      <c r="H288">
        <v>76.266500000000008</v>
      </c>
      <c r="I288" s="147">
        <v>80.628429131598295</v>
      </c>
      <c r="J288" s="112"/>
      <c r="K288" s="112"/>
      <c r="L288" s="126"/>
      <c r="M288" s="112"/>
      <c r="N288" s="126"/>
      <c r="O288" s="147"/>
      <c r="P288" s="147"/>
      <c r="Q288" s="147"/>
      <c r="R288" s="112"/>
      <c r="S288" s="112"/>
      <c r="T288" s="112"/>
      <c r="U288" s="146"/>
      <c r="V288" s="113"/>
      <c r="W288" s="113"/>
      <c r="X288" s="126"/>
      <c r="Y288" s="126"/>
    </row>
    <row r="289" spans="1:25" ht="14.7" customHeight="1">
      <c r="A289" s="110" t="s">
        <v>327</v>
      </c>
      <c r="B289" s="190"/>
      <c r="C289">
        <v>84.764372694685434</v>
      </c>
      <c r="D289">
        <v>85.14894270282889</v>
      </c>
      <c r="E289">
        <v>84.678337336987454</v>
      </c>
      <c r="F289">
        <v>76.365549290069183</v>
      </c>
      <c r="G289">
        <v>77.363199999999992</v>
      </c>
      <c r="H289">
        <v>77.305199999999999</v>
      </c>
      <c r="I289" s="147">
        <v>78.750029660967968</v>
      </c>
      <c r="J289" s="112"/>
      <c r="K289" s="112"/>
      <c r="L289" s="126"/>
      <c r="M289" s="112"/>
      <c r="N289" s="126"/>
      <c r="O289" s="147"/>
      <c r="P289" s="147"/>
      <c r="Q289" s="147"/>
      <c r="R289" s="112"/>
      <c r="S289" s="112"/>
      <c r="T289" s="112"/>
      <c r="U289" s="146"/>
      <c r="V289" s="113"/>
      <c r="W289" s="113"/>
      <c r="X289" s="126"/>
      <c r="Y289" s="126"/>
    </row>
    <row r="290" spans="1:25" ht="14.7" customHeight="1">
      <c r="A290" s="110" t="s">
        <v>154</v>
      </c>
      <c r="B290" s="190"/>
      <c r="C290">
        <v>86.610179798266401</v>
      </c>
      <c r="D290">
        <v>86.463346278576296</v>
      </c>
      <c r="E290">
        <v>87.216639823072668</v>
      </c>
      <c r="F290">
        <v>68.869895507332927</v>
      </c>
      <c r="G290">
        <v>79.456599999999995</v>
      </c>
      <c r="H290">
        <v>76.174299999999988</v>
      </c>
      <c r="I290" s="147">
        <v>78.783205335978252</v>
      </c>
      <c r="J290" s="112"/>
      <c r="K290" s="112"/>
      <c r="L290" s="126"/>
      <c r="M290" s="112"/>
      <c r="N290" s="126"/>
      <c r="O290" s="147"/>
      <c r="P290" s="147"/>
      <c r="Q290" s="147"/>
      <c r="R290" s="112"/>
      <c r="S290" s="112"/>
      <c r="T290" s="112"/>
      <c r="U290" s="147"/>
      <c r="V290" s="149"/>
      <c r="W290" s="149"/>
      <c r="X290" s="126"/>
      <c r="Y290" s="126"/>
    </row>
    <row r="291" spans="1:25" ht="14.7" customHeight="1">
      <c r="A291" s="110" t="s">
        <v>155</v>
      </c>
      <c r="B291" s="190"/>
      <c r="C291">
        <v>82.322153019545212</v>
      </c>
      <c r="D291">
        <v>87.69747267647972</v>
      </c>
      <c r="E291">
        <v>85.322528700223444</v>
      </c>
      <c r="F291">
        <v>77.97578489155967</v>
      </c>
      <c r="G291">
        <v>77.792900000000003</v>
      </c>
      <c r="H291">
        <v>80.365399999999994</v>
      </c>
      <c r="I291" s="147">
        <v>80.749600024003115</v>
      </c>
      <c r="J291" s="112"/>
      <c r="K291" s="112"/>
      <c r="L291" s="126"/>
      <c r="M291" s="112"/>
      <c r="N291" s="126"/>
      <c r="O291" s="147"/>
      <c r="P291" s="147"/>
      <c r="Q291" s="147"/>
      <c r="R291" s="112"/>
      <c r="S291" s="112"/>
      <c r="T291" s="112"/>
      <c r="U291" s="147"/>
      <c r="V291" s="149"/>
      <c r="W291" s="149"/>
      <c r="X291" s="126"/>
      <c r="Y291" s="126"/>
    </row>
    <row r="292" spans="1:25" ht="14.7" customHeight="1">
      <c r="A292" s="110" t="s">
        <v>249</v>
      </c>
      <c r="B292" s="190"/>
      <c r="C292">
        <v>87.064681083151612</v>
      </c>
      <c r="D292">
        <v>86.227741784529996</v>
      </c>
      <c r="E292">
        <v>86.067354960836767</v>
      </c>
      <c r="F292">
        <v>82.904797291578419</v>
      </c>
      <c r="G292">
        <v>83.150199999999998</v>
      </c>
      <c r="H292">
        <v>80.191100000000006</v>
      </c>
      <c r="I292" s="147">
        <v>79.423947416717681</v>
      </c>
      <c r="J292" s="112"/>
      <c r="K292" s="112"/>
      <c r="L292" s="126"/>
      <c r="M292" s="112"/>
      <c r="N292" s="126"/>
      <c r="O292" s="147"/>
      <c r="P292" s="147"/>
      <c r="Q292" s="147"/>
      <c r="R292" s="112"/>
      <c r="S292" s="112"/>
      <c r="T292" s="112"/>
      <c r="U292" s="146"/>
      <c r="V292" s="113"/>
      <c r="W292" s="113"/>
      <c r="X292" s="126"/>
      <c r="Y292" s="126"/>
    </row>
    <row r="293" spans="1:25" ht="14.7" customHeight="1">
      <c r="A293" s="26" t="s">
        <v>290</v>
      </c>
      <c r="B293" s="190"/>
      <c r="C293">
        <v>86.611817302604322</v>
      </c>
      <c r="D293">
        <v>83.822177975187614</v>
      </c>
      <c r="E293">
        <v>85.1787164433116</v>
      </c>
      <c r="F293">
        <v>78.815768250421641</v>
      </c>
      <c r="G293">
        <v>74.335499999999996</v>
      </c>
      <c r="H293">
        <v>74.146299999999997</v>
      </c>
      <c r="I293" s="147">
        <v>78.520943762207935</v>
      </c>
      <c r="J293" s="112"/>
      <c r="K293" s="112"/>
      <c r="L293" s="126"/>
      <c r="M293" s="112"/>
      <c r="N293" s="126"/>
      <c r="O293" s="147"/>
      <c r="P293" s="147"/>
      <c r="Q293" s="147"/>
      <c r="R293" s="112"/>
      <c r="S293" s="112"/>
      <c r="T293" s="112"/>
      <c r="U293" s="146"/>
      <c r="V293" s="113"/>
      <c r="W293" s="113"/>
      <c r="X293" s="126"/>
      <c r="Y293" s="126"/>
    </row>
    <row r="294" spans="1:25" ht="14.7" customHeight="1">
      <c r="A294" s="110" t="s">
        <v>291</v>
      </c>
      <c r="B294" s="190"/>
      <c r="C294">
        <v>79.407973651435228</v>
      </c>
      <c r="D294">
        <v>83.558282705384826</v>
      </c>
      <c r="E294">
        <v>82.453134388739159</v>
      </c>
      <c r="F294">
        <v>75.21072304548521</v>
      </c>
      <c r="G294">
        <v>70.614400000000003</v>
      </c>
      <c r="H294">
        <v>74.495100000000008</v>
      </c>
      <c r="I294" s="147">
        <v>70.543197211140722</v>
      </c>
      <c r="J294" s="112"/>
      <c r="K294" s="112"/>
      <c r="L294" s="126"/>
      <c r="M294" s="112"/>
      <c r="N294" s="126"/>
      <c r="O294" s="147"/>
      <c r="P294" s="147"/>
      <c r="Q294" s="147"/>
      <c r="R294" s="112"/>
      <c r="S294" s="112"/>
      <c r="T294" s="112"/>
      <c r="U294" s="146"/>
      <c r="V294" s="113"/>
      <c r="W294" s="113"/>
      <c r="X294" s="126"/>
      <c r="Y294" s="126"/>
    </row>
    <row r="295" spans="1:25" ht="14.7" customHeight="1">
      <c r="A295" s="110" t="s">
        <v>156</v>
      </c>
      <c r="B295" s="190"/>
      <c r="C295">
        <v>89.049620951172983</v>
      </c>
      <c r="D295">
        <v>87.659599156540224</v>
      </c>
      <c r="E295">
        <v>89.686716097838897</v>
      </c>
      <c r="F295">
        <v>78.004844294408841</v>
      </c>
      <c r="G295">
        <v>83.489599999999996</v>
      </c>
      <c r="H295">
        <v>83.165199999999999</v>
      </c>
      <c r="I295" s="147">
        <v>81.494755210460639</v>
      </c>
      <c r="J295" s="112"/>
      <c r="K295" s="112"/>
      <c r="L295" s="126"/>
      <c r="M295" s="112"/>
      <c r="N295" s="126"/>
      <c r="O295" s="147"/>
      <c r="P295" s="147"/>
      <c r="Q295" s="147"/>
      <c r="R295" s="112"/>
      <c r="S295" s="112"/>
      <c r="T295" s="112"/>
      <c r="U295" s="146"/>
      <c r="V295" s="113"/>
      <c r="W295" s="113"/>
      <c r="X295" s="126"/>
      <c r="Y295" s="126"/>
    </row>
    <row r="296" spans="1:25" ht="14.7" customHeight="1">
      <c r="A296" s="26" t="s">
        <v>157</v>
      </c>
      <c r="B296" s="190"/>
      <c r="C296">
        <v>85.767523484101304</v>
      </c>
      <c r="D296">
        <v>89.571587544707555</v>
      </c>
      <c r="E296">
        <v>90.942561443857571</v>
      </c>
      <c r="F296">
        <v>82.345906665135658</v>
      </c>
      <c r="G296">
        <v>81.528199999999998</v>
      </c>
      <c r="H296">
        <v>84.446699999999993</v>
      </c>
      <c r="I296" s="147">
        <v>86.591064229964161</v>
      </c>
      <c r="J296" s="112"/>
      <c r="K296" s="112"/>
      <c r="L296" s="126"/>
      <c r="M296" s="112"/>
      <c r="N296" s="126"/>
      <c r="O296" s="147"/>
      <c r="P296" s="147"/>
      <c r="Q296" s="147"/>
      <c r="R296" s="112"/>
      <c r="S296" s="112"/>
      <c r="T296" s="112"/>
      <c r="U296" s="146"/>
      <c r="V296" s="113"/>
      <c r="W296" s="113"/>
      <c r="X296" s="126"/>
      <c r="Y296" s="126"/>
    </row>
    <row r="297" spans="1:25" ht="14.7" customHeight="1">
      <c r="A297" s="110" t="s">
        <v>328</v>
      </c>
      <c r="B297" s="190"/>
      <c r="C297">
        <v>88.447092519392925</v>
      </c>
      <c r="D297">
        <v>88.66487154504658</v>
      </c>
      <c r="E297">
        <v>88.518203937206991</v>
      </c>
      <c r="F297">
        <v>80.065312047807794</v>
      </c>
      <c r="G297">
        <v>81.861599999999996</v>
      </c>
      <c r="H297">
        <v>80.037300000000002</v>
      </c>
      <c r="I297" s="147">
        <v>82.364696744200316</v>
      </c>
      <c r="J297" s="112"/>
      <c r="K297" s="112"/>
      <c r="L297" s="126"/>
      <c r="M297" s="112"/>
      <c r="N297" s="126"/>
      <c r="O297" s="147"/>
      <c r="P297" s="147"/>
      <c r="Q297" s="147"/>
      <c r="R297" s="112"/>
      <c r="S297" s="112"/>
      <c r="T297" s="112"/>
      <c r="U297" s="146"/>
      <c r="V297" s="113"/>
      <c r="W297" s="113"/>
      <c r="X297" s="126"/>
      <c r="Y297" s="126"/>
    </row>
    <row r="298" spans="1:25" ht="14.7" customHeight="1">
      <c r="A298" s="26" t="s">
        <v>158</v>
      </c>
      <c r="B298" s="190"/>
      <c r="C298">
        <v>91.87566389674582</v>
      </c>
      <c r="D298">
        <v>92.504071553615404</v>
      </c>
      <c r="E298">
        <v>90.969392111657072</v>
      </c>
      <c r="F298">
        <v>82.516113319327076</v>
      </c>
      <c r="G298">
        <v>81.538899999999998</v>
      </c>
      <c r="H298">
        <v>80.579800000000006</v>
      </c>
      <c r="I298" s="147" t="s">
        <v>908</v>
      </c>
      <c r="J298" s="112"/>
      <c r="K298" s="112"/>
      <c r="L298" s="126"/>
      <c r="M298" s="112"/>
      <c r="N298" s="126"/>
      <c r="O298" s="147"/>
      <c r="P298" s="147"/>
      <c r="Q298" s="147"/>
      <c r="R298" s="112"/>
      <c r="S298" s="112"/>
      <c r="T298" s="112"/>
      <c r="U298" s="146"/>
      <c r="V298" s="113"/>
      <c r="W298" s="113"/>
      <c r="X298" s="126"/>
      <c r="Y298" s="126"/>
    </row>
    <row r="299" spans="1:25" ht="14.7" customHeight="1">
      <c r="A299" s="110" t="s">
        <v>250</v>
      </c>
      <c r="B299" s="190"/>
      <c r="C299">
        <v>83.797621609292833</v>
      </c>
      <c r="D299">
        <v>84.111678572383539</v>
      </c>
      <c r="E299">
        <v>83.188805332123593</v>
      </c>
      <c r="F299">
        <v>72.706798866580826</v>
      </c>
      <c r="G299">
        <v>75.521000000000001</v>
      </c>
      <c r="H299">
        <v>77.7333</v>
      </c>
      <c r="I299" s="147">
        <v>72.967386372492712</v>
      </c>
      <c r="J299" s="112"/>
      <c r="K299" s="112"/>
      <c r="L299" s="126"/>
      <c r="M299" s="112"/>
      <c r="N299" s="126"/>
      <c r="O299" s="147"/>
      <c r="P299" s="147"/>
      <c r="Q299" s="147"/>
      <c r="R299" s="112"/>
      <c r="S299" s="112"/>
      <c r="T299" s="112"/>
      <c r="U299" s="147"/>
      <c r="V299" s="149"/>
      <c r="W299" s="149"/>
      <c r="X299" s="126"/>
      <c r="Y299" s="126"/>
    </row>
    <row r="300" spans="1:25" ht="14.7" customHeight="1">
      <c r="A300" s="110" t="s">
        <v>329</v>
      </c>
      <c r="B300" s="190"/>
      <c r="C300">
        <v>88.965923708779883</v>
      </c>
      <c r="D300">
        <v>89.832987985286664</v>
      </c>
      <c r="E300">
        <v>89.396485380617023</v>
      </c>
      <c r="F300">
        <v>82.125422424167908</v>
      </c>
      <c r="G300">
        <v>83.60990000000001</v>
      </c>
      <c r="H300">
        <v>83.020499999999998</v>
      </c>
      <c r="I300" s="147">
        <v>84.966154875457107</v>
      </c>
      <c r="J300" s="112"/>
      <c r="K300" s="112"/>
      <c r="L300" s="126"/>
      <c r="M300" s="112"/>
      <c r="N300" s="126"/>
      <c r="O300" s="147"/>
      <c r="P300" s="147"/>
      <c r="Q300" s="147"/>
      <c r="R300" s="112"/>
      <c r="S300" s="112"/>
      <c r="T300" s="112"/>
      <c r="U300" s="146"/>
      <c r="V300" s="113"/>
      <c r="W300" s="113"/>
      <c r="X300" s="126"/>
      <c r="Y300" s="126"/>
    </row>
    <row r="301" spans="1:25" ht="14.7" customHeight="1">
      <c r="A301" s="110" t="s">
        <v>159</v>
      </c>
      <c r="B301" s="189"/>
      <c r="C301">
        <v>88.088368117779396</v>
      </c>
      <c r="D301">
        <v>87.913394037690153</v>
      </c>
      <c r="E301">
        <v>87.967237863015157</v>
      </c>
      <c r="F301">
        <v>74.18034111221985</v>
      </c>
      <c r="G301">
        <v>79.870699999999999</v>
      </c>
      <c r="H301">
        <v>80.031399999999991</v>
      </c>
      <c r="I301" s="146">
        <v>83.863003731213638</v>
      </c>
      <c r="J301" s="144"/>
      <c r="K301" s="144"/>
      <c r="L301" s="126"/>
      <c r="M301" s="144"/>
      <c r="N301" s="126"/>
      <c r="O301" s="146"/>
      <c r="P301" s="146"/>
      <c r="Q301" s="146"/>
      <c r="R301" s="144"/>
      <c r="S301" s="144"/>
      <c r="T301" s="144"/>
      <c r="U301" s="146"/>
      <c r="V301" s="113"/>
      <c r="W301" s="113"/>
      <c r="X301" s="126"/>
      <c r="Y301" s="126"/>
    </row>
    <row r="302" spans="1:25" ht="14.7" customHeight="1">
      <c r="A302" s="26" t="s">
        <v>218</v>
      </c>
      <c r="B302" s="190"/>
      <c r="C302">
        <v>87.580568658912597</v>
      </c>
      <c r="D302">
        <v>88.520055892630339</v>
      </c>
      <c r="E302">
        <v>91.812899542521464</v>
      </c>
      <c r="F302">
        <v>79.508716236590416</v>
      </c>
      <c r="G302">
        <v>80.0899</v>
      </c>
      <c r="H302">
        <v>78.493600000000001</v>
      </c>
      <c r="I302" s="147">
        <v>81.70288423607785</v>
      </c>
      <c r="J302" s="112"/>
      <c r="K302" s="112"/>
      <c r="L302" s="126"/>
      <c r="M302" s="112"/>
      <c r="N302" s="126"/>
      <c r="O302" s="147"/>
      <c r="P302" s="147"/>
      <c r="Q302" s="147"/>
      <c r="R302" s="112"/>
      <c r="S302" s="112"/>
      <c r="T302" s="112"/>
      <c r="U302" s="146"/>
      <c r="V302" s="113"/>
      <c r="W302" s="113"/>
      <c r="X302" s="126"/>
      <c r="Y302" s="126"/>
    </row>
    <row r="303" spans="1:25" ht="14.7" customHeight="1">
      <c r="A303" s="26" t="s">
        <v>160</v>
      </c>
      <c r="B303" s="190"/>
      <c r="C303">
        <v>84.984331898406296</v>
      </c>
      <c r="D303">
        <v>81.660126286538954</v>
      </c>
      <c r="E303">
        <v>85.182619281696816</v>
      </c>
      <c r="F303">
        <v>82.911976137442934</v>
      </c>
      <c r="G303">
        <v>77.767499999999998</v>
      </c>
      <c r="H303">
        <v>77.7286</v>
      </c>
      <c r="I303" s="147">
        <v>77.923250980222676</v>
      </c>
      <c r="J303" s="112"/>
      <c r="K303" s="112"/>
      <c r="L303" s="126"/>
      <c r="M303" s="112"/>
      <c r="N303" s="126"/>
      <c r="O303" s="147"/>
      <c r="P303" s="147"/>
      <c r="Q303" s="147"/>
      <c r="R303" s="112"/>
      <c r="S303" s="112"/>
      <c r="T303" s="112"/>
      <c r="U303" s="146"/>
      <c r="V303" s="113"/>
      <c r="W303" s="113"/>
      <c r="X303" s="126"/>
      <c r="Y303" s="126"/>
    </row>
    <row r="304" spans="1:25" ht="14.7" customHeight="1">
      <c r="A304" s="26" t="s">
        <v>292</v>
      </c>
      <c r="B304" s="190"/>
      <c r="C304">
        <v>85.253071404856797</v>
      </c>
      <c r="D304">
        <v>86.972224892271996</v>
      </c>
      <c r="E304">
        <v>86.225423112751287</v>
      </c>
      <c r="F304">
        <v>77.671089864140285</v>
      </c>
      <c r="G304">
        <v>82.951499999999996</v>
      </c>
      <c r="H304">
        <v>78.025599999999997</v>
      </c>
      <c r="I304" s="147">
        <v>78.592708651842358</v>
      </c>
      <c r="J304" s="112"/>
      <c r="K304" s="112"/>
      <c r="L304" s="126"/>
      <c r="M304" s="112"/>
      <c r="N304" s="126"/>
      <c r="O304" s="147"/>
      <c r="P304" s="147"/>
      <c r="Q304" s="147"/>
      <c r="R304" s="112"/>
      <c r="S304" s="112"/>
      <c r="T304" s="112"/>
      <c r="U304" s="147"/>
      <c r="V304" s="149"/>
      <c r="W304" s="149"/>
      <c r="X304" s="126"/>
      <c r="Y304" s="126"/>
    </row>
    <row r="305" spans="1:25" ht="14.7" customHeight="1">
      <c r="A305" s="110" t="s">
        <v>251</v>
      </c>
      <c r="B305" s="190"/>
      <c r="C305">
        <v>85.555108308052667</v>
      </c>
      <c r="D305">
        <v>85.817983904503322</v>
      </c>
      <c r="E305">
        <v>80.002309224765852</v>
      </c>
      <c r="F305">
        <v>75.800603934163547</v>
      </c>
      <c r="G305">
        <v>71.792000000000002</v>
      </c>
      <c r="H305">
        <v>72.962000000000003</v>
      </c>
      <c r="I305" s="147">
        <v>77.951891590323129</v>
      </c>
      <c r="J305" s="112"/>
      <c r="K305" s="112"/>
      <c r="L305" s="126"/>
      <c r="M305" s="112"/>
      <c r="N305" s="126"/>
      <c r="O305" s="147"/>
      <c r="P305" s="147"/>
      <c r="Q305" s="147"/>
      <c r="R305" s="112"/>
      <c r="S305" s="112"/>
      <c r="T305" s="112"/>
      <c r="U305" s="146"/>
      <c r="V305" s="113"/>
      <c r="W305" s="113"/>
      <c r="X305" s="126"/>
      <c r="Y305" s="126"/>
    </row>
    <row r="306" spans="1:25" ht="14.7" customHeight="1">
      <c r="A306" s="110" t="s">
        <v>161</v>
      </c>
      <c r="B306" s="190"/>
      <c r="C306">
        <v>84.246152649983088</v>
      </c>
      <c r="D306">
        <v>83.674303183749373</v>
      </c>
      <c r="E306">
        <v>82.407585907754594</v>
      </c>
      <c r="F306">
        <v>74.330724484885991</v>
      </c>
      <c r="G306">
        <v>76.29010000000001</v>
      </c>
      <c r="H306">
        <v>77.409199999999998</v>
      </c>
      <c r="I306" s="147">
        <v>80.519686940843357</v>
      </c>
      <c r="J306" s="112"/>
      <c r="K306" s="112"/>
      <c r="L306" s="126"/>
      <c r="M306" s="112"/>
      <c r="N306" s="126"/>
      <c r="O306" s="147"/>
      <c r="P306" s="147"/>
      <c r="Q306" s="147"/>
      <c r="R306" s="112"/>
      <c r="S306" s="112"/>
      <c r="T306" s="112"/>
      <c r="U306" s="146"/>
      <c r="V306" s="113"/>
      <c r="W306" s="113"/>
      <c r="X306" s="126"/>
      <c r="Y306" s="126"/>
    </row>
    <row r="307" spans="1:25" ht="14.7" customHeight="1">
      <c r="A307" s="26" t="s">
        <v>162</v>
      </c>
      <c r="B307" s="190"/>
      <c r="C307">
        <v>87.594268873576695</v>
      </c>
      <c r="D307">
        <v>90.402561216618594</v>
      </c>
      <c r="E307">
        <v>86.021098024201265</v>
      </c>
      <c r="F307">
        <v>76.017644760558412</v>
      </c>
      <c r="G307">
        <v>82.552199999999999</v>
      </c>
      <c r="H307">
        <v>80.0929</v>
      </c>
      <c r="I307" s="147">
        <v>80.236066546602927</v>
      </c>
      <c r="J307" s="112"/>
      <c r="K307" s="112"/>
      <c r="L307" s="126"/>
      <c r="M307" s="112"/>
      <c r="N307" s="126"/>
      <c r="O307" s="147"/>
      <c r="P307" s="147"/>
      <c r="Q307" s="147"/>
      <c r="R307" s="112"/>
      <c r="S307" s="112"/>
      <c r="T307" s="112"/>
      <c r="U307" s="147"/>
      <c r="V307" s="149"/>
      <c r="W307" s="149"/>
      <c r="X307" s="126"/>
      <c r="Y307" s="126"/>
    </row>
    <row r="308" spans="1:25" ht="14.7" customHeight="1">
      <c r="A308" s="110" t="s">
        <v>163</v>
      </c>
      <c r="B308" s="190"/>
      <c r="C308">
        <v>86.628538708951012</v>
      </c>
      <c r="D308">
        <v>87.124697138366841</v>
      </c>
      <c r="E308">
        <v>86.173442501750003</v>
      </c>
      <c r="F308">
        <v>82.04518416409617</v>
      </c>
      <c r="G308">
        <v>87.7453</v>
      </c>
      <c r="H308">
        <v>76.407800000000009</v>
      </c>
      <c r="I308" s="147" t="s">
        <v>908</v>
      </c>
      <c r="J308" s="112"/>
      <c r="K308" s="112"/>
      <c r="L308" s="126"/>
      <c r="M308" s="112"/>
      <c r="N308" s="126"/>
      <c r="O308" s="147"/>
      <c r="P308" s="147"/>
      <c r="Q308" s="147"/>
      <c r="R308" s="112"/>
      <c r="S308" s="112"/>
      <c r="T308" s="112"/>
      <c r="U308" s="146"/>
      <c r="V308" s="113"/>
      <c r="W308" s="113"/>
      <c r="X308" s="126"/>
      <c r="Y308" s="126"/>
    </row>
    <row r="309" spans="1:25" ht="14.7" customHeight="1">
      <c r="A309" s="110" t="s">
        <v>164</v>
      </c>
      <c r="B309" s="190"/>
      <c r="C309">
        <v>86.598271477349996</v>
      </c>
      <c r="D309">
        <v>88.621943220063642</v>
      </c>
      <c r="E309">
        <v>89.510410738000388</v>
      </c>
      <c r="F309">
        <v>81.273733914718832</v>
      </c>
      <c r="G309">
        <v>85.881600000000006</v>
      </c>
      <c r="H309">
        <v>83.028500000000008</v>
      </c>
      <c r="I309" s="147">
        <v>86.165762834249961</v>
      </c>
      <c r="J309" s="112"/>
      <c r="K309" s="112"/>
      <c r="L309" s="126"/>
      <c r="M309" s="112"/>
      <c r="N309" s="126"/>
      <c r="O309" s="147"/>
      <c r="P309" s="147"/>
      <c r="Q309" s="147"/>
      <c r="R309" s="112"/>
      <c r="S309" s="112"/>
      <c r="T309" s="112"/>
      <c r="U309" s="146"/>
      <c r="V309" s="113"/>
      <c r="W309" s="113"/>
      <c r="X309" s="126"/>
      <c r="Y309" s="126"/>
    </row>
    <row r="310" spans="1:25" ht="14.7" customHeight="1">
      <c r="A310" s="110" t="s">
        <v>813</v>
      </c>
      <c r="B310" s="190"/>
      <c r="C310">
        <v>83.850652676850785</v>
      </c>
      <c r="D310">
        <v>83.032031556894083</v>
      </c>
      <c r="E310">
        <v>84.427741755601559</v>
      </c>
      <c r="F310">
        <v>73.818653563978771</v>
      </c>
      <c r="G310">
        <v>70.601699999999994</v>
      </c>
      <c r="H310">
        <v>77.272899999999993</v>
      </c>
      <c r="I310" s="147">
        <v>79.331956276130626</v>
      </c>
      <c r="J310" s="112"/>
      <c r="K310" s="112"/>
      <c r="L310" s="126"/>
      <c r="M310" s="112"/>
      <c r="N310" s="126"/>
      <c r="O310" s="147"/>
      <c r="P310" s="147"/>
      <c r="Q310" s="147"/>
      <c r="R310" s="112"/>
      <c r="S310" s="112"/>
      <c r="T310" s="112"/>
      <c r="U310" s="146"/>
      <c r="V310" s="113"/>
      <c r="W310" s="113"/>
      <c r="X310" s="126"/>
      <c r="Y310" s="126"/>
    </row>
    <row r="311" spans="1:25" ht="14.7" customHeight="1">
      <c r="A311" s="110" t="s">
        <v>165</v>
      </c>
      <c r="B311" s="190"/>
      <c r="C311">
        <v>82.365951378115014</v>
      </c>
      <c r="D311">
        <v>80.842626466253591</v>
      </c>
      <c r="E311">
        <v>83.158279241391028</v>
      </c>
      <c r="F311">
        <v>74.825656401236955</v>
      </c>
      <c r="G311">
        <v>79.333200000000005</v>
      </c>
      <c r="H311">
        <v>78.138599999999997</v>
      </c>
      <c r="I311" s="147">
        <v>79.378053689378845</v>
      </c>
      <c r="J311" s="112"/>
      <c r="K311" s="112"/>
      <c r="L311" s="126"/>
      <c r="M311" s="112"/>
      <c r="N311" s="126"/>
      <c r="O311" s="147"/>
      <c r="P311" s="147"/>
      <c r="Q311" s="147"/>
      <c r="R311" s="112"/>
      <c r="S311" s="112"/>
      <c r="T311" s="112"/>
      <c r="U311" s="146"/>
      <c r="V311" s="113"/>
      <c r="W311" s="113"/>
      <c r="X311" s="126"/>
      <c r="Y311" s="126"/>
    </row>
    <row r="312" spans="1:25" ht="14.7" customHeight="1">
      <c r="A312" s="110" t="s">
        <v>166</v>
      </c>
      <c r="B312" s="190"/>
      <c r="C312">
        <v>89.097955788692019</v>
      </c>
      <c r="D312">
        <v>86.489306102352273</v>
      </c>
      <c r="E312">
        <v>92.052166630107465</v>
      </c>
      <c r="F312">
        <v>78.85362529157409</v>
      </c>
      <c r="G312">
        <v>86.904600000000002</v>
      </c>
      <c r="H312">
        <v>87.396000000000001</v>
      </c>
      <c r="I312" s="147">
        <v>81.629870580627141</v>
      </c>
      <c r="J312" s="112"/>
      <c r="K312" s="112"/>
      <c r="L312" s="126"/>
      <c r="M312" s="112"/>
      <c r="N312" s="126"/>
      <c r="O312" s="147"/>
      <c r="P312" s="147"/>
      <c r="Q312" s="147"/>
      <c r="R312" s="112"/>
      <c r="S312" s="112"/>
      <c r="T312" s="112"/>
      <c r="U312" s="146"/>
      <c r="V312" s="113"/>
      <c r="W312" s="113"/>
      <c r="X312" s="126"/>
      <c r="Y312" s="126"/>
    </row>
    <row r="313" spans="1:25" ht="14.7" customHeight="1">
      <c r="A313" s="110" t="s">
        <v>167</v>
      </c>
      <c r="B313" s="190"/>
      <c r="C313">
        <v>88.98911533928154</v>
      </c>
      <c r="D313">
        <v>87.342707580707255</v>
      </c>
      <c r="E313">
        <v>88.067980120695779</v>
      </c>
      <c r="F313">
        <v>80.133652759576194</v>
      </c>
      <c r="G313">
        <v>81.106400000000008</v>
      </c>
      <c r="H313">
        <v>80.261600000000001</v>
      </c>
      <c r="I313" s="147">
        <v>84.392635536883759</v>
      </c>
      <c r="J313" s="112"/>
      <c r="K313" s="112"/>
      <c r="L313" s="126"/>
      <c r="M313" s="112"/>
      <c r="N313" s="126"/>
      <c r="O313" s="147"/>
      <c r="P313" s="147"/>
      <c r="Q313" s="147"/>
      <c r="R313" s="112"/>
      <c r="S313" s="112"/>
      <c r="T313" s="112"/>
      <c r="U313" s="146"/>
      <c r="V313" s="113"/>
      <c r="W313" s="113"/>
      <c r="X313" s="126"/>
      <c r="Y313" s="126"/>
    </row>
    <row r="314" spans="1:25" ht="14.7" customHeight="1">
      <c r="A314" s="110" t="s">
        <v>168</v>
      </c>
      <c r="B314" s="189"/>
      <c r="C314">
        <v>84.731501077989265</v>
      </c>
      <c r="D314">
        <v>80.630140263173374</v>
      </c>
      <c r="E314">
        <v>85.975092989312117</v>
      </c>
      <c r="F314">
        <v>77.582273006106902</v>
      </c>
      <c r="G314">
        <v>81.218900000000005</v>
      </c>
      <c r="H314">
        <v>79.603099999999998</v>
      </c>
      <c r="I314" s="147">
        <v>83.903318587367835</v>
      </c>
      <c r="J314" s="112"/>
      <c r="K314" s="112"/>
      <c r="L314" s="126"/>
      <c r="M314" s="112"/>
      <c r="N314" s="126"/>
      <c r="O314" s="147"/>
      <c r="P314" s="147"/>
      <c r="Q314" s="147"/>
      <c r="R314" s="112"/>
      <c r="S314" s="112"/>
      <c r="T314" s="112"/>
      <c r="U314" s="146"/>
      <c r="V314" s="113"/>
      <c r="W314" s="113"/>
      <c r="X314" s="126"/>
      <c r="Y314" s="126"/>
    </row>
    <row r="315" spans="1:25" ht="14.7" customHeight="1">
      <c r="A315" s="110" t="s">
        <v>169</v>
      </c>
      <c r="B315" s="190"/>
      <c r="C315">
        <v>86.417515034811601</v>
      </c>
      <c r="D315">
        <v>88.631923953999703</v>
      </c>
      <c r="E315">
        <v>86.277419225124163</v>
      </c>
      <c r="F315">
        <v>81.366123930478338</v>
      </c>
      <c r="G315">
        <v>84.568100000000001</v>
      </c>
      <c r="H315">
        <v>83.908600000000007</v>
      </c>
      <c r="I315" s="147">
        <v>83.278576579806554</v>
      </c>
      <c r="J315" s="112"/>
      <c r="K315" s="112"/>
      <c r="L315" s="126"/>
      <c r="M315" s="112"/>
      <c r="N315" s="126"/>
      <c r="O315" s="147"/>
      <c r="P315" s="147"/>
      <c r="Q315" s="147"/>
      <c r="R315" s="112"/>
      <c r="S315" s="112"/>
      <c r="T315" s="112"/>
      <c r="U315" s="146"/>
      <c r="V315" s="113"/>
      <c r="W315" s="113"/>
      <c r="X315" s="126"/>
      <c r="Y315" s="126"/>
    </row>
    <row r="316" spans="1:25" ht="14.7" customHeight="1">
      <c r="A316" s="110" t="s">
        <v>293</v>
      </c>
      <c r="B316" s="190"/>
      <c r="C316">
        <v>85.498973245667031</v>
      </c>
      <c r="D316">
        <v>86.2340454769584</v>
      </c>
      <c r="E316">
        <v>83.270789508379963</v>
      </c>
      <c r="F316">
        <v>73.155148836481715</v>
      </c>
      <c r="G316">
        <v>73.9893</v>
      </c>
      <c r="H316">
        <v>73.548100000000005</v>
      </c>
      <c r="I316" s="147">
        <v>75.422032795731582</v>
      </c>
      <c r="J316" s="112"/>
      <c r="K316" s="112"/>
      <c r="L316" s="126"/>
      <c r="M316" s="112"/>
      <c r="N316" s="126"/>
      <c r="O316" s="147"/>
      <c r="P316" s="147"/>
      <c r="Q316" s="147"/>
      <c r="R316" s="112"/>
      <c r="S316" s="112"/>
      <c r="T316" s="112"/>
      <c r="U316" s="146"/>
      <c r="V316" s="113"/>
      <c r="W316" s="113"/>
      <c r="X316" s="126"/>
      <c r="Y316" s="126"/>
    </row>
    <row r="317" spans="1:25" ht="14.7" customHeight="1">
      <c r="A317" s="110" t="s">
        <v>349</v>
      </c>
      <c r="B317" s="190"/>
      <c r="C317">
        <v>88.709601936059556</v>
      </c>
      <c r="D317">
        <v>88.059655646931617</v>
      </c>
      <c r="E317">
        <v>90.69221178922264</v>
      </c>
      <c r="F317">
        <v>83.60555392569816</v>
      </c>
      <c r="G317">
        <v>82.9221</v>
      </c>
      <c r="H317">
        <v>84.38839999999999</v>
      </c>
      <c r="I317" s="147">
        <v>84.822746132255403</v>
      </c>
      <c r="J317" s="112"/>
      <c r="K317" s="112"/>
      <c r="L317" s="126"/>
      <c r="M317" s="112"/>
      <c r="N317" s="126"/>
      <c r="O317" s="147"/>
      <c r="P317" s="147"/>
      <c r="Q317" s="147"/>
      <c r="R317" s="112"/>
      <c r="S317" s="112"/>
      <c r="T317" s="112"/>
      <c r="U317" s="146"/>
      <c r="V317" s="113"/>
      <c r="W317" s="113"/>
      <c r="X317" s="126"/>
      <c r="Y317" s="126"/>
    </row>
    <row r="318" spans="1:25" ht="14.7" customHeight="1">
      <c r="A318" s="110" t="s">
        <v>294</v>
      </c>
      <c r="B318" s="190"/>
      <c r="C318">
        <v>87.290042868631659</v>
      </c>
      <c r="D318">
        <v>86.825514347894369</v>
      </c>
      <c r="E318">
        <v>85.010992214832797</v>
      </c>
      <c r="F318">
        <v>81.01711839295632</v>
      </c>
      <c r="G318">
        <v>84.026600000000002</v>
      </c>
      <c r="H318">
        <v>77.634900000000002</v>
      </c>
      <c r="I318" s="147">
        <v>81.982597529541096</v>
      </c>
      <c r="J318" s="112"/>
      <c r="K318" s="112"/>
      <c r="L318" s="126"/>
      <c r="M318" s="112"/>
      <c r="N318" s="126"/>
      <c r="O318" s="147"/>
      <c r="P318" s="147"/>
      <c r="Q318" s="147"/>
      <c r="R318" s="112"/>
      <c r="S318" s="112"/>
      <c r="T318" s="112"/>
      <c r="U318" s="146"/>
      <c r="V318" s="113"/>
      <c r="W318" s="113"/>
      <c r="X318" s="126"/>
      <c r="Y318" s="126"/>
    </row>
    <row r="319" spans="1:25" ht="14.7" customHeight="1">
      <c r="A319" s="26" t="s">
        <v>170</v>
      </c>
      <c r="B319" s="190"/>
      <c r="C319">
        <v>88.048483671869974</v>
      </c>
      <c r="D319">
        <v>87.691020802421804</v>
      </c>
      <c r="E319">
        <v>84.339658005136315</v>
      </c>
      <c r="F319">
        <v>78.205636733917203</v>
      </c>
      <c r="G319">
        <v>81.525000000000006</v>
      </c>
      <c r="H319">
        <v>83.808800000000005</v>
      </c>
      <c r="I319" s="147">
        <v>78.94026222564095</v>
      </c>
      <c r="J319" s="112"/>
      <c r="K319" s="112"/>
      <c r="L319" s="126"/>
      <c r="M319" s="112"/>
      <c r="N319" s="126"/>
      <c r="O319" s="147"/>
      <c r="P319" s="147"/>
      <c r="Q319" s="147"/>
      <c r="R319" s="112"/>
      <c r="S319" s="112"/>
      <c r="T319" s="112"/>
      <c r="U319" s="146"/>
      <c r="V319" s="113"/>
      <c r="W319" s="113"/>
      <c r="X319" s="126"/>
      <c r="Y319" s="126"/>
    </row>
    <row r="320" spans="1:25" ht="14.7" customHeight="1">
      <c r="A320" s="26" t="s">
        <v>219</v>
      </c>
      <c r="B320" s="190"/>
      <c r="C320">
        <v>92.915435064556249</v>
      </c>
      <c r="D320">
        <v>89.325453491495693</v>
      </c>
      <c r="E320">
        <v>92.57354610835803</v>
      </c>
      <c r="F320">
        <v>83.014483660467988</v>
      </c>
      <c r="G320">
        <v>83.435999999999993</v>
      </c>
      <c r="H320">
        <v>83.875799999999998</v>
      </c>
      <c r="I320" s="147">
        <v>85.727763301209819</v>
      </c>
      <c r="J320" s="112"/>
      <c r="K320" s="112"/>
      <c r="L320" s="126"/>
      <c r="M320" s="112"/>
      <c r="N320" s="126"/>
      <c r="O320" s="147"/>
      <c r="P320" s="147"/>
      <c r="Q320" s="147"/>
      <c r="R320" s="112"/>
      <c r="S320" s="112"/>
      <c r="T320" s="112"/>
      <c r="U320" s="146"/>
      <c r="V320" s="113"/>
      <c r="W320" s="113"/>
      <c r="X320" s="126"/>
      <c r="Y320" s="126"/>
    </row>
    <row r="321" spans="1:25" ht="14.7" customHeight="1">
      <c r="A321" s="26" t="s">
        <v>252</v>
      </c>
      <c r="B321" s="190"/>
      <c r="C321">
        <v>90.68176198233607</v>
      </c>
      <c r="D321">
        <v>88.249184269277009</v>
      </c>
      <c r="E321">
        <v>83.954878488837295</v>
      </c>
      <c r="F321">
        <v>81.766304479028193</v>
      </c>
      <c r="G321">
        <v>81.110500000000002</v>
      </c>
      <c r="H321">
        <v>81.759299999999996</v>
      </c>
      <c r="I321" s="147">
        <v>84.433069740392156</v>
      </c>
      <c r="J321" s="112"/>
      <c r="K321" s="112"/>
      <c r="L321" s="126"/>
      <c r="M321" s="112"/>
      <c r="N321" s="126"/>
      <c r="O321" s="147"/>
      <c r="P321" s="147"/>
      <c r="Q321" s="147"/>
      <c r="R321" s="112"/>
      <c r="S321" s="112"/>
      <c r="T321" s="112"/>
      <c r="U321" s="146"/>
      <c r="V321" s="113"/>
      <c r="W321" s="113"/>
      <c r="X321" s="126"/>
      <c r="Y321" s="126"/>
    </row>
    <row r="322" spans="1:25" ht="14.7" customHeight="1">
      <c r="A322" s="110" t="s">
        <v>171</v>
      </c>
      <c r="B322" s="190"/>
      <c r="C322">
        <v>90.071886913780901</v>
      </c>
      <c r="D322">
        <v>88.559944047072037</v>
      </c>
      <c r="E322">
        <v>88.255611740376651</v>
      </c>
      <c r="F322">
        <v>83.734700791043593</v>
      </c>
      <c r="G322">
        <v>85.686099999999996</v>
      </c>
      <c r="H322">
        <v>86.128399999999999</v>
      </c>
      <c r="I322" s="147">
        <v>87.850206267883763</v>
      </c>
      <c r="J322" s="112"/>
      <c r="K322" s="112"/>
      <c r="L322" s="126"/>
      <c r="M322" s="112"/>
      <c r="N322" s="126"/>
      <c r="O322" s="147"/>
      <c r="P322" s="147"/>
      <c r="Q322" s="147"/>
      <c r="R322" s="112"/>
      <c r="S322" s="112"/>
      <c r="T322" s="112"/>
      <c r="U322" s="147"/>
      <c r="V322" s="149"/>
      <c r="W322" s="149"/>
      <c r="X322" s="126"/>
      <c r="Y322" s="126"/>
    </row>
    <row r="323" spans="1:25" ht="14.7" customHeight="1">
      <c r="A323" s="110" t="s">
        <v>172</v>
      </c>
      <c r="B323" s="190"/>
      <c r="C323">
        <v>89.560557722545767</v>
      </c>
      <c r="D323">
        <v>87.446737097176907</v>
      </c>
      <c r="E323">
        <v>89.84728484139886</v>
      </c>
      <c r="F323">
        <v>83.512755101597676</v>
      </c>
      <c r="G323">
        <v>81.1267</v>
      </c>
      <c r="H323">
        <v>83.354100000000003</v>
      </c>
      <c r="I323" s="147">
        <v>84.209913044611554</v>
      </c>
      <c r="J323" s="112"/>
      <c r="K323" s="112"/>
      <c r="L323" s="126"/>
      <c r="M323" s="112"/>
      <c r="N323" s="126"/>
      <c r="O323" s="147"/>
      <c r="P323" s="147"/>
      <c r="Q323" s="147"/>
      <c r="R323" s="112"/>
      <c r="S323" s="112"/>
      <c r="T323" s="112"/>
      <c r="U323" s="147"/>
      <c r="V323" s="149"/>
      <c r="W323" s="149"/>
      <c r="X323" s="126"/>
      <c r="Y323" s="126"/>
    </row>
    <row r="324" spans="1:25" ht="14.7" customHeight="1">
      <c r="A324" s="26" t="s">
        <v>173</v>
      </c>
      <c r="B324" s="190"/>
      <c r="C324">
        <v>90.977834248648492</v>
      </c>
      <c r="D324">
        <v>90.530461438518856</v>
      </c>
      <c r="E324">
        <v>88.089037797929549</v>
      </c>
      <c r="F324">
        <v>84.532785427565358</v>
      </c>
      <c r="G324">
        <v>86.090100000000007</v>
      </c>
      <c r="H324">
        <v>88.068799999999996</v>
      </c>
      <c r="I324" s="147">
        <v>89.410573933239718</v>
      </c>
      <c r="J324" s="112"/>
      <c r="K324" s="112"/>
      <c r="L324" s="126"/>
      <c r="M324" s="112"/>
      <c r="N324" s="126"/>
      <c r="O324" s="147"/>
      <c r="P324" s="147"/>
      <c r="Q324" s="147"/>
      <c r="R324" s="112"/>
      <c r="S324" s="112"/>
      <c r="T324" s="112"/>
      <c r="U324" s="146"/>
      <c r="V324" s="113"/>
      <c r="W324" s="113"/>
      <c r="X324" s="126"/>
      <c r="Y324" s="126"/>
    </row>
    <row r="325" spans="1:25" ht="14.7" customHeight="1">
      <c r="A325" s="110" t="s">
        <v>253</v>
      </c>
      <c r="B325" s="190"/>
      <c r="C325">
        <v>81.32967928021236</v>
      </c>
      <c r="D325">
        <v>84.784805217338047</v>
      </c>
      <c r="E325">
        <v>80.784987088138649</v>
      </c>
      <c r="F325">
        <v>76.553350665967329</v>
      </c>
      <c r="G325">
        <v>76.861699999999999</v>
      </c>
      <c r="H325">
        <v>72.441599999999994</v>
      </c>
      <c r="I325" s="147">
        <v>79.059075341871832</v>
      </c>
      <c r="J325" s="112"/>
      <c r="K325" s="112"/>
      <c r="L325" s="126"/>
      <c r="M325" s="112"/>
      <c r="N325" s="126"/>
      <c r="O325" s="147"/>
      <c r="P325" s="147"/>
      <c r="Q325" s="147"/>
      <c r="R325" s="112"/>
      <c r="S325" s="112"/>
      <c r="T325" s="112"/>
      <c r="U325" s="146"/>
      <c r="V325" s="113"/>
      <c r="W325" s="113"/>
      <c r="X325" s="126"/>
      <c r="Y325" s="126"/>
    </row>
    <row r="326" spans="1:25" ht="14.7" customHeight="1">
      <c r="A326" s="110" t="s">
        <v>254</v>
      </c>
      <c r="B326" s="190"/>
      <c r="C326">
        <v>84.808818688082397</v>
      </c>
      <c r="D326">
        <v>80.082326140992677</v>
      </c>
      <c r="E326">
        <v>83.379832523089945</v>
      </c>
      <c r="F326">
        <v>70.393081665954043</v>
      </c>
      <c r="G326">
        <v>71.207799999999992</v>
      </c>
      <c r="H326">
        <v>75.220200000000006</v>
      </c>
      <c r="I326" s="147">
        <v>71.556342339670266</v>
      </c>
      <c r="J326" s="112"/>
      <c r="K326" s="112"/>
      <c r="L326" s="126"/>
      <c r="M326" s="112"/>
      <c r="N326" s="126"/>
      <c r="O326" s="147"/>
      <c r="P326" s="147"/>
      <c r="Q326" s="147"/>
      <c r="R326" s="112"/>
      <c r="S326" s="112"/>
      <c r="T326" s="112"/>
      <c r="U326" s="146"/>
      <c r="V326" s="113"/>
      <c r="W326" s="113"/>
      <c r="X326" s="126"/>
      <c r="Y326" s="126"/>
    </row>
    <row r="327" spans="1:25" ht="14.7" customHeight="1">
      <c r="A327" s="110" t="s">
        <v>220</v>
      </c>
      <c r="B327" s="190"/>
      <c r="C327">
        <v>86.825779132388078</v>
      </c>
      <c r="D327">
        <v>91.408630470016192</v>
      </c>
      <c r="E327">
        <v>91.527567854932386</v>
      </c>
      <c r="F327">
        <v>81.162761970687995</v>
      </c>
      <c r="G327">
        <v>84.8459</v>
      </c>
      <c r="H327">
        <v>79.111000000000004</v>
      </c>
      <c r="I327" s="147">
        <v>82.817142083257067</v>
      </c>
      <c r="J327" s="112"/>
      <c r="K327" s="112"/>
      <c r="L327" s="126"/>
      <c r="M327" s="112"/>
      <c r="N327" s="126"/>
      <c r="O327" s="147"/>
      <c r="P327" s="147"/>
      <c r="Q327" s="147"/>
      <c r="R327" s="112"/>
      <c r="S327" s="112"/>
      <c r="T327" s="112"/>
      <c r="U327" s="147"/>
      <c r="V327" s="113"/>
      <c r="W327" s="113"/>
      <c r="X327" s="126"/>
      <c r="Y327" s="126"/>
    </row>
    <row r="328" spans="1:25" ht="14.7" customHeight="1">
      <c r="A328" s="26" t="s">
        <v>221</v>
      </c>
      <c r="B328" s="190"/>
      <c r="C328">
        <v>93.68992324010307</v>
      </c>
      <c r="D328">
        <v>95.104892285861709</v>
      </c>
      <c r="E328">
        <v>96.359134862428206</v>
      </c>
      <c r="F328">
        <v>87.136133956975499</v>
      </c>
      <c r="G328">
        <v>89.323399999999992</v>
      </c>
      <c r="H328">
        <v>87.963000000000008</v>
      </c>
      <c r="I328" s="147">
        <v>91.6899005614966</v>
      </c>
      <c r="J328" s="112"/>
      <c r="K328" s="112"/>
      <c r="L328" s="126"/>
      <c r="M328" s="112"/>
      <c r="N328" s="126"/>
      <c r="O328" s="147"/>
      <c r="P328" s="147"/>
      <c r="Q328" s="147"/>
      <c r="R328" s="112"/>
      <c r="S328" s="112"/>
      <c r="T328" s="112"/>
      <c r="U328" s="146"/>
      <c r="V328" s="113"/>
      <c r="W328" s="113"/>
      <c r="X328" s="126"/>
      <c r="Y328" s="126"/>
    </row>
    <row r="329" spans="1:25" ht="14.7" customHeight="1">
      <c r="A329" s="110" t="s">
        <v>295</v>
      </c>
      <c r="B329" s="190"/>
      <c r="C329">
        <v>86.35194324294045</v>
      </c>
      <c r="D329">
        <v>80.997225634808927</v>
      </c>
      <c r="E329">
        <v>86.058092272586819</v>
      </c>
      <c r="F329">
        <v>79.059910621505153</v>
      </c>
      <c r="G329">
        <v>78.334199999999996</v>
      </c>
      <c r="H329">
        <v>78.72</v>
      </c>
      <c r="I329" s="147">
        <v>81.030229891384977</v>
      </c>
      <c r="J329" s="112"/>
      <c r="K329" s="112"/>
      <c r="L329" s="126"/>
      <c r="M329" s="112"/>
      <c r="N329" s="126"/>
      <c r="O329" s="147"/>
      <c r="P329" s="147"/>
      <c r="Q329" s="147"/>
      <c r="R329" s="112"/>
      <c r="S329" s="112"/>
      <c r="T329" s="112"/>
      <c r="U329" s="147"/>
      <c r="V329" s="149"/>
      <c r="W329" s="149"/>
      <c r="X329" s="126"/>
      <c r="Y329" s="126"/>
    </row>
    <row r="330" spans="1:25" ht="14.7" customHeight="1">
      <c r="A330" s="110" t="s">
        <v>174</v>
      </c>
      <c r="B330" s="190"/>
      <c r="C330">
        <v>91.764000592950168</v>
      </c>
      <c r="D330">
        <v>90.696663008576181</v>
      </c>
      <c r="E330">
        <v>92.590259835226448</v>
      </c>
      <c r="F330">
        <v>89.184106932559715</v>
      </c>
      <c r="G330">
        <v>82.008800000000008</v>
      </c>
      <c r="H330">
        <v>82.810900000000004</v>
      </c>
      <c r="I330" s="147">
        <v>79.937146240817597</v>
      </c>
      <c r="J330" s="112"/>
      <c r="K330" s="112"/>
      <c r="L330" s="126"/>
      <c r="M330" s="112"/>
      <c r="N330" s="126"/>
      <c r="O330" s="147"/>
      <c r="P330" s="147"/>
      <c r="Q330" s="147"/>
      <c r="R330" s="112"/>
      <c r="S330" s="112"/>
      <c r="T330" s="112"/>
      <c r="U330" s="147"/>
      <c r="V330" s="149"/>
      <c r="W330" s="149"/>
      <c r="X330" s="126"/>
      <c r="Y330" s="126"/>
    </row>
    <row r="331" spans="1:25" ht="14.7" customHeight="1">
      <c r="A331" s="110" t="s">
        <v>330</v>
      </c>
      <c r="B331" s="190"/>
      <c r="C331">
        <v>88.027590309873617</v>
      </c>
      <c r="D331">
        <v>87.336428102210959</v>
      </c>
      <c r="E331">
        <v>88.515835364017519</v>
      </c>
      <c r="F331">
        <v>78.852080025228858</v>
      </c>
      <c r="G331">
        <v>79.103800000000007</v>
      </c>
      <c r="H331">
        <v>80.142300000000006</v>
      </c>
      <c r="I331" s="147">
        <v>77.957041174917606</v>
      </c>
      <c r="J331" s="112"/>
      <c r="K331" s="112"/>
      <c r="L331" s="126"/>
      <c r="M331" s="112"/>
      <c r="N331" s="126"/>
      <c r="O331" s="147"/>
      <c r="P331" s="147"/>
      <c r="Q331" s="147"/>
      <c r="R331" s="112"/>
      <c r="S331" s="112"/>
      <c r="T331" s="112"/>
      <c r="U331" s="147"/>
      <c r="V331" s="149"/>
      <c r="W331" s="149"/>
      <c r="X331" s="126"/>
      <c r="Y331" s="126"/>
    </row>
    <row r="332" spans="1:25" ht="14.7" customHeight="1">
      <c r="A332" s="26" t="s">
        <v>175</v>
      </c>
      <c r="B332" s="190"/>
      <c r="C332">
        <v>86.910566062482332</v>
      </c>
      <c r="D332">
        <v>86.207597323947098</v>
      </c>
      <c r="E332">
        <v>87.476003564330398</v>
      </c>
      <c r="F332">
        <v>82.135593165548926</v>
      </c>
      <c r="G332">
        <v>82.580799999999996</v>
      </c>
      <c r="H332">
        <v>76.552099999999996</v>
      </c>
      <c r="I332" s="147">
        <v>82.368862451168795</v>
      </c>
      <c r="J332" s="112"/>
      <c r="K332" s="112"/>
      <c r="L332" s="126"/>
      <c r="M332" s="112"/>
      <c r="N332" s="126"/>
      <c r="O332" s="147"/>
      <c r="P332" s="147"/>
      <c r="Q332" s="147"/>
      <c r="R332" s="112"/>
      <c r="S332" s="112"/>
      <c r="T332" s="112"/>
      <c r="U332" s="146"/>
      <c r="V332" s="113"/>
      <c r="W332" s="113"/>
      <c r="X332" s="126"/>
      <c r="Y332" s="126"/>
    </row>
    <row r="333" spans="1:25" ht="14.7" customHeight="1">
      <c r="A333" s="110" t="s">
        <v>176</v>
      </c>
      <c r="B333" s="190"/>
      <c r="C333">
        <v>83.322843326817306</v>
      </c>
      <c r="D333">
        <v>88.541178237738279</v>
      </c>
      <c r="E333">
        <v>87.595638148390037</v>
      </c>
      <c r="F333">
        <v>81.945110169871811</v>
      </c>
      <c r="G333">
        <v>80.582799999999992</v>
      </c>
      <c r="H333">
        <v>79.274699999999996</v>
      </c>
      <c r="I333" s="147" t="s">
        <v>908</v>
      </c>
      <c r="J333" s="112"/>
      <c r="K333" s="112"/>
      <c r="L333" s="126"/>
      <c r="M333" s="112"/>
      <c r="N333" s="126"/>
      <c r="O333" s="147"/>
      <c r="P333" s="147"/>
      <c r="Q333" s="147"/>
      <c r="R333" s="112"/>
      <c r="S333" s="112"/>
      <c r="T333" s="112"/>
      <c r="U333" s="146"/>
      <c r="V333" s="113"/>
      <c r="W333" s="113"/>
      <c r="X333" s="126"/>
      <c r="Y333" s="126"/>
    </row>
    <row r="334" spans="1:25" ht="14.7" customHeight="1">
      <c r="A334" s="110" t="s">
        <v>177</v>
      </c>
      <c r="B334" s="147"/>
      <c r="C334" s="155">
        <v>90.956887255094273</v>
      </c>
      <c r="D334" s="155">
        <v>91.396558542298294</v>
      </c>
      <c r="E334" s="155">
        <v>91.977389708432682</v>
      </c>
      <c r="F334" s="155">
        <v>85.22706174717564</v>
      </c>
      <c r="G334" s="147">
        <v>85.639399999999995</v>
      </c>
      <c r="H334" s="147">
        <v>82.240000000000009</v>
      </c>
      <c r="I334" s="147">
        <v>89.385768010507832</v>
      </c>
      <c r="J334" s="112"/>
      <c r="K334" s="112"/>
      <c r="L334" s="126"/>
      <c r="M334" s="112"/>
      <c r="N334" s="126"/>
      <c r="O334" s="147"/>
      <c r="P334" s="147"/>
      <c r="Q334" s="147"/>
      <c r="R334" s="112"/>
      <c r="S334" s="112"/>
      <c r="T334" s="112"/>
      <c r="U334" s="147"/>
      <c r="V334" s="149"/>
      <c r="W334" s="149"/>
      <c r="X334" s="126"/>
      <c r="Y334" s="126"/>
    </row>
    <row r="335" spans="1:25" ht="14.7" customHeight="1">
      <c r="A335" s="110" t="s">
        <v>178</v>
      </c>
      <c r="B335" s="147"/>
      <c r="C335" s="155">
        <v>89.020346660274996</v>
      </c>
      <c r="D335" s="155">
        <v>86.325445501324154</v>
      </c>
      <c r="E335" s="155">
        <v>91.379258938279307</v>
      </c>
      <c r="F335" s="155">
        <v>82.886222701607196</v>
      </c>
      <c r="G335" s="147">
        <v>81.661600000000007</v>
      </c>
      <c r="H335" s="147">
        <v>80.782499999999999</v>
      </c>
      <c r="I335" s="147">
        <v>82.162549633028988</v>
      </c>
      <c r="J335" s="112"/>
      <c r="K335" s="112"/>
      <c r="L335" s="126"/>
      <c r="M335" s="112"/>
      <c r="N335" s="126"/>
      <c r="O335" s="147"/>
      <c r="P335" s="147"/>
      <c r="Q335" s="147"/>
      <c r="R335" s="112"/>
      <c r="S335" s="112"/>
      <c r="T335" s="112"/>
      <c r="U335" s="147"/>
      <c r="V335" s="149"/>
      <c r="W335" s="149"/>
      <c r="X335" s="126"/>
      <c r="Y335" s="126"/>
    </row>
    <row r="336" spans="1:25" ht="14.7" customHeight="1">
      <c r="A336" s="110" t="s">
        <v>179</v>
      </c>
      <c r="B336" s="147"/>
      <c r="C336" s="155">
        <v>86.470584691379202</v>
      </c>
      <c r="D336" s="155">
        <v>85.184196961887153</v>
      </c>
      <c r="E336" s="155">
        <v>83.139992174926689</v>
      </c>
      <c r="F336" s="155">
        <v>78.706523921314897</v>
      </c>
      <c r="G336" s="147">
        <v>73.208799999999997</v>
      </c>
      <c r="H336" s="147">
        <v>68.683999999999997</v>
      </c>
      <c r="I336" s="147">
        <v>81.003820275127808</v>
      </c>
      <c r="J336" s="112"/>
      <c r="K336" s="112"/>
      <c r="L336" s="126"/>
      <c r="M336" s="112"/>
      <c r="N336" s="126"/>
      <c r="O336" s="147"/>
      <c r="P336" s="147"/>
      <c r="Q336" s="147"/>
      <c r="R336" s="112"/>
      <c r="S336" s="112"/>
      <c r="T336" s="144"/>
      <c r="U336" s="146"/>
      <c r="V336" s="113"/>
      <c r="W336" s="113"/>
      <c r="X336" s="126"/>
      <c r="Y336" s="126"/>
    </row>
    <row r="337" spans="1:25" ht="14.7" customHeight="1">
      <c r="A337" s="26" t="s">
        <v>180</v>
      </c>
      <c r="B337" s="147"/>
      <c r="C337" s="155">
        <v>84.830795825570732</v>
      </c>
      <c r="D337" s="155">
        <v>91.09579811343869</v>
      </c>
      <c r="E337" s="155">
        <v>88.28066215199398</v>
      </c>
      <c r="F337" s="155">
        <v>76.432814686698464</v>
      </c>
      <c r="G337" s="146">
        <v>80.012</v>
      </c>
      <c r="H337" s="147">
        <v>80.008300000000006</v>
      </c>
      <c r="I337" s="147">
        <v>80.306839481483934</v>
      </c>
      <c r="J337" s="112"/>
      <c r="K337" s="112"/>
      <c r="L337" s="126"/>
      <c r="M337" s="112"/>
      <c r="N337" s="126"/>
      <c r="O337" s="147"/>
      <c r="P337" s="147"/>
      <c r="Q337" s="147"/>
      <c r="R337" s="112"/>
      <c r="S337" s="112"/>
      <c r="T337" s="112"/>
      <c r="U337" s="146"/>
      <c r="V337" s="113"/>
      <c r="W337" s="113"/>
      <c r="X337" s="126"/>
      <c r="Y337" s="126"/>
    </row>
    <row r="338" spans="1:25" ht="14.7" customHeight="1">
      <c r="A338" s="26" t="s">
        <v>296</v>
      </c>
      <c r="B338" s="147"/>
      <c r="C338" s="155">
        <v>88.588130350194575</v>
      </c>
      <c r="D338" s="155">
        <v>87.812885948715447</v>
      </c>
      <c r="E338" s="155">
        <v>87.344940089057047</v>
      </c>
      <c r="F338" s="155">
        <v>82.242399599519018</v>
      </c>
      <c r="G338" s="147">
        <v>85.209900000000005</v>
      </c>
      <c r="H338" s="147">
        <v>82.512700000000009</v>
      </c>
      <c r="I338" s="147">
        <v>83.677896886079182</v>
      </c>
      <c r="J338" s="112"/>
      <c r="K338" s="112"/>
      <c r="L338" s="126"/>
      <c r="M338" s="112"/>
      <c r="N338" s="126"/>
      <c r="O338" s="147"/>
      <c r="P338" s="147"/>
      <c r="Q338" s="147"/>
      <c r="R338" s="112"/>
      <c r="S338" s="112"/>
      <c r="T338" s="112"/>
      <c r="U338" s="147"/>
      <c r="V338" s="149"/>
      <c r="W338" s="149"/>
      <c r="X338" s="126"/>
      <c r="Y338" s="126"/>
    </row>
    <row r="339" spans="1:25" ht="14.7" customHeight="1">
      <c r="A339" s="110" t="s">
        <v>181</v>
      </c>
      <c r="B339" s="146"/>
      <c r="C339" s="155">
        <v>89.664103281623142</v>
      </c>
      <c r="D339" s="155">
        <v>89.906036649995215</v>
      </c>
      <c r="E339" s="155">
        <v>89.098787405305814</v>
      </c>
      <c r="F339" s="155">
        <v>84.190969266860421</v>
      </c>
      <c r="G339" s="146">
        <v>84.554200000000009</v>
      </c>
      <c r="H339" s="146">
        <v>83.030799999999999</v>
      </c>
      <c r="I339" s="146">
        <v>84.546138016991605</v>
      </c>
      <c r="J339" s="144"/>
      <c r="K339" s="144"/>
      <c r="L339" s="126"/>
      <c r="M339" s="144"/>
      <c r="N339" s="126"/>
      <c r="O339" s="146"/>
      <c r="P339" s="146"/>
      <c r="Q339" s="146"/>
      <c r="R339" s="144"/>
      <c r="S339" s="144"/>
      <c r="T339" s="144"/>
      <c r="U339" s="146"/>
      <c r="V339" s="113"/>
      <c r="W339" s="113"/>
      <c r="X339" s="126"/>
      <c r="Y339" s="126"/>
    </row>
    <row r="340" spans="1:25" ht="14.7" customHeight="1">
      <c r="A340" s="108" t="s">
        <v>182</v>
      </c>
      <c r="B340" s="148"/>
      <c r="C340" s="155">
        <v>89.476406648329387</v>
      </c>
      <c r="D340" s="155">
        <v>91.230776328431688</v>
      </c>
      <c r="E340" s="155">
        <v>88.98007175374596</v>
      </c>
      <c r="F340" s="155">
        <v>85.091112190789872</v>
      </c>
      <c r="G340" s="148">
        <v>82.614100000000008</v>
      </c>
      <c r="H340" s="148">
        <v>82.903400000000005</v>
      </c>
      <c r="I340" s="148" t="s">
        <v>908</v>
      </c>
      <c r="J340" s="109"/>
      <c r="K340" s="109"/>
      <c r="L340" s="126"/>
      <c r="M340" s="109"/>
      <c r="N340" s="126"/>
      <c r="O340" s="148"/>
      <c r="P340" s="148"/>
      <c r="Q340" s="148"/>
      <c r="R340" s="109"/>
      <c r="S340" s="109"/>
      <c r="T340" s="109"/>
      <c r="U340" s="148"/>
      <c r="V340" s="150"/>
      <c r="W340" s="150"/>
      <c r="X340" s="126"/>
      <c r="Y340" s="126"/>
    </row>
    <row r="341" spans="1:25" ht="14.7" customHeight="1">
      <c r="A341" s="110" t="s">
        <v>183</v>
      </c>
      <c r="B341" s="146"/>
      <c r="C341" s="155">
        <v>80.782748094812504</v>
      </c>
      <c r="D341" s="155">
        <v>86.45988740107687</v>
      </c>
      <c r="E341" s="155">
        <v>84.164654555801008</v>
      </c>
      <c r="F341" s="155">
        <v>78.844862350458826</v>
      </c>
      <c r="G341" s="146">
        <v>76.224599999999995</v>
      </c>
      <c r="H341" s="146">
        <v>78.433899999999994</v>
      </c>
      <c r="I341" s="146">
        <v>76.980907264177205</v>
      </c>
      <c r="J341" s="144"/>
      <c r="K341" s="144"/>
      <c r="L341" s="126"/>
      <c r="M341" s="144"/>
      <c r="N341" s="126"/>
      <c r="O341" s="146"/>
      <c r="P341" s="146"/>
      <c r="Q341" s="146"/>
      <c r="R341" s="144"/>
      <c r="S341" s="144"/>
      <c r="T341" s="144"/>
      <c r="U341" s="146"/>
      <c r="V341" s="113"/>
      <c r="W341" s="113"/>
      <c r="X341" s="126"/>
      <c r="Y341" s="126"/>
    </row>
    <row r="342" spans="1:25" ht="14.7" customHeight="1">
      <c r="A342" s="110" t="s">
        <v>184</v>
      </c>
      <c r="B342" s="147"/>
      <c r="C342" s="155">
        <v>87.580479792157078</v>
      </c>
      <c r="D342" s="155">
        <v>84.23993512649929</v>
      </c>
      <c r="E342" s="155">
        <v>86.08746456285364</v>
      </c>
      <c r="F342" s="155">
        <v>76.527230694696655</v>
      </c>
      <c r="G342" s="146">
        <v>84.725399999999993</v>
      </c>
      <c r="H342" s="147">
        <v>79.7881</v>
      </c>
      <c r="I342" s="147">
        <v>72.682938952922342</v>
      </c>
      <c r="J342" s="112"/>
      <c r="K342" s="112"/>
      <c r="L342" s="126"/>
      <c r="M342" s="112"/>
      <c r="N342" s="126"/>
      <c r="O342" s="147"/>
      <c r="P342" s="147"/>
      <c r="Q342" s="147"/>
      <c r="R342" s="112"/>
      <c r="S342" s="112"/>
      <c r="T342" s="112"/>
      <c r="U342" s="146"/>
      <c r="V342" s="113"/>
      <c r="W342" s="113"/>
      <c r="X342" s="126"/>
      <c r="Y342" s="126"/>
    </row>
    <row r="343" spans="1:25" ht="14.7" customHeight="1">
      <c r="A343" s="110" t="s">
        <v>185</v>
      </c>
      <c r="B343" s="146"/>
      <c r="C343" s="155">
        <v>89.699068271091036</v>
      </c>
      <c r="D343" s="155">
        <v>90.505829806859836</v>
      </c>
      <c r="E343" s="155">
        <v>89.713710860544083</v>
      </c>
      <c r="F343" s="155">
        <v>83.414118607204657</v>
      </c>
      <c r="G343" s="146">
        <v>82.35860000000001</v>
      </c>
      <c r="H343" s="147">
        <v>86.020300000000006</v>
      </c>
      <c r="I343" s="147">
        <v>85.541862026731749</v>
      </c>
      <c r="J343" s="112"/>
      <c r="K343" s="112"/>
      <c r="L343" s="126"/>
      <c r="M343" s="112"/>
      <c r="N343" s="126"/>
      <c r="O343" s="147"/>
      <c r="P343" s="147"/>
      <c r="Q343" s="147"/>
      <c r="R343" s="112"/>
      <c r="S343" s="112"/>
      <c r="T343" s="112"/>
      <c r="U343" s="146"/>
      <c r="V343" s="113"/>
      <c r="W343" s="113"/>
      <c r="X343" s="126"/>
      <c r="Y343" s="126"/>
    </row>
    <row r="344" spans="1:25" ht="14.7" customHeight="1">
      <c r="A344" s="110" t="s">
        <v>186</v>
      </c>
      <c r="B344" s="147"/>
      <c r="C344" s="154">
        <v>90.802459487966956</v>
      </c>
      <c r="D344" s="154">
        <v>85.755169848242403</v>
      </c>
      <c r="E344" s="154">
        <v>86.361561423286389</v>
      </c>
      <c r="F344" s="154">
        <v>77.558191120116533</v>
      </c>
      <c r="G344" s="146">
        <v>86.540199999999999</v>
      </c>
      <c r="H344" s="147">
        <v>81.329899999999995</v>
      </c>
      <c r="I344" s="147" t="s">
        <v>908</v>
      </c>
      <c r="J344" s="112"/>
      <c r="K344" s="112"/>
      <c r="L344" s="126"/>
      <c r="M344" s="112"/>
      <c r="N344" s="126"/>
      <c r="O344" s="147"/>
      <c r="P344" s="147"/>
      <c r="Q344" s="147"/>
      <c r="R344" s="112"/>
      <c r="S344" s="112"/>
      <c r="T344" s="112"/>
      <c r="U344" s="146"/>
      <c r="V344" s="113"/>
      <c r="W344" s="113"/>
      <c r="X344" s="126"/>
      <c r="Y344" s="126"/>
    </row>
    <row r="345" spans="1:25" ht="14.7" customHeight="1">
      <c r="A345" s="110" t="s">
        <v>907</v>
      </c>
      <c r="B345" s="147"/>
      <c r="C345" s="153" t="s">
        <v>908</v>
      </c>
      <c r="D345" s="153" t="s">
        <v>908</v>
      </c>
      <c r="E345" s="153" t="s">
        <v>908</v>
      </c>
      <c r="F345" s="153" t="s">
        <v>908</v>
      </c>
      <c r="G345" s="147" t="s">
        <v>908</v>
      </c>
      <c r="H345" s="147" t="s">
        <v>908</v>
      </c>
      <c r="I345" s="147">
        <v>84.445353929306265</v>
      </c>
      <c r="J345" s="112"/>
      <c r="K345" s="112"/>
      <c r="L345" s="126"/>
      <c r="M345" s="112"/>
      <c r="N345" s="126"/>
      <c r="O345" s="147"/>
      <c r="P345" s="147"/>
      <c r="Q345" s="147"/>
      <c r="R345" s="112"/>
      <c r="S345" s="112"/>
      <c r="T345" s="112"/>
      <c r="U345" s="147"/>
      <c r="V345" s="149"/>
      <c r="W345" s="149"/>
      <c r="X345" s="126"/>
      <c r="Y345" s="126"/>
    </row>
    <row r="346" spans="1:25" ht="14.7" customHeight="1">
      <c r="A346" s="110" t="s">
        <v>331</v>
      </c>
      <c r="B346" s="147"/>
      <c r="C346" s="154">
        <v>89.745266679651095</v>
      </c>
      <c r="D346" s="154">
        <v>88.183512510631175</v>
      </c>
      <c r="E346" s="154">
        <v>88.662856142281811</v>
      </c>
      <c r="F346" s="154">
        <v>83.815915306333679</v>
      </c>
      <c r="G346" s="146">
        <v>83.922399999999996</v>
      </c>
      <c r="H346" s="147">
        <v>83.175200000000004</v>
      </c>
      <c r="I346" s="147">
        <v>84.411781583716433</v>
      </c>
      <c r="J346" s="112"/>
      <c r="K346" s="112"/>
      <c r="L346" s="126"/>
      <c r="M346" s="112"/>
      <c r="N346" s="126"/>
      <c r="O346" s="147"/>
      <c r="P346" s="147"/>
      <c r="Q346" s="147"/>
      <c r="R346" s="112"/>
      <c r="S346" s="112"/>
      <c r="T346" s="112"/>
      <c r="U346" s="146"/>
      <c r="V346" s="113"/>
      <c r="W346" s="113"/>
      <c r="X346" s="126"/>
      <c r="Y346" s="126"/>
    </row>
    <row r="347" spans="1:25" ht="14.7" customHeight="1">
      <c r="A347" s="110" t="s">
        <v>187</v>
      </c>
      <c r="B347" s="147"/>
      <c r="C347" s="155">
        <v>93.109661013022077</v>
      </c>
      <c r="D347" s="155">
        <v>94.2658385294487</v>
      </c>
      <c r="E347" s="155">
        <v>91.933234016825864</v>
      </c>
      <c r="F347" s="155">
        <v>81.42061383935102</v>
      </c>
      <c r="G347" s="146">
        <v>83.858999999999995</v>
      </c>
      <c r="H347" s="147">
        <v>86.385300000000001</v>
      </c>
      <c r="I347" s="147">
        <v>89.092278053533519</v>
      </c>
      <c r="J347" s="112"/>
      <c r="K347" s="112"/>
      <c r="L347" s="126"/>
      <c r="M347" s="112"/>
      <c r="N347" s="126"/>
      <c r="O347" s="147"/>
      <c r="P347" s="147"/>
      <c r="Q347" s="147"/>
      <c r="R347" s="112"/>
      <c r="S347" s="112"/>
      <c r="T347" s="112"/>
      <c r="U347" s="146"/>
      <c r="V347" s="113"/>
      <c r="W347" s="113"/>
      <c r="X347" s="126"/>
      <c r="Y347" s="126"/>
    </row>
    <row r="348" spans="1:25" ht="14.7" customHeight="1">
      <c r="A348" s="110" t="s">
        <v>350</v>
      </c>
      <c r="B348" s="146"/>
      <c r="C348" s="154">
        <v>88.33404836255464</v>
      </c>
      <c r="D348" s="155">
        <v>85.481482380646028</v>
      </c>
      <c r="E348" s="155">
        <v>89.221773476390211</v>
      </c>
      <c r="F348" s="154">
        <v>80.972528118303373</v>
      </c>
      <c r="G348" s="146">
        <v>84.490399999999994</v>
      </c>
      <c r="H348" s="147">
        <v>83.238699999999994</v>
      </c>
      <c r="I348" s="147" t="s">
        <v>908</v>
      </c>
      <c r="J348" s="112"/>
      <c r="K348" s="112"/>
      <c r="L348" s="126"/>
      <c r="M348" s="112"/>
      <c r="N348" s="126"/>
      <c r="O348" s="147"/>
      <c r="P348" s="147"/>
      <c r="Q348" s="147"/>
      <c r="R348" s="112"/>
      <c r="S348" s="112"/>
      <c r="T348" s="112"/>
      <c r="U348" s="146"/>
      <c r="V348" s="113"/>
      <c r="W348" s="113"/>
      <c r="X348" s="126"/>
      <c r="Y348" s="126"/>
    </row>
    <row r="349" spans="1:25" ht="14.7" customHeight="1">
      <c r="A349" s="110" t="s">
        <v>255</v>
      </c>
      <c r="B349" s="147"/>
      <c r="C349" s="154">
        <v>86.735896909106614</v>
      </c>
      <c r="D349" s="155">
        <v>80.70014058003764</v>
      </c>
      <c r="E349" s="155">
        <v>80.951957002649593</v>
      </c>
      <c r="F349" s="154">
        <v>71.809200014743595</v>
      </c>
      <c r="G349" s="146">
        <v>75.582700000000003</v>
      </c>
      <c r="H349" s="147">
        <v>75.504300000000001</v>
      </c>
      <c r="I349" s="147">
        <v>78.483402859974234</v>
      </c>
      <c r="J349" s="112"/>
      <c r="K349" s="112"/>
      <c r="L349" s="126"/>
      <c r="M349" s="112"/>
      <c r="N349" s="126"/>
      <c r="O349" s="147"/>
      <c r="P349" s="147"/>
      <c r="Q349" s="147"/>
      <c r="R349" s="112"/>
      <c r="S349" s="112"/>
      <c r="T349" s="112"/>
      <c r="U349" s="146"/>
      <c r="V349" s="113"/>
      <c r="W349" s="113"/>
      <c r="X349" s="126"/>
      <c r="Y349" s="126"/>
    </row>
    <row r="350" spans="1:25" ht="14.7" customHeight="1">
      <c r="A350" s="110" t="s">
        <v>297</v>
      </c>
      <c r="B350" s="147"/>
      <c r="C350" s="155">
        <v>88.645233844285244</v>
      </c>
      <c r="D350" s="155">
        <v>87.52898058352379</v>
      </c>
      <c r="E350" s="155">
        <v>93.147535930901142</v>
      </c>
      <c r="F350" s="155">
        <v>82.374465127703871</v>
      </c>
      <c r="G350" s="146">
        <v>82.877299999999991</v>
      </c>
      <c r="H350" s="147">
        <v>82.627799999999993</v>
      </c>
      <c r="I350" s="147">
        <v>86.966877840269134</v>
      </c>
      <c r="J350" s="112"/>
      <c r="K350" s="112"/>
      <c r="L350" s="126"/>
      <c r="M350" s="112"/>
      <c r="N350" s="126"/>
      <c r="O350" s="147"/>
      <c r="P350" s="147"/>
      <c r="Q350" s="147"/>
      <c r="R350" s="112"/>
      <c r="S350" s="112"/>
      <c r="T350" s="112"/>
      <c r="U350" s="146"/>
      <c r="V350" s="113"/>
      <c r="W350" s="113"/>
      <c r="X350" s="126"/>
      <c r="Y350" s="126"/>
    </row>
    <row r="351" spans="1:25">
      <c r="A351" s="113" t="s">
        <v>188</v>
      </c>
      <c r="B351" s="146"/>
      <c r="C351" s="155">
        <v>91.727011826782572</v>
      </c>
      <c r="D351" s="155">
        <v>90.297722661015214</v>
      </c>
      <c r="E351" s="155">
        <v>94.240857576235996</v>
      </c>
      <c r="F351" s="155">
        <v>84.053724123685669</v>
      </c>
      <c r="G351" s="146">
        <v>88.776399999999995</v>
      </c>
      <c r="H351" s="146">
        <v>84.804999999999993</v>
      </c>
      <c r="I351" s="146">
        <v>88.154799004680399</v>
      </c>
      <c r="J351" s="146"/>
      <c r="K351" s="146"/>
      <c r="L351" s="144"/>
      <c r="M351" s="144"/>
      <c r="N351" s="144"/>
      <c r="O351" s="144"/>
      <c r="P351" s="144"/>
      <c r="Q351" s="144"/>
      <c r="R351" s="146"/>
      <c r="S351" s="146"/>
      <c r="T351" s="144"/>
      <c r="U351" s="144"/>
      <c r="V351" s="144"/>
      <c r="W351" s="146"/>
      <c r="X351" s="146"/>
      <c r="Y351" s="126"/>
    </row>
    <row r="352" spans="1:25">
      <c r="A352" s="113" t="s">
        <v>814</v>
      </c>
      <c r="B352" s="146"/>
      <c r="C352" s="155">
        <v>89.436250769415537</v>
      </c>
      <c r="D352" s="155">
        <v>89.755614879559673</v>
      </c>
      <c r="E352" s="155">
        <v>91.499457994046793</v>
      </c>
      <c r="F352" s="155">
        <v>84.158032824924689</v>
      </c>
      <c r="G352" s="146">
        <v>83.528300000000002</v>
      </c>
      <c r="H352" s="146">
        <v>83.933000000000007</v>
      </c>
      <c r="I352" s="146">
        <v>88.075317677372368</v>
      </c>
      <c r="J352" s="146"/>
      <c r="K352" s="146"/>
      <c r="L352" s="144"/>
      <c r="M352" s="144"/>
      <c r="N352" s="144"/>
      <c r="O352" s="144"/>
      <c r="P352" s="144"/>
      <c r="Q352" s="144"/>
      <c r="R352" s="146"/>
      <c r="S352" s="146"/>
      <c r="T352" s="144"/>
      <c r="U352" s="144"/>
      <c r="V352" s="144"/>
      <c r="W352" s="146"/>
      <c r="X352" s="146"/>
      <c r="Y352" s="126"/>
    </row>
    <row r="353" spans="1:25" ht="12.75" customHeight="1">
      <c r="A353" s="151" t="s">
        <v>256</v>
      </c>
      <c r="B353" s="151"/>
      <c r="C353" s="154">
        <v>84.846509220298046</v>
      </c>
      <c r="D353" s="155">
        <v>79.23448715575573</v>
      </c>
      <c r="E353" s="155">
        <v>85.739773716275025</v>
      </c>
      <c r="F353" s="154">
        <v>78.841125775092195</v>
      </c>
      <c r="G353" s="151">
        <v>83.647000000000006</v>
      </c>
      <c r="H353" s="151">
        <v>76.134500000000003</v>
      </c>
      <c r="I353" s="151">
        <v>81.957688718342894</v>
      </c>
      <c r="J353" s="151"/>
      <c r="K353" s="151"/>
      <c r="L353" s="151"/>
      <c r="M353" s="151"/>
      <c r="N353" s="151"/>
      <c r="O353" s="151"/>
      <c r="P353" s="151"/>
      <c r="Q353" s="151"/>
      <c r="R353" s="151"/>
      <c r="S353" s="151"/>
      <c r="T353" s="151"/>
      <c r="U353" s="151"/>
      <c r="V353" s="151"/>
      <c r="W353" s="126"/>
      <c r="X353" s="126"/>
      <c r="Y353" s="126"/>
    </row>
    <row r="354" spans="1:25" ht="12.75" customHeight="1">
      <c r="A354" s="152" t="s">
        <v>189</v>
      </c>
      <c r="B354" s="152"/>
      <c r="C354" s="155">
        <v>90.368184904514834</v>
      </c>
      <c r="D354" s="155">
        <v>92.241591367519973</v>
      </c>
      <c r="E354" s="155">
        <v>88.700601228125777</v>
      </c>
      <c r="F354" s="155">
        <v>84.029246174204687</v>
      </c>
      <c r="G354" s="152">
        <v>82.720800000000011</v>
      </c>
      <c r="H354" s="152">
        <v>83.778800000000004</v>
      </c>
      <c r="I354" s="152">
        <v>82.398000952590905</v>
      </c>
      <c r="J354" s="152"/>
      <c r="K354" s="152"/>
      <c r="L354" s="152"/>
      <c r="M354" s="152"/>
      <c r="N354" s="152"/>
      <c r="O354" s="152"/>
      <c r="P354" s="152"/>
      <c r="Q354" s="152"/>
      <c r="R354" s="152"/>
      <c r="S354" s="152"/>
      <c r="T354" s="152"/>
      <c r="U354" s="152"/>
      <c r="V354" s="152"/>
      <c r="W354" s="152"/>
      <c r="X354" s="152"/>
      <c r="Y354" s="126"/>
    </row>
    <row r="355" spans="1:25">
      <c r="A355" s="105" t="s">
        <v>298</v>
      </c>
      <c r="B355" s="107"/>
      <c r="C355" s="155">
        <v>90.534377922664049</v>
      </c>
      <c r="D355" s="155">
        <v>91.92497091260671</v>
      </c>
      <c r="E355" s="155">
        <v>92.897590688636186</v>
      </c>
      <c r="F355" s="155">
        <v>84.163768540590823</v>
      </c>
      <c r="G355" s="107">
        <v>82.155299999999997</v>
      </c>
      <c r="H355" s="107">
        <v>85.487800000000007</v>
      </c>
      <c r="I355" s="107">
        <v>89.743171006484772</v>
      </c>
      <c r="J355" s="107"/>
      <c r="K355" s="107"/>
      <c r="L355" s="107"/>
      <c r="M355" s="107"/>
      <c r="N355" s="107"/>
      <c r="O355" s="107"/>
      <c r="P355" s="107"/>
      <c r="Q355" s="107"/>
      <c r="R355" s="107"/>
      <c r="S355" s="107"/>
      <c r="T355" s="107"/>
      <c r="U355" s="107"/>
      <c r="V355" s="107"/>
      <c r="W355" s="107"/>
      <c r="X355" s="107"/>
      <c r="Y355" s="126"/>
    </row>
    <row r="356" spans="1:25">
      <c r="A356" s="107" t="s">
        <v>257</v>
      </c>
      <c r="B356" s="107"/>
      <c r="C356" s="156">
        <v>83.280407797423095</v>
      </c>
      <c r="D356" s="163">
        <v>84.367871485943766</v>
      </c>
      <c r="E356" s="163">
        <v>83.609862785634206</v>
      </c>
      <c r="F356" s="156">
        <v>70.683667229428337</v>
      </c>
      <c r="G356" s="107">
        <v>70.08959999999999</v>
      </c>
      <c r="H356" s="107">
        <v>69.775400000000005</v>
      </c>
      <c r="I356" s="107">
        <v>68.163622444981812</v>
      </c>
      <c r="J356" s="107"/>
      <c r="K356" s="107"/>
      <c r="L356" s="107"/>
      <c r="M356" s="107"/>
      <c r="N356" s="107"/>
      <c r="O356" s="107"/>
      <c r="P356" s="107"/>
      <c r="Q356" s="107"/>
      <c r="R356" s="107"/>
      <c r="S356" s="107"/>
      <c r="T356" s="107"/>
      <c r="U356" s="107"/>
      <c r="V356" s="107"/>
      <c r="W356" s="126"/>
      <c r="X356" s="126"/>
      <c r="Y356" s="126"/>
    </row>
    <row r="357" spans="1:25">
      <c r="A357" s="126" t="s">
        <v>190</v>
      </c>
      <c r="B357" s="126"/>
      <c r="C357" s="157">
        <v>90.990694191608767</v>
      </c>
      <c r="D357" s="126">
        <v>92.105579226151335</v>
      </c>
      <c r="E357" s="164">
        <v>90.258294411338369</v>
      </c>
      <c r="F357" s="157">
        <v>81.336008274358178</v>
      </c>
      <c r="G357" s="126">
        <v>81.697000000000003</v>
      </c>
      <c r="H357" s="126">
        <v>79.428699999999992</v>
      </c>
      <c r="I357" s="126">
        <v>84.592552123348014</v>
      </c>
      <c r="J357" s="126"/>
      <c r="K357" s="126"/>
      <c r="L357" s="126"/>
      <c r="M357" s="126"/>
      <c r="N357" s="126"/>
      <c r="O357" s="126"/>
      <c r="P357" s="126"/>
      <c r="Q357" s="126"/>
      <c r="R357" s="126"/>
      <c r="S357" s="126"/>
      <c r="T357" s="126"/>
      <c r="U357" s="126"/>
      <c r="V357" s="126"/>
      <c r="W357" s="126"/>
      <c r="X357" s="126"/>
      <c r="Y357" s="126"/>
    </row>
    <row r="358" spans="1:25">
      <c r="A358" s="145" t="s">
        <v>332</v>
      </c>
      <c r="B358" s="126"/>
      <c r="C358" s="151">
        <v>87.973790111756614</v>
      </c>
      <c r="D358" s="126">
        <v>86.830342680966439</v>
      </c>
      <c r="E358" s="151">
        <v>86.618817365264462</v>
      </c>
      <c r="F358" s="151">
        <v>79.856716481958046</v>
      </c>
      <c r="G358" s="126">
        <v>79.563500000000005</v>
      </c>
      <c r="H358" s="126">
        <v>78.743499999999997</v>
      </c>
      <c r="I358" s="126">
        <v>83.530583979642358</v>
      </c>
      <c r="J358" s="126"/>
      <c r="K358" s="126"/>
      <c r="L358" s="126"/>
      <c r="M358" s="126"/>
      <c r="N358" s="126"/>
      <c r="O358" s="126"/>
      <c r="P358" s="126"/>
      <c r="Q358" s="126"/>
      <c r="R358" s="126"/>
      <c r="S358" s="126"/>
      <c r="T358" s="126"/>
      <c r="U358" s="126"/>
      <c r="V358" s="126"/>
      <c r="W358" s="126"/>
      <c r="X358" s="126"/>
      <c r="Y358" s="126"/>
    </row>
    <row r="359" spans="1:25" ht="12.75" customHeight="1">
      <c r="A359" s="145" t="s">
        <v>191</v>
      </c>
      <c r="B359" s="145"/>
      <c r="C359" s="158">
        <v>89.838437026451501</v>
      </c>
      <c r="D359" s="114">
        <v>91.105861945615175</v>
      </c>
      <c r="E359" s="158">
        <v>86.701913485449055</v>
      </c>
      <c r="F359" s="158">
        <v>86.731495176323492</v>
      </c>
      <c r="G359" s="114">
        <v>87.445899999999995</v>
      </c>
      <c r="H359" s="114">
        <v>86.471800000000002</v>
      </c>
      <c r="I359" s="114">
        <v>84.019006352306462</v>
      </c>
      <c r="J359" s="114"/>
      <c r="K359" s="114"/>
      <c r="L359" s="114"/>
      <c r="M359" s="114"/>
      <c r="N359" s="114"/>
      <c r="O359" s="114"/>
      <c r="P359" s="114"/>
      <c r="Q359" s="114"/>
      <c r="R359" s="114"/>
      <c r="S359" s="114"/>
      <c r="T359" s="114"/>
      <c r="U359" s="114"/>
      <c r="V359" s="114"/>
      <c r="W359" s="114"/>
      <c r="X359" s="114"/>
      <c r="Y359" s="126"/>
    </row>
    <row r="360" spans="1:25">
      <c r="A360" s="145" t="s">
        <v>192</v>
      </c>
      <c r="B360" s="114"/>
      <c r="C360" s="159">
        <v>85.823623170365778</v>
      </c>
      <c r="D360" s="114">
        <v>85.063889899186776</v>
      </c>
      <c r="E360" s="159">
        <v>87.091181923918299</v>
      </c>
      <c r="F360" s="159">
        <v>81.312750152758284</v>
      </c>
      <c r="G360" s="114">
        <v>77.532700000000006</v>
      </c>
      <c r="H360" s="114">
        <v>79.631600000000006</v>
      </c>
      <c r="I360" s="114">
        <v>84.856066522804923</v>
      </c>
      <c r="J360" s="114"/>
      <c r="K360" s="114"/>
      <c r="L360" s="114"/>
      <c r="M360" s="114"/>
      <c r="N360" s="114"/>
      <c r="O360" s="114"/>
      <c r="P360" s="114"/>
      <c r="Q360" s="114"/>
      <c r="R360" s="114"/>
      <c r="S360" s="114"/>
      <c r="T360" s="114"/>
      <c r="U360" s="114"/>
      <c r="V360" s="114"/>
      <c r="W360" s="114"/>
      <c r="X360" s="114"/>
      <c r="Y360" s="126"/>
    </row>
    <row r="361" spans="1:25" ht="12.75" customHeight="1">
      <c r="A361" s="145" t="s">
        <v>193</v>
      </c>
      <c r="B361" s="145"/>
      <c r="C361" s="159">
        <v>90.004282637681939</v>
      </c>
      <c r="D361" s="114">
        <v>89.33940774487472</v>
      </c>
      <c r="E361" s="159">
        <v>90.602992435918708</v>
      </c>
      <c r="F361" s="159">
        <v>81.314718605343018</v>
      </c>
      <c r="G361" s="114">
        <v>82.177700000000002</v>
      </c>
      <c r="H361" s="114">
        <v>77.595299999999995</v>
      </c>
      <c r="I361" s="114">
        <v>85.906816780393342</v>
      </c>
      <c r="J361" s="114"/>
      <c r="K361" s="114"/>
      <c r="L361" s="114"/>
      <c r="M361" s="114"/>
      <c r="N361" s="114"/>
      <c r="O361" s="114"/>
      <c r="P361" s="114"/>
      <c r="Q361" s="114"/>
      <c r="R361" s="114"/>
      <c r="S361" s="114"/>
      <c r="T361" s="114"/>
      <c r="U361" s="114"/>
      <c r="V361" s="114"/>
      <c r="W361" s="114"/>
      <c r="X361" s="114"/>
      <c r="Y361" s="126"/>
    </row>
    <row r="362" spans="1:25">
      <c r="A362" s="126" t="s">
        <v>194</v>
      </c>
      <c r="B362" s="126"/>
      <c r="C362" s="160">
        <v>85.623323080600471</v>
      </c>
      <c r="D362" s="126">
        <v>89.539854111273556</v>
      </c>
      <c r="E362" s="160">
        <v>85.589932803318064</v>
      </c>
      <c r="F362" s="160">
        <v>75.536286644589453</v>
      </c>
      <c r="G362" s="126">
        <v>75.13539999999999</v>
      </c>
      <c r="H362" s="126">
        <v>79.423100000000005</v>
      </c>
      <c r="I362" s="126">
        <v>79.146909289786848</v>
      </c>
      <c r="J362" s="126"/>
      <c r="K362" s="126"/>
      <c r="L362" s="126"/>
      <c r="M362" s="126"/>
      <c r="N362" s="126"/>
      <c r="O362" s="126"/>
      <c r="P362" s="126"/>
      <c r="Q362" s="126"/>
      <c r="R362" s="126"/>
      <c r="S362" s="126"/>
      <c r="T362" s="126"/>
      <c r="U362" s="126"/>
      <c r="V362" s="126"/>
      <c r="W362" s="126"/>
      <c r="X362" s="126"/>
      <c r="Y362" s="126"/>
    </row>
    <row r="363" spans="1:25">
      <c r="A363" s="16" t="s">
        <v>195</v>
      </c>
      <c r="B363" s="114"/>
      <c r="C363" s="160">
        <v>88.699549994684389</v>
      </c>
      <c r="D363" s="114">
        <v>85.571369886185153</v>
      </c>
      <c r="E363" s="160">
        <v>86.271237188902248</v>
      </c>
      <c r="F363" s="160">
        <v>80.120515778378135</v>
      </c>
      <c r="G363" s="114">
        <v>80.0976</v>
      </c>
      <c r="H363" s="114">
        <v>76.989800000000002</v>
      </c>
      <c r="I363" s="114">
        <v>83.369638917778488</v>
      </c>
      <c r="J363" s="114"/>
      <c r="K363" s="114"/>
      <c r="L363" s="114"/>
      <c r="M363" s="114"/>
      <c r="N363" s="114"/>
      <c r="O363" s="114"/>
      <c r="P363" s="114"/>
      <c r="Q363" s="114"/>
      <c r="R363" s="114"/>
      <c r="S363" s="114"/>
      <c r="T363" s="115"/>
      <c r="U363" s="116"/>
      <c r="V363" s="126"/>
      <c r="W363" s="126"/>
      <c r="X363" s="126"/>
      <c r="Y363" s="126"/>
    </row>
    <row r="364" spans="1:25">
      <c r="A364" s="16" t="s">
        <v>299</v>
      </c>
      <c r="B364" s="114"/>
      <c r="C364" s="161">
        <v>88.065852310212577</v>
      </c>
      <c r="D364" s="114">
        <v>90.180977269124938</v>
      </c>
      <c r="E364" s="161">
        <v>89.945522059431525</v>
      </c>
      <c r="F364" s="161">
        <v>87.208642244582506</v>
      </c>
      <c r="G364" s="114">
        <v>88.294499999999999</v>
      </c>
      <c r="H364" s="114">
        <v>88.841700000000003</v>
      </c>
      <c r="I364" s="114">
        <v>85.5900498530129</v>
      </c>
      <c r="J364" s="114"/>
      <c r="K364" s="114"/>
      <c r="L364" s="114"/>
      <c r="M364" s="114"/>
      <c r="N364" s="114"/>
      <c r="O364" s="114"/>
      <c r="P364" s="114"/>
      <c r="Q364" s="114"/>
      <c r="R364" s="114"/>
      <c r="S364" s="114"/>
      <c r="T364" s="115"/>
      <c r="U364" s="116"/>
      <c r="V364" s="126"/>
      <c r="W364" s="126"/>
      <c r="X364" s="126"/>
      <c r="Y364" s="126"/>
    </row>
    <row r="365" spans="1:25">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25">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25">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25">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honeticPr fontId="12"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44"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888</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889</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890</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888</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888</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891</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892</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889</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893</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893</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890</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891</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888</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891</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892</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891</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891</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893</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893</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888</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888</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888</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268" t="s">
        <v>891</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893</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891</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888</v>
      </c>
      <c r="I27" s="11" t="s">
        <v>383</v>
      </c>
      <c r="J27" s="22" t="s">
        <v>395</v>
      </c>
      <c r="K27" s="21"/>
    </row>
    <row r="28" spans="1:11" ht="14.4">
      <c r="A28" s="5" t="str">
        <f>F28&amp;(COUNTIFS(F$2:F28,F28,K$2:K28,"Sparse"))</f>
        <v>UA0</v>
      </c>
      <c r="B28" s="5" t="str">
        <f>J28&amp;(COUNTIF(J$2:J28,J28))</f>
        <v>Unitary6</v>
      </c>
      <c r="C28" t="s">
        <v>903</v>
      </c>
      <c r="D28" t="s">
        <v>903</v>
      </c>
      <c r="E28" s="280" t="s">
        <v>1</v>
      </c>
      <c r="F28" s="280" t="s">
        <v>386</v>
      </c>
      <c r="G28" s="280" t="s">
        <v>395</v>
      </c>
      <c r="H28" s="281" t="s">
        <v>383</v>
      </c>
      <c r="I28" s="282" t="s">
        <v>383</v>
      </c>
      <c r="J28" s="283" t="s">
        <v>395</v>
      </c>
    </row>
    <row r="29" spans="1:11" ht="14.4">
      <c r="A29" s="5" t="str">
        <f>F29&amp;(COUNTIFS(F$2:F29,F29,K$2:K29,"Sparse"))</f>
        <v>UA0</v>
      </c>
      <c r="B29" s="5" t="str">
        <f>J29&amp;(COUNTIF(J$2:J29,J29))</f>
        <v>Unitary7</v>
      </c>
      <c r="C29" s="8" t="s">
        <v>263</v>
      </c>
      <c r="D29" s="8" t="s">
        <v>263</v>
      </c>
      <c r="E29" s="9" t="s">
        <v>0</v>
      </c>
      <c r="F29" s="9" t="s">
        <v>386</v>
      </c>
      <c r="G29" s="9" t="s">
        <v>395</v>
      </c>
      <c r="H29" s="10" t="s">
        <v>888</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893</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3" t="s">
        <v>892</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3" t="s">
        <v>889</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893</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891</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888</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888</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891</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893</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888</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893</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890</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888</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893</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893</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888</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893</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891</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888</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891</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888</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892</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888</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888</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888</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891</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891</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891</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888</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892</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891</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891</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888</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893</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891</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889</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888</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889</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889</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888</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889</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888</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893</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891</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888</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893</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889</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888</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889</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890</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904</v>
      </c>
      <c r="D86" t="s">
        <v>904</v>
      </c>
      <c r="E86" s="280" t="s">
        <v>1</v>
      </c>
      <c r="F86" s="283" t="s">
        <v>386</v>
      </c>
      <c r="G86" s="283" t="s">
        <v>395</v>
      </c>
      <c r="H86" s="282" t="s">
        <v>381</v>
      </c>
      <c r="I86" s="282"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891</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892</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893</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893</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889</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892</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891</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889</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891</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889</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892</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892</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891</v>
      </c>
      <c r="I99" s="11" t="s">
        <v>370</v>
      </c>
      <c r="J99" t="s">
        <v>327</v>
      </c>
      <c r="K99" s="21"/>
    </row>
    <row r="100" spans="1:11">
      <c r="A100" s="5" t="str">
        <f>F100&amp;(COUNTIFS(F$2:F100,F100,K$2:K100,"Sparse"))</f>
        <v>SD19</v>
      </c>
      <c r="B100" s="5" t="str">
        <f>J100&amp;(COUNTIF(J$2:J100,J100))</f>
        <v>Suffolk2</v>
      </c>
      <c r="C100" t="s">
        <v>905</v>
      </c>
      <c r="D100" t="s">
        <v>905</v>
      </c>
      <c r="E100" s="280" t="s">
        <v>368</v>
      </c>
      <c r="F100" s="280" t="s">
        <v>380</v>
      </c>
      <c r="G100" s="280" t="s">
        <v>5</v>
      </c>
      <c r="H100" s="281" t="s">
        <v>909</v>
      </c>
      <c r="I100" s="281" t="s">
        <v>909</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888</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888</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889</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893</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893</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891</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893</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890</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888</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888</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892</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889</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889</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888</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893</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890</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888</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888</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893</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891</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893</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888</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893</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888</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889</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893</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889</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893</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888</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891</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893</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891</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888</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888</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888</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893</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892</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893</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892</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893</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892</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892</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893</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889</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888</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888</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889</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889</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893</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893</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888</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892</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888</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893</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893</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893</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893</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891</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893</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888</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891</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893</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891</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888</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893</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888</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891</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889</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892</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893</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888</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888</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889</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889</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893</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889</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889</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888</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888</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888</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891</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891</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892</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893</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888</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893</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892</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889</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888</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888</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891</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889</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891</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889</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891</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893</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889</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892</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888</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892</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888</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890</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888</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888</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893</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888</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888</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888</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888</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888</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888</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888</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889</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888</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893</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891</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888</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888</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889</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893</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889</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893</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888</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888</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892</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890</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888</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893</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892</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888</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889</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889</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893</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893</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891</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892</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893</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889</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892</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890</v>
      </c>
      <c r="I254" s="11" t="s">
        <v>383</v>
      </c>
      <c r="J254" t="str">
        <f>C254</f>
        <v>Sheffield</v>
      </c>
      <c r="K254" s="21"/>
    </row>
    <row r="255" spans="1:11" ht="14.4">
      <c r="A255" s="5" t="str">
        <f>F255&amp;(COUNTIFS(F$2:F255,F255,K$2:K255,"Sparse"))</f>
        <v>SD50</v>
      </c>
      <c r="B255" s="5" t="str">
        <f>J255&amp;(COUNTIF(J$2:J255,J255))</f>
        <v>Kent9</v>
      </c>
      <c r="C255" s="8" t="s">
        <v>897</v>
      </c>
      <c r="D255" s="8" t="s">
        <v>897</v>
      </c>
      <c r="E255" s="9" t="s">
        <v>0</v>
      </c>
      <c r="F255" s="9" t="s">
        <v>380</v>
      </c>
      <c r="G255" s="9" t="s">
        <v>5</v>
      </c>
      <c r="H255" s="12" t="s">
        <v>891</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892</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888</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893</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906</v>
      </c>
      <c r="D260" t="s">
        <v>906</v>
      </c>
      <c r="E260" s="280" t="s">
        <v>1</v>
      </c>
      <c r="F260" s="280" t="s">
        <v>380</v>
      </c>
      <c r="G260" s="280" t="s">
        <v>5</v>
      </c>
      <c r="H260" s="281" t="s">
        <v>909</v>
      </c>
      <c r="I260" s="282"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891</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892</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891</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888</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889</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892</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892</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889</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889</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889</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889</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888</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892</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891</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893</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888</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888</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893</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893</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888</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892</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893</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891</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892</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888</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893</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888</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888</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889</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891</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892</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893</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888</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893</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892</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888</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893</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888</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891</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891</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892</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888</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892</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891</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892</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888</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893</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893</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891</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888</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889</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893</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893</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891</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889</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892</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888</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893</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893</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893</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888</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888</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893</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891</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892</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889</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891</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888</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891</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889</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889</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891</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889</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889</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889</v>
      </c>
      <c r="I339" s="11" t="s">
        <v>381</v>
      </c>
      <c r="J339" t="s">
        <v>326</v>
      </c>
      <c r="K339" s="21" t="s">
        <v>335</v>
      </c>
    </row>
    <row r="340" spans="1:11" ht="14.4">
      <c r="A340" s="5" t="str">
        <f>F340&amp;(COUNTIFS(F$2:F340,F340,K$2:K340,"Sparse"))</f>
        <v>SD82</v>
      </c>
      <c r="B340" s="5" t="str">
        <f>J340&amp;(COUNTIF(J$2:J340,J340))</f>
        <v>Suffolk10</v>
      </c>
      <c r="C340" t="s">
        <v>907</v>
      </c>
      <c r="D340" t="s">
        <v>907</v>
      </c>
      <c r="E340" s="280" t="s">
        <v>368</v>
      </c>
      <c r="F340" s="280" t="s">
        <v>380</v>
      </c>
      <c r="G340" s="280" t="s">
        <v>5</v>
      </c>
      <c r="H340" s="281" t="s">
        <v>909</v>
      </c>
      <c r="I340" s="282"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893</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888</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893</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892</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892</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888</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893</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893</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888</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893</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888</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888</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889</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891</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892</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891</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888</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897</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897</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897</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897</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897</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897</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897</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897</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897</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897</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897</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897</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897</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897</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897</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897</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897</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897</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897</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897</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897</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59" t="s">
        <v>857</v>
      </c>
      <c r="G20" s="359"/>
      <c r="H20" s="193" t="s">
        <v>800</v>
      </c>
      <c r="I20" s="194" t="s">
        <v>792</v>
      </c>
    </row>
    <row r="21" spans="1:11">
      <c r="C21" s="191"/>
      <c r="E21" s="207" t="s">
        <v>848</v>
      </c>
      <c r="F21" s="359"/>
      <c r="G21" s="359"/>
      <c r="H21" s="2" t="s">
        <v>810</v>
      </c>
      <c r="I21" s="4" t="s">
        <v>821</v>
      </c>
    </row>
    <row r="22" spans="1:11" ht="36">
      <c r="C22" s="191"/>
      <c r="E22" s="208" t="s">
        <v>849</v>
      </c>
      <c r="F22" s="359"/>
      <c r="G22" s="359"/>
    </row>
    <row r="23" spans="1:11">
      <c r="C23" s="191"/>
      <c r="E23" s="209">
        <v>87</v>
      </c>
      <c r="F23" s="359"/>
      <c r="G23" s="359"/>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1B3D472-5BD6-4DF0-B1A4-3902843CD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3.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2014-11-12T09:48:52Z</dcterms:created>
  <dcterms:modified xsi:type="dcterms:W3CDTF">2020-10-02T13:33:51Z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