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codeName="ThisWorkbook"/>
  <mc:AlternateContent xmlns:mc="http://schemas.openxmlformats.org/markup-compatibility/2006">
    <mc:Choice Requires="x15">
      <x15ac:absPath xmlns:x15ac="http://schemas.microsoft.com/office/spreadsheetml/2010/11/ac" url="https://ruralservicesnetwork-my.sharepoint.com/personal/richard_inman_sparse_gov_uk/Documents/RSN Shared Documents/12. Work areas/Daniel Worth/Cloud Folder/290920/"/>
    </mc:Choice>
  </mc:AlternateContent>
  <xr:revisionPtr revIDLastSave="20" documentId="8_{A046B349-D365-43A4-961E-476C33CACF0F}" xr6:coauthVersionLast="45" xr6:coauthVersionMax="45" xr10:uidLastSave="{94A86962-AA4E-43BD-9661-1399E17D62EB}"/>
  <workbookProtection workbookAlgorithmName="SHA-512" workbookHashValue="xEpdu/0cxEO89BQ/VgFDHly1KTh4R5ms1w39ePsoX63l8qEkyLVRLV55083Wlm7j/cTupD/1Hg/328nYD32kiA==" workbookSaltValue="fmzRQe6bVBHg78YqGfn50w==" workbookSpinCount="100000" lockStructure="1"/>
  <bookViews>
    <workbookView xWindow="29490" yWindow="2070" windowWidth="23565" windowHeight="17550" tabRatio="599" xr2:uid="{00000000-000D-0000-FFFF-FFFF00000000}"/>
  </bookViews>
  <sheets>
    <sheet name="Profile" sheetId="8" r:id="rId1"/>
    <sheet name="Filtered Data" sheetId="16" state="veryHidden" r:id="rId2"/>
    <sheet name="Indicator info" sheetId="31" state="veryHidden" r:id="rId3"/>
    <sheet name="Data" sheetId="34" state="veryHidden" r:id="rId4"/>
    <sheet name="classifications" sheetId="11" state="veryHidden" r:id="rId5"/>
    <sheet name="Families" sheetId="24" state="veryHidden" r:id="rId6"/>
    <sheet name="Guide" sheetId="35" state="veryHidden" r:id="rId7"/>
    <sheet name="check list" sheetId="37" state="veryHidden" r:id="rId8"/>
  </sheets>
  <externalReferences>
    <externalReference r:id="rId9"/>
  </externalReferences>
  <definedNames>
    <definedName name="__123Graph_A" hidden="1">[1]Data!$AN$5:$AN$381</definedName>
    <definedName name="__123Graph_X" hidden="1">[1]Data!$AW$5:$AW$381</definedName>
    <definedName name="_Fill" hidden="1">[1]Data!$BA$395:$CU$395</definedName>
    <definedName name="_xlnm._FilterDatabase" localSheetId="4" hidden="1">classifications!$A$1:$L$359</definedName>
    <definedName name="_xlnm._FilterDatabase" localSheetId="3" hidden="1">Data!$A$1:$BY$333</definedName>
    <definedName name="_xlnm._FilterDatabase" localSheetId="1" hidden="1">'Filtered Data'!$A$10:$J$363</definedName>
    <definedName name="_Key1" hidden="1">'[1]07Model'!$A$65</definedName>
    <definedName name="_Order1" hidden="1">0</definedName>
    <definedName name="_Sort" localSheetId="3" hidden="1">#REF!</definedName>
    <definedName name="_Sort" localSheetId="5" hidden="1">'[1]07Model'!$A$65:$D$66</definedName>
    <definedName name="_Sort" hidden="1">#REF!</definedName>
    <definedName name="Authorities">OFFSET('Filtered Data'!$B$11,0,0,(COUNTA('Filtered Data'!$A:$A)-COUNTIF('Filtered Data'!$B:$B,0))-1,1)</definedName>
    <definedName name="Authorities1">'Filtered Data'!$B$11:$B$22</definedName>
    <definedName name="BotQuart">OFFSET('Filtered Data'!$R$11,0,0,COUNT('Filtered Data'!$M$11:$M$500),1)</definedName>
    <definedName name="fred" hidden="1">'[1]07Model'!$L$6:$L$20</definedName>
    <definedName name="Indicators">OFFSET('Indicator info'!$A$2,0,0,COUNTA('Indicator info'!$A:$A)-1,1)</definedName>
    <definedName name="MarkData">OFFSET('Filtered Data'!$N$11,0,0,COUNT('Filtered Data'!$N$11:$N$500),1)</definedName>
    <definedName name="Marker">OFFSET('Filtered Data'!$S$11,0,0,COUNT('Filtered Data'!$M$11:$M$500),1)</definedName>
    <definedName name="SecQuart">OFFSET('Filtered Data'!$P$11,0,0,COUNT('Filtered Data'!$M$11:$M$500),1)</definedName>
    <definedName name="ThirdQuart">OFFSET('Filtered Data'!$Q$11,0,0,COUNT('Filtered Data'!$M$11:$M$500),1)</definedName>
    <definedName name="TopQuart">OFFSET('Filtered Data'!$O$11,0,0,COUNT('Filtered Data'!$M$11:$M$500),1)</definedName>
    <definedName name="Years">OFFSET('Indicator info'!$F$2,0,0,COUNTA('Indicator info'!$F:$F)-1,1)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40" i="11" l="1"/>
  <c r="A340" i="11"/>
  <c r="B260" i="11"/>
  <c r="A260" i="11"/>
  <c r="B100" i="11"/>
  <c r="A100" i="11"/>
  <c r="B86" i="11"/>
  <c r="A86" i="11"/>
  <c r="B28" i="11"/>
  <c r="A28" i="11"/>
  <c r="D364" i="16"/>
  <c r="E364" i="16"/>
  <c r="D365" i="16"/>
  <c r="E365" i="16"/>
  <c r="D366" i="16"/>
  <c r="E366" i="16"/>
  <c r="D367" i="16"/>
  <c r="E367" i="16"/>
  <c r="D368" i="16"/>
  <c r="H368" i="16" s="1"/>
  <c r="I368" i="16" s="1"/>
  <c r="E368" i="16"/>
  <c r="A368" i="16"/>
  <c r="A367" i="16"/>
  <c r="A366" i="16"/>
  <c r="A365" i="16"/>
  <c r="A364" i="16"/>
  <c r="E108" i="8" l="1"/>
  <c r="B92" i="8"/>
  <c r="U91" i="8"/>
  <c r="E91" i="8"/>
  <c r="B91" i="8"/>
  <c r="B89" i="8"/>
  <c r="M1" i="11"/>
  <c r="B38" i="8" l="1"/>
  <c r="D51" i="8" s="1"/>
  <c r="AF12" i="16" l="1"/>
  <c r="K9" i="16"/>
  <c r="W14" i="8" l="1"/>
  <c r="D1" i="34" l="1"/>
  <c r="E1" i="34"/>
  <c r="F1" i="34"/>
  <c r="G1" i="34"/>
  <c r="H1" i="34"/>
  <c r="I1" i="34"/>
  <c r="J1" i="34"/>
  <c r="K1" i="34"/>
  <c r="L1" i="34"/>
  <c r="M1" i="34"/>
  <c r="N1" i="34"/>
  <c r="O1" i="34"/>
  <c r="P1" i="34"/>
  <c r="Q1" i="34"/>
  <c r="R1" i="34"/>
  <c r="S1" i="34"/>
  <c r="T1" i="34"/>
  <c r="U1" i="34"/>
  <c r="V1" i="34"/>
  <c r="W1" i="34"/>
  <c r="X1" i="34"/>
  <c r="Y1" i="34"/>
  <c r="Z1" i="34"/>
  <c r="AA1" i="34"/>
  <c r="AB1" i="34"/>
  <c r="AC1" i="34"/>
  <c r="AD1" i="34"/>
  <c r="AE1" i="34"/>
  <c r="AF1" i="34"/>
  <c r="AG1" i="34"/>
  <c r="AH1" i="34"/>
  <c r="AI1" i="34"/>
  <c r="AJ1" i="34"/>
  <c r="AK1" i="34"/>
  <c r="AL1" i="34"/>
  <c r="AM1" i="34"/>
  <c r="AN1" i="34"/>
  <c r="AO1" i="34"/>
  <c r="AP1" i="34"/>
  <c r="AQ1" i="34"/>
  <c r="AR1" i="34"/>
  <c r="AS1" i="34"/>
  <c r="AT1" i="34"/>
  <c r="AU1" i="34"/>
  <c r="AV1" i="34"/>
  <c r="AW1" i="34"/>
  <c r="AX1" i="34"/>
  <c r="AY1" i="34"/>
  <c r="AZ1" i="34"/>
  <c r="BA1" i="34"/>
  <c r="BB1" i="34"/>
  <c r="BC1" i="34"/>
  <c r="BD1" i="34"/>
  <c r="BE1" i="34"/>
  <c r="BF1" i="34"/>
  <c r="BG1" i="34"/>
  <c r="BH1" i="34"/>
  <c r="BI1" i="34"/>
  <c r="BJ1" i="34"/>
  <c r="BK1" i="34"/>
  <c r="BL1" i="34"/>
  <c r="BM1" i="34"/>
  <c r="BN1" i="34"/>
  <c r="BO1" i="34"/>
  <c r="BP1" i="34"/>
  <c r="BQ1" i="34"/>
  <c r="BR1" i="34"/>
  <c r="BS1" i="34"/>
  <c r="BT1" i="34"/>
  <c r="BU1" i="34"/>
  <c r="BV1" i="34"/>
  <c r="BW1" i="34"/>
  <c r="BX1" i="34"/>
  <c r="BY1" i="34"/>
  <c r="C1" i="34"/>
  <c r="B3" i="8"/>
  <c r="A365" i="24" l="1"/>
  <c r="A364" i="24"/>
  <c r="A363" i="24"/>
  <c r="A362" i="24"/>
  <c r="A361" i="24"/>
  <c r="A360" i="24"/>
  <c r="A359" i="24"/>
  <c r="A358" i="24"/>
  <c r="A357" i="24"/>
  <c r="A356" i="24"/>
  <c r="A355" i="24"/>
  <c r="A354" i="24"/>
  <c r="A353" i="24"/>
  <c r="A352" i="24"/>
  <c r="A351" i="24"/>
  <c r="A350" i="24"/>
  <c r="A349" i="24"/>
  <c r="A348" i="24"/>
  <c r="A347" i="24"/>
  <c r="A346" i="24"/>
  <c r="A345" i="24"/>
  <c r="A344" i="24"/>
  <c r="A343" i="24"/>
  <c r="A342" i="24"/>
  <c r="A341" i="24"/>
  <c r="A340" i="24"/>
  <c r="A339" i="24"/>
  <c r="A338" i="24"/>
  <c r="A337" i="24"/>
  <c r="A336" i="24"/>
  <c r="A335" i="24"/>
  <c r="A334" i="24"/>
  <c r="A333" i="24"/>
  <c r="A332" i="24"/>
  <c r="A331" i="24"/>
  <c r="A330" i="24"/>
  <c r="A329" i="24"/>
  <c r="A328" i="24"/>
  <c r="A327" i="24"/>
  <c r="A326" i="24"/>
  <c r="A325" i="24"/>
  <c r="A324" i="24"/>
  <c r="A323" i="24"/>
  <c r="A322" i="24"/>
  <c r="A321" i="24"/>
  <c r="A320" i="24"/>
  <c r="A319" i="24"/>
  <c r="A318" i="24"/>
  <c r="A317" i="24"/>
  <c r="A316" i="24"/>
  <c r="A315" i="24"/>
  <c r="A314" i="24"/>
  <c r="A313" i="24"/>
  <c r="A312" i="24"/>
  <c r="A311" i="24"/>
  <c r="A310" i="24"/>
  <c r="A309" i="24"/>
  <c r="A308" i="24"/>
  <c r="A307" i="24"/>
  <c r="A306" i="24"/>
  <c r="A305" i="24"/>
  <c r="A304" i="24"/>
  <c r="A303" i="24"/>
  <c r="A302" i="24"/>
  <c r="A301" i="24"/>
  <c r="A300" i="24"/>
  <c r="A299" i="24"/>
  <c r="A298" i="24"/>
  <c r="A297" i="24"/>
  <c r="A296" i="24"/>
  <c r="A295" i="24"/>
  <c r="A294" i="24"/>
  <c r="A293" i="24"/>
  <c r="A292" i="24"/>
  <c r="A291" i="24"/>
  <c r="A290" i="24"/>
  <c r="A289" i="24"/>
  <c r="A288" i="24"/>
  <c r="A287" i="24"/>
  <c r="A286" i="24"/>
  <c r="A285" i="24"/>
  <c r="A284" i="24"/>
  <c r="A283" i="24"/>
  <c r="A282" i="24"/>
  <c r="A281" i="24"/>
  <c r="A280" i="24"/>
  <c r="A279" i="24"/>
  <c r="A278" i="24"/>
  <c r="A277" i="24"/>
  <c r="A276" i="24"/>
  <c r="A275" i="24"/>
  <c r="A274" i="24"/>
  <c r="A273" i="24"/>
  <c r="A272" i="24"/>
  <c r="A271" i="24"/>
  <c r="A270" i="24"/>
  <c r="A269" i="24"/>
  <c r="A268" i="24"/>
  <c r="A267" i="24"/>
  <c r="A266" i="24"/>
  <c r="A265" i="24"/>
  <c r="A264" i="24"/>
  <c r="A263" i="24"/>
  <c r="A262" i="24"/>
  <c r="A261" i="24"/>
  <c r="A260" i="24"/>
  <c r="A259" i="24"/>
  <c r="A258" i="24"/>
  <c r="A257" i="24"/>
  <c r="A256" i="24"/>
  <c r="A255" i="24"/>
  <c r="A254" i="24"/>
  <c r="A253" i="24"/>
  <c r="A252" i="24"/>
  <c r="A251" i="24"/>
  <c r="A250" i="24"/>
  <c r="A249" i="24"/>
  <c r="A248" i="24"/>
  <c r="A247" i="24"/>
  <c r="A246" i="24"/>
  <c r="A245" i="24"/>
  <c r="A244" i="24"/>
  <c r="A243" i="24"/>
  <c r="A242" i="24"/>
  <c r="A241" i="24"/>
  <c r="A240" i="24"/>
  <c r="A239" i="24"/>
  <c r="A238" i="24"/>
  <c r="A237" i="24"/>
  <c r="A236" i="24"/>
  <c r="A235" i="24"/>
  <c r="A234" i="24"/>
  <c r="A233" i="24"/>
  <c r="A232" i="24"/>
  <c r="A231" i="24"/>
  <c r="A230" i="24"/>
  <c r="A229" i="24"/>
  <c r="A228" i="24"/>
  <c r="A227" i="24"/>
  <c r="A226" i="24"/>
  <c r="A225" i="24"/>
  <c r="A224" i="24"/>
  <c r="A223" i="24"/>
  <c r="A222" i="24"/>
  <c r="A221" i="24"/>
  <c r="A220" i="24"/>
  <c r="A219" i="24"/>
  <c r="A218" i="24"/>
  <c r="A217" i="24"/>
  <c r="A216" i="24"/>
  <c r="A215" i="24"/>
  <c r="A214" i="24"/>
  <c r="A213" i="24"/>
  <c r="A212" i="24"/>
  <c r="A211" i="24"/>
  <c r="A210" i="24"/>
  <c r="A209" i="24"/>
  <c r="A208" i="24"/>
  <c r="A207" i="24"/>
  <c r="A206" i="24"/>
  <c r="A205" i="24"/>
  <c r="A204" i="24"/>
  <c r="A203" i="24"/>
  <c r="A202" i="24"/>
  <c r="A201" i="24"/>
  <c r="A200" i="24"/>
  <c r="A199" i="24"/>
  <c r="A198" i="24"/>
  <c r="A197" i="24"/>
  <c r="A196" i="24"/>
  <c r="A195" i="24"/>
  <c r="A194" i="24"/>
  <c r="A193" i="24"/>
  <c r="A192" i="24"/>
  <c r="A191" i="24"/>
  <c r="A190" i="24"/>
  <c r="A189" i="24"/>
  <c r="A188" i="24"/>
  <c r="A187" i="24"/>
  <c r="A186" i="24"/>
  <c r="A185" i="24"/>
  <c r="A184" i="24"/>
  <c r="A183" i="24"/>
  <c r="A182" i="24"/>
  <c r="A181" i="24"/>
  <c r="A180" i="24"/>
  <c r="A179" i="24"/>
  <c r="A178" i="24"/>
  <c r="A177" i="24"/>
  <c r="A176" i="24"/>
  <c r="A175" i="24"/>
  <c r="A174" i="24"/>
  <c r="A173" i="24"/>
  <c r="A172" i="24"/>
  <c r="A171" i="24"/>
  <c r="A170" i="24"/>
  <c r="A169" i="24"/>
  <c r="A168" i="24"/>
  <c r="A167" i="24"/>
  <c r="A166" i="24"/>
  <c r="A165" i="24"/>
  <c r="A162" i="24"/>
  <c r="A161" i="24"/>
  <c r="A160" i="24"/>
  <c r="A159" i="24"/>
  <c r="A158" i="24"/>
  <c r="A157" i="24"/>
  <c r="A156" i="24"/>
  <c r="A155" i="24"/>
  <c r="A154" i="24"/>
  <c r="A153" i="24"/>
  <c r="A152" i="24"/>
  <c r="A151" i="24"/>
  <c r="A150" i="24"/>
  <c r="A149" i="24"/>
  <c r="A148" i="24"/>
  <c r="A147" i="24"/>
  <c r="A146" i="24"/>
  <c r="A145" i="24"/>
  <c r="A144" i="24"/>
  <c r="A143" i="24"/>
  <c r="A142" i="24"/>
  <c r="A141" i="24"/>
  <c r="A140" i="24"/>
  <c r="A139" i="24"/>
  <c r="A138" i="24"/>
  <c r="A137" i="24"/>
  <c r="A136" i="24"/>
  <c r="A133" i="24"/>
  <c r="A132" i="24"/>
  <c r="A131" i="24"/>
  <c r="A130" i="24"/>
  <c r="A129" i="24"/>
  <c r="A128" i="24"/>
  <c r="A127" i="24"/>
  <c r="A126" i="24"/>
  <c r="A125" i="24"/>
  <c r="A124" i="24"/>
  <c r="A123" i="24"/>
  <c r="A122" i="24"/>
  <c r="A121" i="24"/>
  <c r="A120" i="24"/>
  <c r="A119" i="24"/>
  <c r="A118" i="24"/>
  <c r="A117" i="24"/>
  <c r="A116" i="24"/>
  <c r="A115" i="24"/>
  <c r="A114" i="24"/>
  <c r="A113" i="24"/>
  <c r="A112" i="24"/>
  <c r="A111" i="24"/>
  <c r="A110" i="24"/>
  <c r="A109" i="24"/>
  <c r="A108" i="24"/>
  <c r="A107" i="24"/>
  <c r="A106" i="24"/>
  <c r="A105" i="24"/>
  <c r="A104" i="24"/>
  <c r="A103" i="24"/>
  <c r="A102" i="24"/>
  <c r="A101" i="24"/>
  <c r="A100" i="24"/>
  <c r="A99" i="24"/>
  <c r="A98" i="24"/>
  <c r="A97" i="24"/>
  <c r="A96" i="24"/>
  <c r="A95" i="24"/>
  <c r="A94" i="24"/>
  <c r="A93" i="24"/>
  <c r="A92" i="24"/>
  <c r="A91" i="24"/>
  <c r="A90" i="24"/>
  <c r="A89" i="24"/>
  <c r="A88" i="24"/>
  <c r="A87" i="24"/>
  <c r="A86" i="24"/>
  <c r="A85" i="24"/>
  <c r="A84" i="24"/>
  <c r="A83" i="24"/>
  <c r="A82" i="24"/>
  <c r="A81" i="24"/>
  <c r="A80" i="24"/>
  <c r="A79" i="24"/>
  <c r="A78" i="24"/>
  <c r="A75" i="24"/>
  <c r="A74" i="24"/>
  <c r="A73" i="24"/>
  <c r="A72" i="24"/>
  <c r="A71" i="24"/>
  <c r="A70" i="24"/>
  <c r="A69" i="24"/>
  <c r="A68" i="24"/>
  <c r="A67" i="24"/>
  <c r="A66" i="24"/>
  <c r="A65" i="24"/>
  <c r="A64" i="24"/>
  <c r="A63" i="24"/>
  <c r="A62" i="24"/>
  <c r="A61" i="24"/>
  <c r="A60" i="24"/>
  <c r="A59" i="24"/>
  <c r="A58" i="24"/>
  <c r="A57" i="24"/>
  <c r="A56" i="24"/>
  <c r="A55" i="24"/>
  <c r="A54" i="24"/>
  <c r="A53" i="24"/>
  <c r="A52" i="24"/>
  <c r="A51" i="24"/>
  <c r="A50" i="24"/>
  <c r="A49" i="24"/>
  <c r="A48" i="24"/>
  <c r="A47" i="24"/>
  <c r="A46" i="24"/>
  <c r="A45" i="24"/>
  <c r="A44" i="24"/>
  <c r="A43" i="24"/>
  <c r="A42" i="24"/>
  <c r="A41" i="24"/>
  <c r="A40" i="24"/>
  <c r="A37" i="24"/>
  <c r="A36" i="24"/>
  <c r="A35" i="24"/>
  <c r="A34" i="24"/>
  <c r="A33" i="24"/>
  <c r="A32" i="24"/>
  <c r="A31" i="24"/>
  <c r="A30" i="24"/>
  <c r="A29" i="24"/>
  <c r="A28" i="24"/>
  <c r="A27" i="24"/>
  <c r="A26" i="24"/>
  <c r="A25" i="24"/>
  <c r="A24" i="24"/>
  <c r="A23" i="24"/>
  <c r="A22" i="24"/>
  <c r="A21" i="24"/>
  <c r="A20" i="24"/>
  <c r="A19" i="24"/>
  <c r="A18" i="24"/>
  <c r="A17" i="24"/>
  <c r="A16" i="24"/>
  <c r="A15" i="24"/>
  <c r="A14" i="24"/>
  <c r="A13" i="24"/>
  <c r="A12" i="24"/>
  <c r="A11" i="24"/>
  <c r="A10" i="24"/>
  <c r="A9" i="24"/>
  <c r="A8" i="24"/>
  <c r="A7" i="24"/>
  <c r="A6" i="24"/>
  <c r="A359" i="11"/>
  <c r="A358" i="11"/>
  <c r="A357" i="11"/>
  <c r="A356" i="11"/>
  <c r="A355" i="11"/>
  <c r="A354" i="11"/>
  <c r="J353" i="11"/>
  <c r="A353" i="11"/>
  <c r="A352" i="11"/>
  <c r="J351" i="11"/>
  <c r="A351" i="11"/>
  <c r="A350" i="11"/>
  <c r="A349" i="11"/>
  <c r="J348" i="11"/>
  <c r="A348" i="11"/>
  <c r="A347" i="11"/>
  <c r="A346" i="11"/>
  <c r="A345" i="11"/>
  <c r="J344" i="11"/>
  <c r="A344" i="11"/>
  <c r="A343" i="11"/>
  <c r="J342" i="11"/>
  <c r="A342" i="11"/>
  <c r="J341" i="11"/>
  <c r="A341" i="11"/>
  <c r="A339" i="11"/>
  <c r="A338" i="11"/>
  <c r="A337" i="11"/>
  <c r="A336" i="11"/>
  <c r="A335" i="11"/>
  <c r="A334" i="11"/>
  <c r="A333" i="11"/>
  <c r="A332" i="11"/>
  <c r="A331" i="11"/>
  <c r="A330" i="11"/>
  <c r="A329" i="11"/>
  <c r="A328" i="11"/>
  <c r="A327" i="11"/>
  <c r="J326" i="11"/>
  <c r="A326" i="11"/>
  <c r="A325" i="11"/>
  <c r="A324" i="11"/>
  <c r="J323" i="11"/>
  <c r="A323" i="11"/>
  <c r="J322" i="11"/>
  <c r="A322" i="11"/>
  <c r="J321" i="11"/>
  <c r="A321" i="11"/>
  <c r="J320" i="11"/>
  <c r="A320" i="11"/>
  <c r="A319" i="11"/>
  <c r="A318" i="11"/>
  <c r="A317" i="11"/>
  <c r="J316" i="11"/>
  <c r="A316" i="11"/>
  <c r="J315" i="11"/>
  <c r="A315" i="11"/>
  <c r="A314" i="11"/>
  <c r="A313" i="11"/>
  <c r="A312" i="11"/>
  <c r="A311" i="11"/>
  <c r="A310" i="11"/>
  <c r="A309" i="11"/>
  <c r="A308" i="11"/>
  <c r="A307" i="11"/>
  <c r="A306" i="11"/>
  <c r="A305" i="11"/>
  <c r="A304" i="11"/>
  <c r="A303" i="11"/>
  <c r="A302" i="11"/>
  <c r="A301" i="11"/>
  <c r="J300" i="11"/>
  <c r="A300" i="11"/>
  <c r="A299" i="11"/>
  <c r="A298" i="11"/>
  <c r="J297" i="11"/>
  <c r="A297" i="11"/>
  <c r="A296" i="11"/>
  <c r="J295" i="11"/>
  <c r="A295" i="11"/>
  <c r="J294" i="11"/>
  <c r="A294" i="11"/>
  <c r="A293" i="11"/>
  <c r="J292" i="11"/>
  <c r="A292" i="11"/>
  <c r="A291" i="11"/>
  <c r="A290" i="11"/>
  <c r="A289" i="11"/>
  <c r="A288" i="11"/>
  <c r="J287" i="11"/>
  <c r="A287" i="11"/>
  <c r="A286" i="11"/>
  <c r="A285" i="11"/>
  <c r="J284" i="11"/>
  <c r="A284" i="11"/>
  <c r="A283" i="11"/>
  <c r="J282" i="11"/>
  <c r="A282" i="11"/>
  <c r="A281" i="11"/>
  <c r="A280" i="11"/>
  <c r="A279" i="11"/>
  <c r="J278" i="11"/>
  <c r="A278" i="11"/>
  <c r="A277" i="11"/>
  <c r="A276" i="11"/>
  <c r="J275" i="11"/>
  <c r="A275" i="11"/>
  <c r="A274" i="11"/>
  <c r="A273" i="11"/>
  <c r="A272" i="11"/>
  <c r="A271" i="11"/>
  <c r="A270" i="11"/>
  <c r="A269" i="11"/>
  <c r="A268" i="11"/>
  <c r="A267" i="11"/>
  <c r="A266" i="11"/>
  <c r="A265" i="11"/>
  <c r="A264" i="11"/>
  <c r="A263" i="11"/>
  <c r="A262" i="11"/>
  <c r="A261" i="11"/>
  <c r="J259" i="11"/>
  <c r="A259" i="11"/>
  <c r="J258" i="11"/>
  <c r="A258" i="11"/>
  <c r="A257" i="11"/>
  <c r="A256" i="11"/>
  <c r="A255" i="11"/>
  <c r="J254" i="11"/>
  <c r="A254" i="11"/>
  <c r="A253" i="11"/>
  <c r="A252" i="11"/>
  <c r="J251" i="11"/>
  <c r="A251" i="11"/>
  <c r="A250" i="11"/>
  <c r="A249" i="11"/>
  <c r="J248" i="11"/>
  <c r="A248" i="11"/>
  <c r="J247" i="11"/>
  <c r="A247" i="11"/>
  <c r="A246" i="11"/>
  <c r="A245" i="11"/>
  <c r="A244" i="11"/>
  <c r="A243" i="11"/>
  <c r="A242" i="11"/>
  <c r="A241" i="11"/>
  <c r="J240" i="11"/>
  <c r="A240" i="11"/>
  <c r="A239" i="11"/>
  <c r="A238" i="11"/>
  <c r="A237" i="11"/>
  <c r="J236" i="11"/>
  <c r="A236" i="11"/>
  <c r="A235" i="11"/>
  <c r="J234" i="11"/>
  <c r="A234" i="11"/>
  <c r="A233" i="11"/>
  <c r="A232" i="11"/>
  <c r="A231" i="11"/>
  <c r="A230" i="11"/>
  <c r="J229" i="11"/>
  <c r="A229" i="11"/>
  <c r="A228" i="11"/>
  <c r="A227" i="11"/>
  <c r="A226" i="11"/>
  <c r="A225" i="11"/>
  <c r="A224" i="11"/>
  <c r="A223" i="11"/>
  <c r="A222" i="11"/>
  <c r="A221" i="11"/>
  <c r="J220" i="11"/>
  <c r="A220" i="11"/>
  <c r="A219" i="11"/>
  <c r="J218" i="11"/>
  <c r="A218" i="11"/>
  <c r="A217" i="11"/>
  <c r="A216" i="11"/>
  <c r="J215" i="11"/>
  <c r="A215" i="11"/>
  <c r="A214" i="11"/>
  <c r="A213" i="11"/>
  <c r="A212" i="11"/>
  <c r="J211" i="11"/>
  <c r="A211" i="11"/>
  <c r="A210" i="11"/>
  <c r="J209" i="11"/>
  <c r="A209" i="11"/>
  <c r="A208" i="11"/>
  <c r="A207" i="11"/>
  <c r="J206" i="11"/>
  <c r="A206" i="11"/>
  <c r="A205" i="11"/>
  <c r="A204" i="11"/>
  <c r="A203" i="11"/>
  <c r="A202" i="11"/>
  <c r="A201" i="11"/>
  <c r="A200" i="11"/>
  <c r="A199" i="11"/>
  <c r="A198" i="11"/>
  <c r="A197" i="11"/>
  <c r="J196" i="11"/>
  <c r="A196" i="11"/>
  <c r="J195" i="11"/>
  <c r="A195" i="11"/>
  <c r="A194" i="11"/>
  <c r="J193" i="11"/>
  <c r="A193" i="11"/>
  <c r="A192" i="11"/>
  <c r="A191" i="11"/>
  <c r="A190" i="11"/>
  <c r="A189" i="11"/>
  <c r="A188" i="11"/>
  <c r="A187" i="11"/>
  <c r="A186" i="11"/>
  <c r="A185" i="11"/>
  <c r="J184" i="11"/>
  <c r="A184" i="11"/>
  <c r="A183" i="11"/>
  <c r="A182" i="11"/>
  <c r="A181" i="11"/>
  <c r="A180" i="11"/>
  <c r="J179" i="11"/>
  <c r="A179" i="11"/>
  <c r="A178" i="11"/>
  <c r="A177" i="11"/>
  <c r="A176" i="11"/>
  <c r="A175" i="11"/>
  <c r="J174" i="11"/>
  <c r="A174" i="11"/>
  <c r="J173" i="11"/>
  <c r="A173" i="11"/>
  <c r="A172" i="11"/>
  <c r="A171" i="11"/>
  <c r="J170" i="11"/>
  <c r="A170" i="11"/>
  <c r="A169" i="11"/>
  <c r="J168" i="11"/>
  <c r="A168" i="11"/>
  <c r="A167" i="11"/>
  <c r="J166" i="11"/>
  <c r="A166" i="11"/>
  <c r="A165" i="11"/>
  <c r="J164" i="11"/>
  <c r="A164" i="11"/>
  <c r="J163" i="11"/>
  <c r="A163" i="11"/>
  <c r="J162" i="11"/>
  <c r="A162" i="11"/>
  <c r="J161" i="11"/>
  <c r="A161" i="11"/>
  <c r="J160" i="11"/>
  <c r="A160" i="11"/>
  <c r="A159" i="11"/>
  <c r="A158" i="11"/>
  <c r="A157" i="11"/>
  <c r="J156" i="11"/>
  <c r="A156" i="11"/>
  <c r="J155" i="11"/>
  <c r="A155" i="11"/>
  <c r="J154" i="11"/>
  <c r="A154" i="11"/>
  <c r="A153" i="11"/>
  <c r="A152" i="11"/>
  <c r="A151" i="11"/>
  <c r="A150" i="11"/>
  <c r="A149" i="11"/>
  <c r="J148" i="11"/>
  <c r="A148" i="11"/>
  <c r="A147" i="11"/>
  <c r="A146" i="11"/>
  <c r="J145" i="11"/>
  <c r="A145" i="11"/>
  <c r="A144" i="11"/>
  <c r="A143" i="11"/>
  <c r="J142" i="11"/>
  <c r="A142" i="11"/>
  <c r="A141" i="11"/>
  <c r="J140" i="11"/>
  <c r="A140" i="11"/>
  <c r="A139" i="11"/>
  <c r="A138" i="11"/>
  <c r="A137" i="11"/>
  <c r="A136" i="11"/>
  <c r="J135" i="11"/>
  <c r="A135" i="11"/>
  <c r="A134" i="11"/>
  <c r="A133" i="11"/>
  <c r="J132" i="11"/>
  <c r="A132" i="11"/>
  <c r="A131" i="11"/>
  <c r="J130" i="11"/>
  <c r="A130" i="11"/>
  <c r="J129" i="11"/>
  <c r="A129" i="11"/>
  <c r="A128" i="11"/>
  <c r="A127" i="11"/>
  <c r="J126" i="11"/>
  <c r="A126" i="11"/>
  <c r="A125" i="11"/>
  <c r="J124" i="11"/>
  <c r="A124" i="11"/>
  <c r="A123" i="11"/>
  <c r="A122" i="11"/>
  <c r="A121" i="11"/>
  <c r="J120" i="11"/>
  <c r="A120" i="11"/>
  <c r="A119" i="11"/>
  <c r="A118" i="11"/>
  <c r="J117" i="11"/>
  <c r="A117" i="11"/>
  <c r="A116" i="11"/>
  <c r="A115" i="11"/>
  <c r="A114" i="11"/>
  <c r="A113" i="11"/>
  <c r="A112" i="11"/>
  <c r="A111" i="11"/>
  <c r="J110" i="11"/>
  <c r="A110" i="11"/>
  <c r="A109" i="11"/>
  <c r="A108" i="11"/>
  <c r="A107" i="11"/>
  <c r="J106" i="11"/>
  <c r="A106" i="11"/>
  <c r="A105" i="11"/>
  <c r="A104" i="11"/>
  <c r="A103" i="11"/>
  <c r="A102" i="11"/>
  <c r="J101" i="11"/>
  <c r="A101" i="11"/>
  <c r="A99" i="11"/>
  <c r="A98" i="11"/>
  <c r="A97" i="11"/>
  <c r="A96" i="11"/>
  <c r="A95" i="11"/>
  <c r="A94" i="11"/>
  <c r="A93" i="11"/>
  <c r="A92" i="11"/>
  <c r="A91" i="11"/>
  <c r="J90" i="11"/>
  <c r="A90" i="11"/>
  <c r="J89" i="11"/>
  <c r="A89" i="11"/>
  <c r="A88" i="11"/>
  <c r="A87" i="11"/>
  <c r="J85" i="11"/>
  <c r="A85" i="11"/>
  <c r="J84" i="11"/>
  <c r="A84" i="11"/>
  <c r="J83" i="11"/>
  <c r="A83" i="11"/>
  <c r="A82" i="11"/>
  <c r="J81" i="11"/>
  <c r="A81" i="11"/>
  <c r="A80" i="11"/>
  <c r="A79" i="11"/>
  <c r="A78" i="11"/>
  <c r="A77" i="11"/>
  <c r="A76" i="11"/>
  <c r="J75" i="11"/>
  <c r="A75" i="11"/>
  <c r="J74" i="11"/>
  <c r="A74" i="11"/>
  <c r="A73" i="11"/>
  <c r="A72" i="11"/>
  <c r="J71" i="11"/>
  <c r="A71" i="11"/>
  <c r="A70" i="11"/>
  <c r="A69" i="11"/>
  <c r="A68" i="11"/>
  <c r="A67" i="11"/>
  <c r="A66" i="11"/>
  <c r="J65" i="11"/>
  <c r="A65" i="11"/>
  <c r="A64" i="11"/>
  <c r="A63" i="11"/>
  <c r="A62" i="11"/>
  <c r="A61" i="11"/>
  <c r="A60" i="11"/>
  <c r="A59" i="11"/>
  <c r="A58" i="11"/>
  <c r="A57" i="11"/>
  <c r="A56" i="11"/>
  <c r="A55" i="11"/>
  <c r="A54" i="11"/>
  <c r="A53" i="11"/>
  <c r="A52" i="11"/>
  <c r="A51" i="11"/>
  <c r="A50" i="11"/>
  <c r="A49" i="11"/>
  <c r="J48" i="11"/>
  <c r="A48" i="11"/>
  <c r="J47" i="11"/>
  <c r="A47" i="11"/>
  <c r="A46" i="11"/>
  <c r="J45" i="11"/>
  <c r="A45" i="11"/>
  <c r="J44" i="11"/>
  <c r="A44" i="11"/>
  <c r="A43" i="11"/>
  <c r="J42" i="11"/>
  <c r="A42" i="11"/>
  <c r="A41" i="11"/>
  <c r="A40" i="11"/>
  <c r="A39" i="11"/>
  <c r="J38" i="11"/>
  <c r="A38" i="11"/>
  <c r="A37" i="11"/>
  <c r="A36" i="11"/>
  <c r="A35" i="11"/>
  <c r="A34" i="11"/>
  <c r="J33" i="11"/>
  <c r="A33" i="11"/>
  <c r="A32" i="11"/>
  <c r="A31" i="11"/>
  <c r="J30" i="11"/>
  <c r="A30" i="11"/>
  <c r="A29" i="11"/>
  <c r="A27" i="11"/>
  <c r="A26" i="11"/>
  <c r="J25" i="11"/>
  <c r="A25" i="11"/>
  <c r="A24" i="11"/>
  <c r="A23" i="11"/>
  <c r="A22" i="11"/>
  <c r="A21" i="11"/>
  <c r="J20" i="11"/>
  <c r="A20" i="11"/>
  <c r="J19" i="11"/>
  <c r="A19" i="11"/>
  <c r="A18" i="11"/>
  <c r="A17" i="11"/>
  <c r="A16" i="11"/>
  <c r="A15" i="11"/>
  <c r="A14" i="11"/>
  <c r="A13" i="11"/>
  <c r="J12" i="11"/>
  <c r="A12" i="11"/>
  <c r="J11" i="11"/>
  <c r="A11" i="11"/>
  <c r="J10" i="11"/>
  <c r="A10" i="11"/>
  <c r="B9" i="11"/>
  <c r="A9" i="11"/>
  <c r="B8" i="11"/>
  <c r="A8" i="11"/>
  <c r="B7" i="11"/>
  <c r="A7" i="11"/>
  <c r="B6" i="11"/>
  <c r="A6" i="11"/>
  <c r="B5" i="11"/>
  <c r="A5" i="11"/>
  <c r="B4" i="11"/>
  <c r="A4" i="11"/>
  <c r="B3" i="11"/>
  <c r="A3" i="11"/>
  <c r="B2" i="11"/>
  <c r="A2" i="11"/>
  <c r="E363" i="16"/>
  <c r="D363" i="16"/>
  <c r="A363" i="16"/>
  <c r="E362" i="16"/>
  <c r="D362" i="16"/>
  <c r="H362" i="16" s="1"/>
  <c r="I362" i="16" s="1"/>
  <c r="A362" i="16"/>
  <c r="E361" i="16"/>
  <c r="D361" i="16"/>
  <c r="A361" i="16"/>
  <c r="E360" i="16"/>
  <c r="D360" i="16"/>
  <c r="H360" i="16" s="1"/>
  <c r="I360" i="16" s="1"/>
  <c r="A360" i="16"/>
  <c r="E359" i="16"/>
  <c r="D359" i="16"/>
  <c r="H359" i="16" s="1"/>
  <c r="I359" i="16" s="1"/>
  <c r="A359" i="16"/>
  <c r="E358" i="16"/>
  <c r="D358" i="16"/>
  <c r="A358" i="16"/>
  <c r="E357" i="16"/>
  <c r="D357" i="16"/>
  <c r="H357" i="16" s="1"/>
  <c r="I357" i="16" s="1"/>
  <c r="A357" i="16"/>
  <c r="E356" i="16"/>
  <c r="D356" i="16"/>
  <c r="H356" i="16" s="1"/>
  <c r="I356" i="16" s="1"/>
  <c r="A356" i="16"/>
  <c r="E355" i="16"/>
  <c r="D355" i="16"/>
  <c r="A355" i="16"/>
  <c r="E354" i="16"/>
  <c r="D354" i="16"/>
  <c r="H354" i="16" s="1"/>
  <c r="I354" i="16" s="1"/>
  <c r="A354" i="16"/>
  <c r="E353" i="16"/>
  <c r="D353" i="16"/>
  <c r="H353" i="16" s="1"/>
  <c r="I353" i="16" s="1"/>
  <c r="A353" i="16"/>
  <c r="E352" i="16"/>
  <c r="D352" i="16"/>
  <c r="A352" i="16"/>
  <c r="E351" i="16"/>
  <c r="D351" i="16"/>
  <c r="H351" i="16" s="1"/>
  <c r="I351" i="16" s="1"/>
  <c r="A351" i="16"/>
  <c r="E350" i="16"/>
  <c r="D350" i="16"/>
  <c r="H350" i="16" s="1"/>
  <c r="I350" i="16" s="1"/>
  <c r="A350" i="16"/>
  <c r="E349" i="16"/>
  <c r="D349" i="16"/>
  <c r="A349" i="16"/>
  <c r="E348" i="16"/>
  <c r="D348" i="16"/>
  <c r="A348" i="16"/>
  <c r="E347" i="16"/>
  <c r="D347" i="16"/>
  <c r="A347" i="16"/>
  <c r="E346" i="16"/>
  <c r="D346" i="16"/>
  <c r="A346" i="16"/>
  <c r="E345" i="16"/>
  <c r="D345" i="16"/>
  <c r="A345" i="16"/>
  <c r="E344" i="16"/>
  <c r="D344" i="16"/>
  <c r="A344" i="16"/>
  <c r="E343" i="16"/>
  <c r="D343" i="16"/>
  <c r="A343" i="16"/>
  <c r="E342" i="16"/>
  <c r="D342" i="16"/>
  <c r="H342" i="16" s="1"/>
  <c r="I342" i="16" s="1"/>
  <c r="A342" i="16"/>
  <c r="E341" i="16"/>
  <c r="D341" i="16"/>
  <c r="A341" i="16"/>
  <c r="E340" i="16"/>
  <c r="D340" i="16"/>
  <c r="A340" i="16"/>
  <c r="E339" i="16"/>
  <c r="D339" i="16"/>
  <c r="A339" i="16"/>
  <c r="E338" i="16"/>
  <c r="D338" i="16"/>
  <c r="A338" i="16"/>
  <c r="E337" i="16"/>
  <c r="D337" i="16"/>
  <c r="A337" i="16"/>
  <c r="E336" i="16"/>
  <c r="D336" i="16"/>
  <c r="A336" i="16"/>
  <c r="E335" i="16"/>
  <c r="D335" i="16"/>
  <c r="H335" i="16" s="1"/>
  <c r="I335" i="16" s="1"/>
  <c r="A335" i="16"/>
  <c r="E334" i="16"/>
  <c r="D334" i="16"/>
  <c r="A334" i="16"/>
  <c r="E333" i="16"/>
  <c r="D333" i="16"/>
  <c r="H333" i="16" s="1"/>
  <c r="I333" i="16" s="1"/>
  <c r="A333" i="16"/>
  <c r="E332" i="16"/>
  <c r="D332" i="16"/>
  <c r="H332" i="16" s="1"/>
  <c r="I332" i="16" s="1"/>
  <c r="A332" i="16"/>
  <c r="E331" i="16"/>
  <c r="D331" i="16"/>
  <c r="H331" i="16" s="1"/>
  <c r="I331" i="16" s="1"/>
  <c r="A331" i="16"/>
  <c r="E330" i="16"/>
  <c r="D330" i="16"/>
  <c r="H330" i="16" s="1"/>
  <c r="I330" i="16" s="1"/>
  <c r="A330" i="16"/>
  <c r="E329" i="16"/>
  <c r="D329" i="16"/>
  <c r="H329" i="16" s="1"/>
  <c r="I329" i="16" s="1"/>
  <c r="A329" i="16"/>
  <c r="E328" i="16"/>
  <c r="D328" i="16"/>
  <c r="A328" i="16"/>
  <c r="E327" i="16"/>
  <c r="D327" i="16"/>
  <c r="A327" i="16"/>
  <c r="E326" i="16"/>
  <c r="D326" i="16"/>
  <c r="A326" i="16"/>
  <c r="E325" i="16"/>
  <c r="D325" i="16"/>
  <c r="H325" i="16" s="1"/>
  <c r="I325" i="16" s="1"/>
  <c r="A325" i="16"/>
  <c r="E324" i="16"/>
  <c r="D324" i="16"/>
  <c r="H324" i="16" s="1"/>
  <c r="I324" i="16" s="1"/>
  <c r="A324" i="16"/>
  <c r="E323" i="16"/>
  <c r="D323" i="16"/>
  <c r="A323" i="16"/>
  <c r="E322" i="16"/>
  <c r="D322" i="16"/>
  <c r="H322" i="16" s="1"/>
  <c r="I322" i="16" s="1"/>
  <c r="A322" i="16"/>
  <c r="E321" i="16"/>
  <c r="D321" i="16"/>
  <c r="A321" i="16"/>
  <c r="E320" i="16"/>
  <c r="D320" i="16"/>
  <c r="H320" i="16" s="1"/>
  <c r="I320" i="16" s="1"/>
  <c r="A320" i="16"/>
  <c r="E319" i="16"/>
  <c r="D319" i="16"/>
  <c r="A319" i="16"/>
  <c r="E318" i="16"/>
  <c r="D318" i="16"/>
  <c r="A318" i="16"/>
  <c r="E317" i="16"/>
  <c r="D317" i="16"/>
  <c r="A317" i="16"/>
  <c r="E316" i="16"/>
  <c r="D316" i="16"/>
  <c r="A316" i="16"/>
  <c r="E315" i="16"/>
  <c r="D315" i="16"/>
  <c r="A315" i="16"/>
  <c r="E314" i="16"/>
  <c r="D314" i="16"/>
  <c r="H314" i="16" s="1"/>
  <c r="I314" i="16" s="1"/>
  <c r="A314" i="16"/>
  <c r="E313" i="16"/>
  <c r="D313" i="16"/>
  <c r="A313" i="16"/>
  <c r="E312" i="16"/>
  <c r="D312" i="16"/>
  <c r="A312" i="16"/>
  <c r="E311" i="16"/>
  <c r="D311" i="16"/>
  <c r="A311" i="16"/>
  <c r="E310" i="16"/>
  <c r="D310" i="16"/>
  <c r="A310" i="16"/>
  <c r="E309" i="16"/>
  <c r="D309" i="16"/>
  <c r="H309" i="16" s="1"/>
  <c r="I309" i="16" s="1"/>
  <c r="A309" i="16"/>
  <c r="E308" i="16"/>
  <c r="D308" i="16"/>
  <c r="H308" i="16" s="1"/>
  <c r="I308" i="16" s="1"/>
  <c r="A308" i="16"/>
  <c r="E307" i="16"/>
  <c r="D307" i="16"/>
  <c r="A307" i="16"/>
  <c r="E306" i="16"/>
  <c r="D306" i="16"/>
  <c r="H306" i="16" s="1"/>
  <c r="I306" i="16" s="1"/>
  <c r="A306" i="16"/>
  <c r="E305" i="16"/>
  <c r="D305" i="16"/>
  <c r="A305" i="16"/>
  <c r="E304" i="16"/>
  <c r="D304" i="16"/>
  <c r="H304" i="16" s="1"/>
  <c r="I304" i="16" s="1"/>
  <c r="A304" i="16"/>
  <c r="E303" i="16"/>
  <c r="D303" i="16"/>
  <c r="H303" i="16" s="1"/>
  <c r="I303" i="16" s="1"/>
  <c r="A303" i="16"/>
  <c r="E302" i="16"/>
  <c r="D302" i="16"/>
  <c r="A302" i="16"/>
  <c r="E301" i="16"/>
  <c r="D301" i="16"/>
  <c r="H301" i="16" s="1"/>
  <c r="I301" i="16" s="1"/>
  <c r="A301" i="16"/>
  <c r="E300" i="16"/>
  <c r="D300" i="16"/>
  <c r="A300" i="16"/>
  <c r="E299" i="16"/>
  <c r="D299" i="16"/>
  <c r="A299" i="16"/>
  <c r="E298" i="16"/>
  <c r="D298" i="16"/>
  <c r="H298" i="16" s="1"/>
  <c r="I298" i="16" s="1"/>
  <c r="A298" i="16"/>
  <c r="E297" i="16"/>
  <c r="D297" i="16"/>
  <c r="H297" i="16" s="1"/>
  <c r="I297" i="16" s="1"/>
  <c r="A297" i="16"/>
  <c r="E296" i="16"/>
  <c r="D296" i="16"/>
  <c r="H296" i="16" s="1"/>
  <c r="I296" i="16" s="1"/>
  <c r="A296" i="16"/>
  <c r="E295" i="16"/>
  <c r="D295" i="16"/>
  <c r="A295" i="16"/>
  <c r="E294" i="16"/>
  <c r="D294" i="16"/>
  <c r="A294" i="16"/>
  <c r="E293" i="16"/>
  <c r="D293" i="16"/>
  <c r="H293" i="16" s="1"/>
  <c r="I293" i="16" s="1"/>
  <c r="A293" i="16"/>
  <c r="E292" i="16"/>
  <c r="D292" i="16"/>
  <c r="A292" i="16"/>
  <c r="E291" i="16"/>
  <c r="D291" i="16"/>
  <c r="H291" i="16" s="1"/>
  <c r="I291" i="16" s="1"/>
  <c r="A291" i="16"/>
  <c r="E290" i="16"/>
  <c r="D290" i="16"/>
  <c r="A290" i="16"/>
  <c r="E289" i="16"/>
  <c r="D289" i="16"/>
  <c r="A289" i="16"/>
  <c r="E288" i="16"/>
  <c r="D288" i="16"/>
  <c r="A288" i="16"/>
  <c r="E287" i="16"/>
  <c r="D287" i="16"/>
  <c r="H287" i="16" s="1"/>
  <c r="I287" i="16" s="1"/>
  <c r="A287" i="16"/>
  <c r="E286" i="16"/>
  <c r="D286" i="16"/>
  <c r="H286" i="16" s="1"/>
  <c r="I286" i="16" s="1"/>
  <c r="A286" i="16"/>
  <c r="E285" i="16"/>
  <c r="D285" i="16"/>
  <c r="H285" i="16" s="1"/>
  <c r="I285" i="16" s="1"/>
  <c r="A285" i="16"/>
  <c r="E284" i="16"/>
  <c r="D284" i="16"/>
  <c r="H284" i="16" s="1"/>
  <c r="I284" i="16" s="1"/>
  <c r="A284" i="16"/>
  <c r="E283" i="16"/>
  <c r="D283" i="16"/>
  <c r="A283" i="16"/>
  <c r="E282" i="16"/>
  <c r="D282" i="16"/>
  <c r="A282" i="16"/>
  <c r="E281" i="16"/>
  <c r="D281" i="16"/>
  <c r="A281" i="16"/>
  <c r="E280" i="16"/>
  <c r="D280" i="16"/>
  <c r="A280" i="16"/>
  <c r="E279" i="16"/>
  <c r="D279" i="16"/>
  <c r="A279" i="16"/>
  <c r="E278" i="16"/>
  <c r="D278" i="16"/>
  <c r="A278" i="16"/>
  <c r="E277" i="16"/>
  <c r="D277" i="16"/>
  <c r="A277" i="16"/>
  <c r="E276" i="16"/>
  <c r="D276" i="16"/>
  <c r="A276" i="16"/>
  <c r="E275" i="16"/>
  <c r="D275" i="16"/>
  <c r="A275" i="16"/>
  <c r="E274" i="16"/>
  <c r="D274" i="16"/>
  <c r="A274" i="16"/>
  <c r="E273" i="16"/>
  <c r="D273" i="16"/>
  <c r="H273" i="16" s="1"/>
  <c r="I273" i="16" s="1"/>
  <c r="A273" i="16"/>
  <c r="E272" i="16"/>
  <c r="D272" i="16"/>
  <c r="A272" i="16"/>
  <c r="E271" i="16"/>
  <c r="D271" i="16"/>
  <c r="A271" i="16"/>
  <c r="E270" i="16"/>
  <c r="D270" i="16"/>
  <c r="A270" i="16"/>
  <c r="E269" i="16"/>
  <c r="D269" i="16"/>
  <c r="A269" i="16"/>
  <c r="E268" i="16"/>
  <c r="D268" i="16"/>
  <c r="H268" i="16" s="1"/>
  <c r="I268" i="16" s="1"/>
  <c r="A268" i="16"/>
  <c r="E267" i="16"/>
  <c r="D267" i="16"/>
  <c r="H267" i="16" s="1"/>
  <c r="I267" i="16" s="1"/>
  <c r="A267" i="16"/>
  <c r="E266" i="16"/>
  <c r="D266" i="16"/>
  <c r="H266" i="16" s="1"/>
  <c r="I266" i="16" s="1"/>
  <c r="A266" i="16"/>
  <c r="E265" i="16"/>
  <c r="D265" i="16"/>
  <c r="H265" i="16" s="1"/>
  <c r="I265" i="16" s="1"/>
  <c r="A265" i="16"/>
  <c r="E264" i="16"/>
  <c r="D264" i="16"/>
  <c r="A264" i="16"/>
  <c r="E263" i="16"/>
  <c r="D263" i="16"/>
  <c r="H263" i="16" s="1"/>
  <c r="I263" i="16" s="1"/>
  <c r="A263" i="16"/>
  <c r="E262" i="16"/>
  <c r="D262" i="16"/>
  <c r="A262" i="16"/>
  <c r="E261" i="16"/>
  <c r="D261" i="16"/>
  <c r="A261" i="16"/>
  <c r="E260" i="16"/>
  <c r="D260" i="16"/>
  <c r="H260" i="16" s="1"/>
  <c r="I260" i="16" s="1"/>
  <c r="A260" i="16"/>
  <c r="E259" i="16"/>
  <c r="D259" i="16"/>
  <c r="A259" i="16"/>
  <c r="E258" i="16"/>
  <c r="D258" i="16"/>
  <c r="A258" i="16"/>
  <c r="E257" i="16"/>
  <c r="D257" i="16"/>
  <c r="H257" i="16" s="1"/>
  <c r="I257" i="16" s="1"/>
  <c r="A257" i="16"/>
  <c r="E256" i="16"/>
  <c r="D256" i="16"/>
  <c r="H256" i="16" s="1"/>
  <c r="I256" i="16" s="1"/>
  <c r="A256" i="16"/>
  <c r="E255" i="16"/>
  <c r="D255" i="16"/>
  <c r="A255" i="16"/>
  <c r="E254" i="16"/>
  <c r="D254" i="16"/>
  <c r="H254" i="16" s="1"/>
  <c r="I254" i="16" s="1"/>
  <c r="A254" i="16"/>
  <c r="E253" i="16"/>
  <c r="D253" i="16"/>
  <c r="A253" i="16"/>
  <c r="E252" i="16"/>
  <c r="D252" i="16"/>
  <c r="A252" i="16"/>
  <c r="E251" i="16"/>
  <c r="D251" i="16"/>
  <c r="A251" i="16"/>
  <c r="E250" i="16"/>
  <c r="D250" i="16"/>
  <c r="A250" i="16"/>
  <c r="E249" i="16"/>
  <c r="D249" i="16"/>
  <c r="H249" i="16" s="1"/>
  <c r="I249" i="16" s="1"/>
  <c r="A249" i="16"/>
  <c r="E248" i="16"/>
  <c r="D248" i="16"/>
  <c r="A248" i="16"/>
  <c r="E247" i="16"/>
  <c r="D247" i="16"/>
  <c r="A247" i="16"/>
  <c r="E246" i="16"/>
  <c r="D246" i="16"/>
  <c r="A246" i="16"/>
  <c r="E245" i="16"/>
  <c r="D245" i="16"/>
  <c r="H245" i="16" s="1"/>
  <c r="I245" i="16" s="1"/>
  <c r="A245" i="16"/>
  <c r="E244" i="16"/>
  <c r="D244" i="16"/>
  <c r="A244" i="16"/>
  <c r="E243" i="16"/>
  <c r="D243" i="16"/>
  <c r="H243" i="16" s="1"/>
  <c r="I243" i="16" s="1"/>
  <c r="A243" i="16"/>
  <c r="E242" i="16"/>
  <c r="D242" i="16"/>
  <c r="A242" i="16"/>
  <c r="E241" i="16"/>
  <c r="D241" i="16"/>
  <c r="A241" i="16"/>
  <c r="E240" i="16"/>
  <c r="D240" i="16"/>
  <c r="A240" i="16"/>
  <c r="E239" i="16"/>
  <c r="D239" i="16"/>
  <c r="H239" i="16" s="1"/>
  <c r="I239" i="16" s="1"/>
  <c r="A239" i="16"/>
  <c r="E238" i="16"/>
  <c r="D238" i="16"/>
  <c r="H238" i="16" s="1"/>
  <c r="I238" i="16" s="1"/>
  <c r="A238" i="16"/>
  <c r="E237" i="16"/>
  <c r="D237" i="16"/>
  <c r="H237" i="16" s="1"/>
  <c r="I237" i="16" s="1"/>
  <c r="A237" i="16"/>
  <c r="E236" i="16"/>
  <c r="D236" i="16"/>
  <c r="A236" i="16"/>
  <c r="E235" i="16"/>
  <c r="D235" i="16"/>
  <c r="A235" i="16"/>
  <c r="E234" i="16"/>
  <c r="D234" i="16"/>
  <c r="H234" i="16" s="1"/>
  <c r="I234" i="16" s="1"/>
  <c r="A234" i="16"/>
  <c r="E233" i="16"/>
  <c r="D233" i="16"/>
  <c r="H233" i="16" s="1"/>
  <c r="I233" i="16" s="1"/>
  <c r="A233" i="16"/>
  <c r="E232" i="16"/>
  <c r="D232" i="16"/>
  <c r="H232" i="16" s="1"/>
  <c r="I232" i="16" s="1"/>
  <c r="A232" i="16"/>
  <c r="E231" i="16"/>
  <c r="D231" i="16"/>
  <c r="H231" i="16" s="1"/>
  <c r="I231" i="16" s="1"/>
  <c r="A231" i="16"/>
  <c r="E230" i="16"/>
  <c r="D230" i="16"/>
  <c r="A230" i="16"/>
  <c r="E229" i="16"/>
  <c r="D229" i="16"/>
  <c r="H229" i="16" s="1"/>
  <c r="I229" i="16" s="1"/>
  <c r="A229" i="16"/>
  <c r="E228" i="16"/>
  <c r="D228" i="16"/>
  <c r="A228" i="16"/>
  <c r="E227" i="16"/>
  <c r="D227" i="16"/>
  <c r="H227" i="16" s="1"/>
  <c r="I227" i="16" s="1"/>
  <c r="A227" i="16"/>
  <c r="E226" i="16"/>
  <c r="D226" i="16"/>
  <c r="A226" i="16"/>
  <c r="E225" i="16"/>
  <c r="D225" i="16"/>
  <c r="A225" i="16"/>
  <c r="E224" i="16"/>
  <c r="D224" i="16"/>
  <c r="H224" i="16" s="1"/>
  <c r="I224" i="16" s="1"/>
  <c r="A224" i="16"/>
  <c r="E223" i="16"/>
  <c r="D223" i="16"/>
  <c r="H223" i="16" s="1"/>
  <c r="I223" i="16" s="1"/>
  <c r="A223" i="16"/>
  <c r="E222" i="16"/>
  <c r="D222" i="16"/>
  <c r="A222" i="16"/>
  <c r="E221" i="16"/>
  <c r="D221" i="16"/>
  <c r="H221" i="16" s="1"/>
  <c r="I221" i="16" s="1"/>
  <c r="A221" i="16"/>
  <c r="E220" i="16"/>
  <c r="D220" i="16"/>
  <c r="H220" i="16" s="1"/>
  <c r="I220" i="16" s="1"/>
  <c r="A220" i="16"/>
  <c r="E219" i="16"/>
  <c r="D219" i="16"/>
  <c r="A219" i="16"/>
  <c r="E218" i="16"/>
  <c r="D218" i="16"/>
  <c r="H218" i="16" s="1"/>
  <c r="I218" i="16" s="1"/>
  <c r="A218" i="16"/>
  <c r="E217" i="16"/>
  <c r="D217" i="16"/>
  <c r="A217" i="16"/>
  <c r="E216" i="16"/>
  <c r="D216" i="16"/>
  <c r="A216" i="16"/>
  <c r="E215" i="16"/>
  <c r="D215" i="16"/>
  <c r="H215" i="16" s="1"/>
  <c r="I215" i="16" s="1"/>
  <c r="A215" i="16"/>
  <c r="E214" i="16"/>
  <c r="D214" i="16"/>
  <c r="H214" i="16" s="1"/>
  <c r="I214" i="16" s="1"/>
  <c r="A214" i="16"/>
  <c r="E213" i="16"/>
  <c r="D213" i="16"/>
  <c r="A213" i="16"/>
  <c r="E212" i="16"/>
  <c r="D212" i="16"/>
  <c r="H212" i="16" s="1"/>
  <c r="I212" i="16" s="1"/>
  <c r="A212" i="16"/>
  <c r="E211" i="16"/>
  <c r="D211" i="16"/>
  <c r="A211" i="16"/>
  <c r="E210" i="16"/>
  <c r="D210" i="16"/>
  <c r="A210" i="16"/>
  <c r="E209" i="16"/>
  <c r="D209" i="16"/>
  <c r="H209" i="16" s="1"/>
  <c r="I209" i="16" s="1"/>
  <c r="A209" i="16"/>
  <c r="E208" i="16"/>
  <c r="D208" i="16"/>
  <c r="A208" i="16"/>
  <c r="E207" i="16"/>
  <c r="D207" i="16"/>
  <c r="A207" i="16"/>
  <c r="E206" i="16"/>
  <c r="D206" i="16"/>
  <c r="A206" i="16"/>
  <c r="E205" i="16"/>
  <c r="D205" i="16"/>
  <c r="H205" i="16" s="1"/>
  <c r="I205" i="16" s="1"/>
  <c r="A205" i="16"/>
  <c r="E204" i="16"/>
  <c r="D204" i="16"/>
  <c r="H204" i="16" s="1"/>
  <c r="I204" i="16" s="1"/>
  <c r="A204" i="16"/>
  <c r="E203" i="16"/>
  <c r="D203" i="16"/>
  <c r="A203" i="16"/>
  <c r="E202" i="16"/>
  <c r="D202" i="16"/>
  <c r="H202" i="16" s="1"/>
  <c r="I202" i="16" s="1"/>
  <c r="A202" i="16"/>
  <c r="E201" i="16"/>
  <c r="D201" i="16"/>
  <c r="A201" i="16"/>
  <c r="E200" i="16"/>
  <c r="D200" i="16"/>
  <c r="A200" i="16"/>
  <c r="E199" i="16"/>
  <c r="D199" i="16"/>
  <c r="A199" i="16"/>
  <c r="E198" i="16"/>
  <c r="D198" i="16"/>
  <c r="H198" i="16" s="1"/>
  <c r="I198" i="16" s="1"/>
  <c r="A198" i="16"/>
  <c r="E197" i="16"/>
  <c r="D197" i="16"/>
  <c r="H197" i="16" s="1"/>
  <c r="I197" i="16" s="1"/>
  <c r="A197" i="16"/>
  <c r="E196" i="16"/>
  <c r="D196" i="16"/>
  <c r="A196" i="16"/>
  <c r="E195" i="16"/>
  <c r="D195" i="16"/>
  <c r="A195" i="16"/>
  <c r="E194" i="16"/>
  <c r="D194" i="16"/>
  <c r="A194" i="16"/>
  <c r="E193" i="16"/>
  <c r="D193" i="16"/>
  <c r="H193" i="16" s="1"/>
  <c r="I193" i="16" s="1"/>
  <c r="A193" i="16"/>
  <c r="E192" i="16"/>
  <c r="D192" i="16"/>
  <c r="A192" i="16"/>
  <c r="E191" i="16"/>
  <c r="D191" i="16"/>
  <c r="A191" i="16"/>
  <c r="E190" i="16"/>
  <c r="D190" i="16"/>
  <c r="H190" i="16" s="1"/>
  <c r="I190" i="16" s="1"/>
  <c r="A190" i="16"/>
  <c r="E189" i="16"/>
  <c r="D189" i="16"/>
  <c r="A189" i="16"/>
  <c r="E188" i="16"/>
  <c r="D188" i="16"/>
  <c r="H188" i="16" s="1"/>
  <c r="I188" i="16" s="1"/>
  <c r="A188" i="16"/>
  <c r="E187" i="16"/>
  <c r="D187" i="16"/>
  <c r="A187" i="16"/>
  <c r="E186" i="16"/>
  <c r="D186" i="16"/>
  <c r="A186" i="16"/>
  <c r="E185" i="16"/>
  <c r="D185" i="16"/>
  <c r="A185" i="16"/>
  <c r="E184" i="16"/>
  <c r="D184" i="16"/>
  <c r="H184" i="16" s="1"/>
  <c r="I184" i="16" s="1"/>
  <c r="A184" i="16"/>
  <c r="E183" i="16"/>
  <c r="D183" i="16"/>
  <c r="H183" i="16" s="1"/>
  <c r="I183" i="16" s="1"/>
  <c r="A183" i="16"/>
  <c r="E182" i="16"/>
  <c r="D182" i="16"/>
  <c r="H182" i="16" s="1"/>
  <c r="I182" i="16" s="1"/>
  <c r="A182" i="16"/>
  <c r="E181" i="16"/>
  <c r="D181" i="16"/>
  <c r="A181" i="16"/>
  <c r="E180" i="16"/>
  <c r="D180" i="16"/>
  <c r="A180" i="16"/>
  <c r="E179" i="16"/>
  <c r="D179" i="16"/>
  <c r="H179" i="16" s="1"/>
  <c r="I179" i="16" s="1"/>
  <c r="A179" i="16"/>
  <c r="E178" i="16"/>
  <c r="D178" i="16"/>
  <c r="A178" i="16"/>
  <c r="E177" i="16"/>
  <c r="D177" i="16"/>
  <c r="H177" i="16" s="1"/>
  <c r="I177" i="16" s="1"/>
  <c r="A177" i="16"/>
  <c r="E176" i="16"/>
  <c r="D176" i="16"/>
  <c r="H176" i="16" s="1"/>
  <c r="I176" i="16" s="1"/>
  <c r="A176" i="16"/>
  <c r="E175" i="16"/>
  <c r="D175" i="16"/>
  <c r="H175" i="16" s="1"/>
  <c r="I175" i="16" s="1"/>
  <c r="A175" i="16"/>
  <c r="E174" i="16"/>
  <c r="D174" i="16"/>
  <c r="A174" i="16"/>
  <c r="E173" i="16"/>
  <c r="D173" i="16"/>
  <c r="H173" i="16" s="1"/>
  <c r="I173" i="16" s="1"/>
  <c r="A173" i="16"/>
  <c r="E172" i="16"/>
  <c r="D172" i="16"/>
  <c r="H172" i="16" s="1"/>
  <c r="I172" i="16" s="1"/>
  <c r="A172" i="16"/>
  <c r="E171" i="16"/>
  <c r="D171" i="16"/>
  <c r="H171" i="16" s="1"/>
  <c r="I171" i="16" s="1"/>
  <c r="A171" i="16"/>
  <c r="E170" i="16"/>
  <c r="D170" i="16"/>
  <c r="H170" i="16" s="1"/>
  <c r="I170" i="16" s="1"/>
  <c r="A170" i="16"/>
  <c r="E169" i="16"/>
  <c r="D169" i="16"/>
  <c r="H169" i="16" s="1"/>
  <c r="I169" i="16" s="1"/>
  <c r="A169" i="16"/>
  <c r="E168" i="16"/>
  <c r="D168" i="16"/>
  <c r="H168" i="16" s="1"/>
  <c r="I168" i="16" s="1"/>
  <c r="A168" i="16"/>
  <c r="E167" i="16"/>
  <c r="D167" i="16"/>
  <c r="A167" i="16"/>
  <c r="E166" i="16"/>
  <c r="D166" i="16"/>
  <c r="A166" i="16"/>
  <c r="E165" i="16"/>
  <c r="D165" i="16"/>
  <c r="H165" i="16" s="1"/>
  <c r="I165" i="16" s="1"/>
  <c r="A165" i="16"/>
  <c r="E164" i="16"/>
  <c r="D164" i="16"/>
  <c r="H164" i="16" s="1"/>
  <c r="I164" i="16" s="1"/>
  <c r="A164" i="16"/>
  <c r="E163" i="16"/>
  <c r="D163" i="16"/>
  <c r="H163" i="16" s="1"/>
  <c r="I163" i="16" s="1"/>
  <c r="A163" i="16"/>
  <c r="E162" i="16"/>
  <c r="D162" i="16"/>
  <c r="H162" i="16" s="1"/>
  <c r="I162" i="16" s="1"/>
  <c r="A162" i="16"/>
  <c r="E161" i="16"/>
  <c r="D161" i="16"/>
  <c r="H161" i="16" s="1"/>
  <c r="I161" i="16" s="1"/>
  <c r="A161" i="16"/>
  <c r="E160" i="16"/>
  <c r="D160" i="16"/>
  <c r="A160" i="16"/>
  <c r="E159" i="16"/>
  <c r="D159" i="16"/>
  <c r="A159" i="16"/>
  <c r="E158" i="16"/>
  <c r="D158" i="16"/>
  <c r="A158" i="16"/>
  <c r="E157" i="16"/>
  <c r="D157" i="16"/>
  <c r="H157" i="16" s="1"/>
  <c r="I157" i="16" s="1"/>
  <c r="A157" i="16"/>
  <c r="E156" i="16"/>
  <c r="D156" i="16"/>
  <c r="A156" i="16"/>
  <c r="E155" i="16"/>
  <c r="D155" i="16"/>
  <c r="A155" i="16"/>
  <c r="E154" i="16"/>
  <c r="D154" i="16"/>
  <c r="H154" i="16" s="1"/>
  <c r="I154" i="16" s="1"/>
  <c r="A154" i="16"/>
  <c r="E153" i="16"/>
  <c r="D153" i="16"/>
  <c r="A153" i="16"/>
  <c r="E152" i="16"/>
  <c r="D152" i="16"/>
  <c r="A152" i="16"/>
  <c r="E151" i="16"/>
  <c r="D151" i="16"/>
  <c r="H151" i="16" s="1"/>
  <c r="I151" i="16" s="1"/>
  <c r="A151" i="16"/>
  <c r="E150" i="16"/>
  <c r="D150" i="16"/>
  <c r="H150" i="16" s="1"/>
  <c r="I150" i="16" s="1"/>
  <c r="A150" i="16"/>
  <c r="E149" i="16"/>
  <c r="D149" i="16"/>
  <c r="H149" i="16" s="1"/>
  <c r="I149" i="16" s="1"/>
  <c r="A149" i="16"/>
  <c r="E148" i="16"/>
  <c r="D148" i="16"/>
  <c r="A148" i="16"/>
  <c r="E147" i="16"/>
  <c r="D147" i="16"/>
  <c r="A147" i="16"/>
  <c r="E146" i="16"/>
  <c r="D146" i="16"/>
  <c r="H146" i="16" s="1"/>
  <c r="I146" i="16" s="1"/>
  <c r="A146" i="16"/>
  <c r="E145" i="16"/>
  <c r="D145" i="16"/>
  <c r="A145" i="16"/>
  <c r="E144" i="16"/>
  <c r="D144" i="16"/>
  <c r="H144" i="16" s="1"/>
  <c r="I144" i="16" s="1"/>
  <c r="A144" i="16"/>
  <c r="E143" i="16"/>
  <c r="D143" i="16"/>
  <c r="A143" i="16"/>
  <c r="E142" i="16"/>
  <c r="D142" i="16"/>
  <c r="A142" i="16"/>
  <c r="E141" i="16"/>
  <c r="D141" i="16"/>
  <c r="H141" i="16" s="1"/>
  <c r="I141" i="16" s="1"/>
  <c r="A141" i="16"/>
  <c r="E140" i="16"/>
  <c r="D140" i="16"/>
  <c r="A140" i="16"/>
  <c r="E139" i="16"/>
  <c r="D139" i="16"/>
  <c r="H139" i="16" s="1"/>
  <c r="I139" i="16" s="1"/>
  <c r="A139" i="16"/>
  <c r="E138" i="16"/>
  <c r="D138" i="16"/>
  <c r="H138" i="16" s="1"/>
  <c r="I138" i="16" s="1"/>
  <c r="A138" i="16"/>
  <c r="E137" i="16"/>
  <c r="D137" i="16"/>
  <c r="A137" i="16"/>
  <c r="E136" i="16"/>
  <c r="D136" i="16"/>
  <c r="H136" i="16" s="1"/>
  <c r="I136" i="16" s="1"/>
  <c r="A136" i="16"/>
  <c r="E135" i="16"/>
  <c r="D135" i="16"/>
  <c r="H135" i="16" s="1"/>
  <c r="I135" i="16" s="1"/>
  <c r="A135" i="16"/>
  <c r="E134" i="16"/>
  <c r="D134" i="16"/>
  <c r="A134" i="16"/>
  <c r="E133" i="16"/>
  <c r="D133" i="16"/>
  <c r="H133" i="16" s="1"/>
  <c r="I133" i="16" s="1"/>
  <c r="A133" i="16"/>
  <c r="E132" i="16"/>
  <c r="D132" i="16"/>
  <c r="A132" i="16"/>
  <c r="E131" i="16"/>
  <c r="D131" i="16"/>
  <c r="A131" i="16"/>
  <c r="E130" i="16"/>
  <c r="D130" i="16"/>
  <c r="A130" i="16"/>
  <c r="E129" i="16"/>
  <c r="D129" i="16"/>
  <c r="H129" i="16" s="1"/>
  <c r="I129" i="16" s="1"/>
  <c r="A129" i="16"/>
  <c r="E128" i="16"/>
  <c r="D128" i="16"/>
  <c r="A128" i="16"/>
  <c r="E127" i="16"/>
  <c r="D127" i="16"/>
  <c r="A127" i="16"/>
  <c r="E126" i="16"/>
  <c r="D126" i="16"/>
  <c r="H126" i="16" s="1"/>
  <c r="I126" i="16" s="1"/>
  <c r="A126" i="16"/>
  <c r="E125" i="16"/>
  <c r="D125" i="16"/>
  <c r="A125" i="16"/>
  <c r="E124" i="16"/>
  <c r="D124" i="16"/>
  <c r="A124" i="16"/>
  <c r="E123" i="16"/>
  <c r="D123" i="16"/>
  <c r="A123" i="16"/>
  <c r="E122" i="16"/>
  <c r="D122" i="16"/>
  <c r="A122" i="16"/>
  <c r="E121" i="16"/>
  <c r="D121" i="16"/>
  <c r="A121" i="16"/>
  <c r="E120" i="16"/>
  <c r="D120" i="16"/>
  <c r="A120" i="16"/>
  <c r="E119" i="16"/>
  <c r="D119" i="16"/>
  <c r="H119" i="16" s="1"/>
  <c r="I119" i="16" s="1"/>
  <c r="A119" i="16"/>
  <c r="E118" i="16"/>
  <c r="D118" i="16"/>
  <c r="A118" i="16"/>
  <c r="E117" i="16"/>
  <c r="D117" i="16"/>
  <c r="A117" i="16"/>
  <c r="E116" i="16"/>
  <c r="D116" i="16"/>
  <c r="A116" i="16"/>
  <c r="E115" i="16"/>
  <c r="D115" i="16"/>
  <c r="H115" i="16" s="1"/>
  <c r="I115" i="16" s="1"/>
  <c r="A115" i="16"/>
  <c r="E114" i="16"/>
  <c r="D114" i="16"/>
  <c r="A114" i="16"/>
  <c r="E113" i="16"/>
  <c r="D113" i="16"/>
  <c r="A113" i="16"/>
  <c r="E112" i="16"/>
  <c r="D112" i="16"/>
  <c r="A112" i="16"/>
  <c r="E111" i="16"/>
  <c r="D111" i="16"/>
  <c r="A111" i="16"/>
  <c r="E110" i="16"/>
  <c r="D110" i="16"/>
  <c r="H110" i="16" s="1"/>
  <c r="I110" i="16" s="1"/>
  <c r="A110" i="16"/>
  <c r="E109" i="16"/>
  <c r="D109" i="16"/>
  <c r="A109" i="16"/>
  <c r="E108" i="16"/>
  <c r="D108" i="16"/>
  <c r="A108" i="16"/>
  <c r="E107" i="16"/>
  <c r="D107" i="16"/>
  <c r="H107" i="16" s="1"/>
  <c r="I107" i="16" s="1"/>
  <c r="A107" i="16"/>
  <c r="E106" i="16"/>
  <c r="D106" i="16"/>
  <c r="A106" i="16"/>
  <c r="E105" i="16"/>
  <c r="D105" i="16"/>
  <c r="A105" i="16"/>
  <c r="E104" i="16"/>
  <c r="D104" i="16"/>
  <c r="A104" i="16"/>
  <c r="E103" i="16"/>
  <c r="D103" i="16"/>
  <c r="A103" i="16"/>
  <c r="E102" i="16"/>
  <c r="D102" i="16"/>
  <c r="A102" i="16"/>
  <c r="E101" i="16"/>
  <c r="D101" i="16"/>
  <c r="A101" i="16"/>
  <c r="E100" i="16"/>
  <c r="D100" i="16"/>
  <c r="A100" i="16"/>
  <c r="E99" i="16"/>
  <c r="D99" i="16"/>
  <c r="H99" i="16" s="1"/>
  <c r="I99" i="16" s="1"/>
  <c r="A99" i="16"/>
  <c r="E98" i="16"/>
  <c r="D98" i="16"/>
  <c r="H98" i="16" s="1"/>
  <c r="I98" i="16" s="1"/>
  <c r="A98" i="16"/>
  <c r="E97" i="16"/>
  <c r="D97" i="16"/>
  <c r="H97" i="16" s="1"/>
  <c r="I97" i="16" s="1"/>
  <c r="A97" i="16"/>
  <c r="E96" i="16"/>
  <c r="D96" i="16"/>
  <c r="A96" i="16"/>
  <c r="E95" i="16"/>
  <c r="D95" i="16"/>
  <c r="H95" i="16" s="1"/>
  <c r="I95" i="16" s="1"/>
  <c r="A95" i="16"/>
  <c r="E94" i="16"/>
  <c r="D94" i="16"/>
  <c r="H94" i="16" s="1"/>
  <c r="I94" i="16" s="1"/>
  <c r="A94" i="16"/>
  <c r="E93" i="16"/>
  <c r="D93" i="16"/>
  <c r="H93" i="16" s="1"/>
  <c r="I93" i="16" s="1"/>
  <c r="A93" i="16"/>
  <c r="E92" i="16"/>
  <c r="D92" i="16"/>
  <c r="H92" i="16" s="1"/>
  <c r="I92" i="16" s="1"/>
  <c r="A92" i="16"/>
  <c r="E91" i="16"/>
  <c r="D91" i="16"/>
  <c r="A91" i="16"/>
  <c r="E90" i="16"/>
  <c r="D90" i="16"/>
  <c r="H90" i="16" s="1"/>
  <c r="I90" i="16" s="1"/>
  <c r="A90" i="16"/>
  <c r="E89" i="16"/>
  <c r="D89" i="16"/>
  <c r="H89" i="16" s="1"/>
  <c r="I89" i="16" s="1"/>
  <c r="A89" i="16"/>
  <c r="E88" i="16"/>
  <c r="D88" i="16"/>
  <c r="A88" i="16"/>
  <c r="E87" i="16"/>
  <c r="D87" i="16"/>
  <c r="A87" i="16"/>
  <c r="E86" i="16"/>
  <c r="D86" i="16"/>
  <c r="H86" i="16" s="1"/>
  <c r="I86" i="16" s="1"/>
  <c r="A86" i="16"/>
  <c r="E85" i="16"/>
  <c r="D85" i="16"/>
  <c r="A85" i="16"/>
  <c r="E84" i="16"/>
  <c r="D84" i="16"/>
  <c r="H84" i="16" s="1"/>
  <c r="I84" i="16" s="1"/>
  <c r="A84" i="16"/>
  <c r="E83" i="16"/>
  <c r="D83" i="16"/>
  <c r="H83" i="16" s="1"/>
  <c r="I83" i="16" s="1"/>
  <c r="A83" i="16"/>
  <c r="E82" i="16"/>
  <c r="D82" i="16"/>
  <c r="A82" i="16"/>
  <c r="E81" i="16"/>
  <c r="D81" i="16"/>
  <c r="A81" i="16"/>
  <c r="E80" i="16"/>
  <c r="D80" i="16"/>
  <c r="H80" i="16" s="1"/>
  <c r="I80" i="16" s="1"/>
  <c r="A80" i="16"/>
  <c r="E79" i="16"/>
  <c r="D79" i="16"/>
  <c r="A79" i="16"/>
  <c r="E78" i="16"/>
  <c r="D78" i="16"/>
  <c r="H78" i="16" s="1"/>
  <c r="I78" i="16" s="1"/>
  <c r="A78" i="16"/>
  <c r="E77" i="16"/>
  <c r="D77" i="16"/>
  <c r="A77" i="16"/>
  <c r="E76" i="16"/>
  <c r="D76" i="16"/>
  <c r="A76" i="16"/>
  <c r="E75" i="16"/>
  <c r="D75" i="16"/>
  <c r="A75" i="16"/>
  <c r="E74" i="16"/>
  <c r="D74" i="16"/>
  <c r="H74" i="16" s="1"/>
  <c r="I74" i="16" s="1"/>
  <c r="A74" i="16"/>
  <c r="E73" i="16"/>
  <c r="D73" i="16"/>
  <c r="A73" i="16"/>
  <c r="E72" i="16"/>
  <c r="D72" i="16"/>
  <c r="A72" i="16"/>
  <c r="E71" i="16"/>
  <c r="D71" i="16"/>
  <c r="A71" i="16"/>
  <c r="E70" i="16"/>
  <c r="D70" i="16"/>
  <c r="A70" i="16"/>
  <c r="E69" i="16"/>
  <c r="D69" i="16"/>
  <c r="A69" i="16"/>
  <c r="E68" i="16"/>
  <c r="D68" i="16"/>
  <c r="H68" i="16" s="1"/>
  <c r="I68" i="16" s="1"/>
  <c r="A68" i="16"/>
  <c r="E67" i="16"/>
  <c r="D67" i="16"/>
  <c r="H67" i="16" s="1"/>
  <c r="I67" i="16" s="1"/>
  <c r="A67" i="16"/>
  <c r="E66" i="16"/>
  <c r="D66" i="16"/>
  <c r="A66" i="16"/>
  <c r="E65" i="16"/>
  <c r="D65" i="16"/>
  <c r="A65" i="16"/>
  <c r="E64" i="16"/>
  <c r="D64" i="16"/>
  <c r="A64" i="16"/>
  <c r="E63" i="16"/>
  <c r="D63" i="16"/>
  <c r="A63" i="16"/>
  <c r="E62" i="16"/>
  <c r="D62" i="16"/>
  <c r="H62" i="16" s="1"/>
  <c r="I62" i="16" s="1"/>
  <c r="A62" i="16"/>
  <c r="E61" i="16"/>
  <c r="D61" i="16"/>
  <c r="A61" i="16"/>
  <c r="E60" i="16"/>
  <c r="D60" i="16"/>
  <c r="A60" i="16"/>
  <c r="E59" i="16"/>
  <c r="D59" i="16"/>
  <c r="A59" i="16"/>
  <c r="E58" i="16"/>
  <c r="D58" i="16"/>
  <c r="A58" i="16"/>
  <c r="E57" i="16"/>
  <c r="D57" i="16"/>
  <c r="H57" i="16" s="1"/>
  <c r="I57" i="16" s="1"/>
  <c r="A57" i="16"/>
  <c r="E56" i="16"/>
  <c r="D56" i="16"/>
  <c r="H56" i="16" s="1"/>
  <c r="I56" i="16" s="1"/>
  <c r="A56" i="16"/>
  <c r="E55" i="16"/>
  <c r="D55" i="16"/>
  <c r="A55" i="16"/>
  <c r="E54" i="16"/>
  <c r="D54" i="16"/>
  <c r="H54" i="16" s="1"/>
  <c r="I54" i="16" s="1"/>
  <c r="A54" i="16"/>
  <c r="E53" i="16"/>
  <c r="D53" i="16"/>
  <c r="H53" i="16" s="1"/>
  <c r="I53" i="16" s="1"/>
  <c r="A53" i="16"/>
  <c r="E52" i="16"/>
  <c r="D52" i="16"/>
  <c r="A52" i="16"/>
  <c r="E51" i="16"/>
  <c r="D51" i="16"/>
  <c r="H51" i="16" s="1"/>
  <c r="I51" i="16" s="1"/>
  <c r="A51" i="16"/>
  <c r="E50" i="16"/>
  <c r="D50" i="16"/>
  <c r="A50" i="16"/>
  <c r="E49" i="16"/>
  <c r="D49" i="16"/>
  <c r="A49" i="16"/>
  <c r="E48" i="16"/>
  <c r="D48" i="16"/>
  <c r="A48" i="16"/>
  <c r="E47" i="16"/>
  <c r="D47" i="16"/>
  <c r="H47" i="16" s="1"/>
  <c r="I47" i="16" s="1"/>
  <c r="A47" i="16"/>
  <c r="E46" i="16"/>
  <c r="D46" i="16"/>
  <c r="A46" i="16"/>
  <c r="E45" i="16"/>
  <c r="D45" i="16"/>
  <c r="H45" i="16" s="1"/>
  <c r="I45" i="16" s="1"/>
  <c r="A45" i="16"/>
  <c r="E44" i="16"/>
  <c r="D44" i="16"/>
  <c r="H44" i="16" s="1"/>
  <c r="I44" i="16" s="1"/>
  <c r="A44" i="16"/>
  <c r="E43" i="16"/>
  <c r="D43" i="16"/>
  <c r="A43" i="16"/>
  <c r="E42" i="16"/>
  <c r="D42" i="16"/>
  <c r="H42" i="16" s="1"/>
  <c r="I42" i="16" s="1"/>
  <c r="A42" i="16"/>
  <c r="E41" i="16"/>
  <c r="D41" i="16"/>
  <c r="A41" i="16"/>
  <c r="E40" i="16"/>
  <c r="D40" i="16"/>
  <c r="A40" i="16"/>
  <c r="E39" i="16"/>
  <c r="D39" i="16"/>
  <c r="H39" i="16" s="1"/>
  <c r="I39" i="16" s="1"/>
  <c r="A39" i="16"/>
  <c r="E38" i="16"/>
  <c r="D38" i="16"/>
  <c r="H38" i="16" s="1"/>
  <c r="I38" i="16" s="1"/>
  <c r="A38" i="16"/>
  <c r="E37" i="16"/>
  <c r="D37" i="16"/>
  <c r="H37" i="16" s="1"/>
  <c r="I37" i="16" s="1"/>
  <c r="A37" i="16"/>
  <c r="E36" i="16"/>
  <c r="D36" i="16"/>
  <c r="H36" i="16" s="1"/>
  <c r="I36" i="16" s="1"/>
  <c r="A36" i="16"/>
  <c r="AE35" i="16"/>
  <c r="AE36" i="16" s="1"/>
  <c r="AE37" i="16" s="1"/>
  <c r="AE38" i="16" s="1"/>
  <c r="AE39" i="16" s="1"/>
  <c r="AE40" i="16" s="1"/>
  <c r="AE41" i="16" s="1"/>
  <c r="AE42" i="16" s="1"/>
  <c r="AE43" i="16" s="1"/>
  <c r="AE44" i="16" s="1"/>
  <c r="AE45" i="16" s="1"/>
  <c r="AE46" i="16" s="1"/>
  <c r="AE47" i="16" s="1"/>
  <c r="AE48" i="16" s="1"/>
  <c r="AE49" i="16" s="1"/>
  <c r="AE50" i="16" s="1"/>
  <c r="AE51" i="16" s="1"/>
  <c r="AE52" i="16" s="1"/>
  <c r="AE53" i="16" s="1"/>
  <c r="AE54" i="16" s="1"/>
  <c r="AE55" i="16" s="1"/>
  <c r="AE56" i="16" s="1"/>
  <c r="AE57" i="16" s="1"/>
  <c r="AE58" i="16" s="1"/>
  <c r="AE59" i="16" s="1"/>
  <c r="AE60" i="16" s="1"/>
  <c r="AE61" i="16" s="1"/>
  <c r="AE62" i="16" s="1"/>
  <c r="AE63" i="16" s="1"/>
  <c r="AE64" i="16" s="1"/>
  <c r="AE65" i="16" s="1"/>
  <c r="AE66" i="16" s="1"/>
  <c r="AE67" i="16" s="1"/>
  <c r="AE68" i="16" s="1"/>
  <c r="AE69" i="16" s="1"/>
  <c r="AE70" i="16" s="1"/>
  <c r="AE71" i="16" s="1"/>
  <c r="AE72" i="16" s="1"/>
  <c r="AE73" i="16" s="1"/>
  <c r="AE74" i="16" s="1"/>
  <c r="AE75" i="16" s="1"/>
  <c r="AE76" i="16" s="1"/>
  <c r="AE77" i="16" s="1"/>
  <c r="AE78" i="16" s="1"/>
  <c r="AE79" i="16" s="1"/>
  <c r="AE80" i="16" s="1"/>
  <c r="AE81" i="16" s="1"/>
  <c r="AE82" i="16" s="1"/>
  <c r="AE83" i="16" s="1"/>
  <c r="AE84" i="16" s="1"/>
  <c r="AE85" i="16" s="1"/>
  <c r="AE86" i="16" s="1"/>
  <c r="AE87" i="16" s="1"/>
  <c r="AE88" i="16" s="1"/>
  <c r="AE89" i="16" s="1"/>
  <c r="AE90" i="16" s="1"/>
  <c r="AE91" i="16" s="1"/>
  <c r="AE92" i="16" s="1"/>
  <c r="AE93" i="16" s="1"/>
  <c r="AE94" i="16" s="1"/>
  <c r="AE95" i="16" s="1"/>
  <c r="AE96" i="16" s="1"/>
  <c r="AE97" i="16" s="1"/>
  <c r="AE98" i="16" s="1"/>
  <c r="AE99" i="16" s="1"/>
  <c r="AE100" i="16" s="1"/>
  <c r="AE101" i="16" s="1"/>
  <c r="AE102" i="16" s="1"/>
  <c r="AE103" i="16" s="1"/>
  <c r="AE104" i="16" s="1"/>
  <c r="AE105" i="16" s="1"/>
  <c r="AE106" i="16" s="1"/>
  <c r="AE107" i="16" s="1"/>
  <c r="AE108" i="16" s="1"/>
  <c r="AE109" i="16" s="1"/>
  <c r="AE110" i="16" s="1"/>
  <c r="AE111" i="16" s="1"/>
  <c r="AE112" i="16" s="1"/>
  <c r="AE113" i="16" s="1"/>
  <c r="AE114" i="16" s="1"/>
  <c r="AE115" i="16" s="1"/>
  <c r="AE116" i="16" s="1"/>
  <c r="AE117" i="16" s="1"/>
  <c r="AE118" i="16" s="1"/>
  <c r="AE119" i="16" s="1"/>
  <c r="AE120" i="16" s="1"/>
  <c r="AE121" i="16" s="1"/>
  <c r="AE122" i="16" s="1"/>
  <c r="AE123" i="16" s="1"/>
  <c r="AE124" i="16" s="1"/>
  <c r="AE125" i="16" s="1"/>
  <c r="AE126" i="16" s="1"/>
  <c r="AE127" i="16" s="1"/>
  <c r="AE128" i="16" s="1"/>
  <c r="AE129" i="16" s="1"/>
  <c r="AE130" i="16" s="1"/>
  <c r="AE131" i="16" s="1"/>
  <c r="AE132" i="16" s="1"/>
  <c r="AE133" i="16" s="1"/>
  <c r="AE134" i="16" s="1"/>
  <c r="AE135" i="16" s="1"/>
  <c r="AE136" i="16" s="1"/>
  <c r="AE137" i="16" s="1"/>
  <c r="AE138" i="16" s="1"/>
  <c r="AE139" i="16" s="1"/>
  <c r="AE140" i="16" s="1"/>
  <c r="AE141" i="16" s="1"/>
  <c r="AE142" i="16" s="1"/>
  <c r="AE143" i="16" s="1"/>
  <c r="AE144" i="16" s="1"/>
  <c r="AE145" i="16" s="1"/>
  <c r="AE146" i="16" s="1"/>
  <c r="AE147" i="16" s="1"/>
  <c r="AE148" i="16" s="1"/>
  <c r="AE149" i="16" s="1"/>
  <c r="AE150" i="16" s="1"/>
  <c r="AE151" i="16" s="1"/>
  <c r="AE152" i="16" s="1"/>
  <c r="AE153" i="16" s="1"/>
  <c r="AE154" i="16" s="1"/>
  <c r="AE155" i="16" s="1"/>
  <c r="AE156" i="16" s="1"/>
  <c r="AE157" i="16" s="1"/>
  <c r="AE158" i="16" s="1"/>
  <c r="AE159" i="16" s="1"/>
  <c r="AE160" i="16" s="1"/>
  <c r="AE161" i="16" s="1"/>
  <c r="AE162" i="16" s="1"/>
  <c r="AE163" i="16" s="1"/>
  <c r="AE164" i="16" s="1"/>
  <c r="AE165" i="16" s="1"/>
  <c r="AE166" i="16" s="1"/>
  <c r="AE167" i="16" s="1"/>
  <c r="AE168" i="16" s="1"/>
  <c r="AE169" i="16" s="1"/>
  <c r="AE170" i="16" s="1"/>
  <c r="AE171" i="16" s="1"/>
  <c r="AE172" i="16" s="1"/>
  <c r="AE173" i="16" s="1"/>
  <c r="AE174" i="16" s="1"/>
  <c r="AE175" i="16" s="1"/>
  <c r="AE176" i="16" s="1"/>
  <c r="AE177" i="16" s="1"/>
  <c r="AE178" i="16" s="1"/>
  <c r="AE179" i="16" s="1"/>
  <c r="AE180" i="16" s="1"/>
  <c r="AE181" i="16" s="1"/>
  <c r="AE182" i="16" s="1"/>
  <c r="AE183" i="16" s="1"/>
  <c r="AE184" i="16" s="1"/>
  <c r="AE185" i="16" s="1"/>
  <c r="AE186" i="16" s="1"/>
  <c r="AE187" i="16" s="1"/>
  <c r="AE188" i="16" s="1"/>
  <c r="AE189" i="16" s="1"/>
  <c r="AE190" i="16" s="1"/>
  <c r="AE191" i="16" s="1"/>
  <c r="AE192" i="16" s="1"/>
  <c r="AE193" i="16" s="1"/>
  <c r="AE194" i="16" s="1"/>
  <c r="AE195" i="16" s="1"/>
  <c r="AE196" i="16" s="1"/>
  <c r="AE197" i="16" s="1"/>
  <c r="AE198" i="16" s="1"/>
  <c r="AE199" i="16" s="1"/>
  <c r="AE200" i="16" s="1"/>
  <c r="AE201" i="16" s="1"/>
  <c r="AE202" i="16" s="1"/>
  <c r="AE203" i="16" s="1"/>
  <c r="AE204" i="16" s="1"/>
  <c r="AE205" i="16" s="1"/>
  <c r="AE206" i="16" s="1"/>
  <c r="AE207" i="16" s="1"/>
  <c r="AE208" i="16" s="1"/>
  <c r="AE209" i="16" s="1"/>
  <c r="AE210" i="16" s="1"/>
  <c r="AE211" i="16" s="1"/>
  <c r="AE212" i="16" s="1"/>
  <c r="AE213" i="16" s="1"/>
  <c r="AE214" i="16" s="1"/>
  <c r="AE215" i="16" s="1"/>
  <c r="AE216" i="16" s="1"/>
  <c r="AE217" i="16" s="1"/>
  <c r="AE218" i="16" s="1"/>
  <c r="AE219" i="16" s="1"/>
  <c r="AE220" i="16" s="1"/>
  <c r="AE221" i="16" s="1"/>
  <c r="AE222" i="16" s="1"/>
  <c r="AE223" i="16" s="1"/>
  <c r="AE224" i="16" s="1"/>
  <c r="AE225" i="16" s="1"/>
  <c r="AE226" i="16" s="1"/>
  <c r="AE227" i="16" s="1"/>
  <c r="AE228" i="16" s="1"/>
  <c r="AE229" i="16" s="1"/>
  <c r="AE230" i="16" s="1"/>
  <c r="AE231" i="16" s="1"/>
  <c r="AE232" i="16" s="1"/>
  <c r="AE233" i="16" s="1"/>
  <c r="AE234" i="16" s="1"/>
  <c r="AE235" i="16" s="1"/>
  <c r="AE236" i="16" s="1"/>
  <c r="AE237" i="16" s="1"/>
  <c r="AE238" i="16" s="1"/>
  <c r="AE239" i="16" s="1"/>
  <c r="AE240" i="16" s="1"/>
  <c r="AE241" i="16" s="1"/>
  <c r="AE242" i="16" s="1"/>
  <c r="AE243" i="16" s="1"/>
  <c r="AE244" i="16" s="1"/>
  <c r="AE245" i="16" s="1"/>
  <c r="AE246" i="16" s="1"/>
  <c r="AE247" i="16" s="1"/>
  <c r="AE248" i="16" s="1"/>
  <c r="AE249" i="16" s="1"/>
  <c r="AE250" i="16" s="1"/>
  <c r="AE251" i="16" s="1"/>
  <c r="AE252" i="16" s="1"/>
  <c r="AE253" i="16" s="1"/>
  <c r="AE254" i="16" s="1"/>
  <c r="AE255" i="16" s="1"/>
  <c r="AE256" i="16" s="1"/>
  <c r="AE257" i="16" s="1"/>
  <c r="AE258" i="16" s="1"/>
  <c r="AE259" i="16" s="1"/>
  <c r="AE260" i="16" s="1"/>
  <c r="AE261" i="16" s="1"/>
  <c r="AE262" i="16" s="1"/>
  <c r="AE263" i="16" s="1"/>
  <c r="AE264" i="16" s="1"/>
  <c r="AE265" i="16" s="1"/>
  <c r="AE266" i="16" s="1"/>
  <c r="AE267" i="16" s="1"/>
  <c r="AE268" i="16" s="1"/>
  <c r="AE269" i="16" s="1"/>
  <c r="AE270" i="16" s="1"/>
  <c r="AE271" i="16" s="1"/>
  <c r="AE272" i="16" s="1"/>
  <c r="AE273" i="16" s="1"/>
  <c r="AE274" i="16" s="1"/>
  <c r="AE275" i="16" s="1"/>
  <c r="AE276" i="16" s="1"/>
  <c r="AE277" i="16" s="1"/>
  <c r="AE278" i="16" s="1"/>
  <c r="AE279" i="16" s="1"/>
  <c r="AE280" i="16" s="1"/>
  <c r="AE281" i="16" s="1"/>
  <c r="AE282" i="16" s="1"/>
  <c r="AE283" i="16" s="1"/>
  <c r="AE284" i="16" s="1"/>
  <c r="AE285" i="16" s="1"/>
  <c r="AE286" i="16" s="1"/>
  <c r="AE287" i="16" s="1"/>
  <c r="AE288" i="16" s="1"/>
  <c r="AE289" i="16" s="1"/>
  <c r="AE290" i="16" s="1"/>
  <c r="AE291" i="16" s="1"/>
  <c r="AE292" i="16" s="1"/>
  <c r="AE293" i="16" s="1"/>
  <c r="AE294" i="16" s="1"/>
  <c r="AE295" i="16" s="1"/>
  <c r="AE296" i="16" s="1"/>
  <c r="AE297" i="16" s="1"/>
  <c r="AE298" i="16" s="1"/>
  <c r="AE299" i="16" s="1"/>
  <c r="AE300" i="16" s="1"/>
  <c r="AE301" i="16" s="1"/>
  <c r="AE302" i="16" s="1"/>
  <c r="AE303" i="16" s="1"/>
  <c r="AE304" i="16" s="1"/>
  <c r="AE305" i="16" s="1"/>
  <c r="AE306" i="16" s="1"/>
  <c r="AE307" i="16" s="1"/>
  <c r="AE308" i="16" s="1"/>
  <c r="AE309" i="16" s="1"/>
  <c r="AE310" i="16" s="1"/>
  <c r="AE311" i="16" s="1"/>
  <c r="AE312" i="16" s="1"/>
  <c r="AE313" i="16" s="1"/>
  <c r="AE314" i="16" s="1"/>
  <c r="AE315" i="16" s="1"/>
  <c r="AE316" i="16" s="1"/>
  <c r="AE317" i="16" s="1"/>
  <c r="AE318" i="16" s="1"/>
  <c r="AE319" i="16" s="1"/>
  <c r="AE320" i="16" s="1"/>
  <c r="AE321" i="16" s="1"/>
  <c r="AE322" i="16" s="1"/>
  <c r="AE323" i="16" s="1"/>
  <c r="AE324" i="16" s="1"/>
  <c r="AE325" i="16" s="1"/>
  <c r="AE326" i="16" s="1"/>
  <c r="AE327" i="16" s="1"/>
  <c r="AE328" i="16" s="1"/>
  <c r="AE329" i="16" s="1"/>
  <c r="AE330" i="16" s="1"/>
  <c r="AE331" i="16" s="1"/>
  <c r="AE332" i="16" s="1"/>
  <c r="AE333" i="16" s="1"/>
  <c r="AE334" i="16" s="1"/>
  <c r="AE335" i="16" s="1"/>
  <c r="AE336" i="16" s="1"/>
  <c r="AE337" i="16" s="1"/>
  <c r="AE338" i="16" s="1"/>
  <c r="AE339" i="16" s="1"/>
  <c r="AE340" i="16" s="1"/>
  <c r="AE341" i="16" s="1"/>
  <c r="AE342" i="16" s="1"/>
  <c r="AE343" i="16" s="1"/>
  <c r="AE344" i="16" s="1"/>
  <c r="AE345" i="16" s="1"/>
  <c r="AE346" i="16" s="1"/>
  <c r="AE347" i="16" s="1"/>
  <c r="AE348" i="16" s="1"/>
  <c r="AE349" i="16" s="1"/>
  <c r="AE350" i="16" s="1"/>
  <c r="AE351" i="16" s="1"/>
  <c r="AE352" i="16" s="1"/>
  <c r="AE353" i="16" s="1"/>
  <c r="AE354" i="16" s="1"/>
  <c r="AE355" i="16" s="1"/>
  <c r="AE356" i="16" s="1"/>
  <c r="AE357" i="16" s="1"/>
  <c r="AE358" i="16" s="1"/>
  <c r="AE359" i="16" s="1"/>
  <c r="AE360" i="16" s="1"/>
  <c r="AE361" i="16" s="1"/>
  <c r="AE362" i="16" s="1"/>
  <c r="AE363" i="16" s="1"/>
  <c r="AE364" i="16" s="1"/>
  <c r="AE365" i="16" s="1"/>
  <c r="AE366" i="16" s="1"/>
  <c r="AE367" i="16" s="1"/>
  <c r="AE368" i="16" s="1"/>
  <c r="E35" i="16"/>
  <c r="D35" i="16"/>
  <c r="A35" i="16"/>
  <c r="E34" i="16"/>
  <c r="D34" i="16"/>
  <c r="H34" i="16" s="1"/>
  <c r="I34" i="16" s="1"/>
  <c r="A34" i="16"/>
  <c r="E33" i="16"/>
  <c r="D33" i="16"/>
  <c r="A33" i="16"/>
  <c r="E32" i="16"/>
  <c r="D32" i="16"/>
  <c r="H32" i="16" s="1"/>
  <c r="I32" i="16" s="1"/>
  <c r="A32" i="16"/>
  <c r="E31" i="16"/>
  <c r="D31" i="16"/>
  <c r="H31" i="16" s="1"/>
  <c r="I31" i="16" s="1"/>
  <c r="A31" i="16"/>
  <c r="E30" i="16"/>
  <c r="D30" i="16"/>
  <c r="A30" i="16"/>
  <c r="E29" i="16"/>
  <c r="D29" i="16"/>
  <c r="H29" i="16" s="1"/>
  <c r="I29" i="16" s="1"/>
  <c r="A29" i="16"/>
  <c r="E28" i="16"/>
  <c r="D28" i="16"/>
  <c r="H28" i="16" s="1"/>
  <c r="I28" i="16" s="1"/>
  <c r="A28" i="16"/>
  <c r="E27" i="16"/>
  <c r="D27" i="16"/>
  <c r="H27" i="16" s="1"/>
  <c r="I27" i="16" s="1"/>
  <c r="A27" i="16"/>
  <c r="AF26" i="16"/>
  <c r="E26" i="16"/>
  <c r="D26" i="16"/>
  <c r="H26" i="16" s="1"/>
  <c r="I26" i="16" s="1"/>
  <c r="A26" i="16"/>
  <c r="AF25" i="16"/>
  <c r="E25" i="16"/>
  <c r="D25" i="16"/>
  <c r="A25" i="16"/>
  <c r="AF24" i="16"/>
  <c r="E24" i="16"/>
  <c r="D24" i="16"/>
  <c r="A24" i="16"/>
  <c r="AF23" i="16"/>
  <c r="E23" i="16"/>
  <c r="D23" i="16"/>
  <c r="A23" i="16"/>
  <c r="AF22" i="16"/>
  <c r="E22" i="16"/>
  <c r="D22" i="16"/>
  <c r="A22" i="16"/>
  <c r="AF21" i="16"/>
  <c r="E21" i="16"/>
  <c r="D21" i="16"/>
  <c r="H21" i="16" s="1"/>
  <c r="I21" i="16" s="1"/>
  <c r="A21" i="16"/>
  <c r="AF20" i="16"/>
  <c r="E20" i="16"/>
  <c r="D20" i="16"/>
  <c r="H20" i="16" s="1"/>
  <c r="I20" i="16" s="1"/>
  <c r="A20" i="16"/>
  <c r="AF19" i="16"/>
  <c r="E19" i="16"/>
  <c r="D19" i="16"/>
  <c r="H19" i="16" s="1"/>
  <c r="I19" i="16" s="1"/>
  <c r="A19" i="16"/>
  <c r="AF18" i="16"/>
  <c r="E18" i="16"/>
  <c r="D18" i="16"/>
  <c r="A18" i="16"/>
  <c r="AF17" i="16"/>
  <c r="E17" i="16"/>
  <c r="D17" i="16"/>
  <c r="A17" i="16"/>
  <c r="AF16" i="16"/>
  <c r="E16" i="16"/>
  <c r="D16" i="16"/>
  <c r="A16" i="16"/>
  <c r="AF15" i="16"/>
  <c r="E15" i="16"/>
  <c r="D15" i="16"/>
  <c r="A15" i="16"/>
  <c r="AF14" i="16"/>
  <c r="E14" i="16"/>
  <c r="D14" i="16"/>
  <c r="A14" i="16"/>
  <c r="AF13" i="16"/>
  <c r="E13" i="16"/>
  <c r="D13" i="16"/>
  <c r="A13" i="16"/>
  <c r="E12" i="16"/>
  <c r="D12" i="16"/>
  <c r="A12" i="16"/>
  <c r="E11" i="16"/>
  <c r="D11" i="16"/>
  <c r="A11" i="16"/>
  <c r="AX9" i="16"/>
  <c r="H9" i="16"/>
  <c r="D6" i="16"/>
  <c r="D5" i="16"/>
  <c r="D3" i="16"/>
  <c r="F118" i="8"/>
  <c r="B114" i="8"/>
  <c r="B110" i="8"/>
  <c r="B61" i="8"/>
  <c r="D47" i="8"/>
  <c r="O43" i="8"/>
  <c r="K41" i="8"/>
  <c r="B37" i="8"/>
  <c r="D49" i="8" s="1"/>
  <c r="B35" i="8"/>
  <c r="D48" i="8" s="1"/>
  <c r="B16" i="8"/>
  <c r="B11" i="8"/>
  <c r="B10" i="8"/>
  <c r="B9" i="8"/>
  <c r="J8" i="8"/>
  <c r="B8" i="8"/>
  <c r="B59" i="8"/>
  <c r="B1" i="8"/>
  <c r="AX10" i="16" l="1"/>
  <c r="AX28" i="16" s="1"/>
  <c r="F28" i="16" s="1"/>
  <c r="B368" i="16"/>
  <c r="B367" i="16"/>
  <c r="B364" i="16"/>
  <c r="B365" i="16"/>
  <c r="B366" i="16"/>
  <c r="B13" i="16"/>
  <c r="B11" i="16"/>
  <c r="B12" i="16"/>
  <c r="B14" i="16"/>
  <c r="B28" i="16"/>
  <c r="B32" i="16"/>
  <c r="B37" i="16"/>
  <c r="B41" i="16"/>
  <c r="B45" i="16"/>
  <c r="B49" i="16"/>
  <c r="B53" i="16"/>
  <c r="B57" i="16"/>
  <c r="B61" i="16"/>
  <c r="B65" i="16"/>
  <c r="B69" i="16"/>
  <c r="B73" i="16"/>
  <c r="B77" i="16"/>
  <c r="B81" i="16"/>
  <c r="B85" i="16"/>
  <c r="B89" i="16"/>
  <c r="B93" i="16"/>
  <c r="B97" i="16"/>
  <c r="B101" i="16"/>
  <c r="B105" i="16"/>
  <c r="B109" i="16"/>
  <c r="B113" i="16"/>
  <c r="B117" i="16"/>
  <c r="B121" i="16"/>
  <c r="B125" i="16"/>
  <c r="B129" i="16"/>
  <c r="B133" i="16"/>
  <c r="B137" i="16"/>
  <c r="B141" i="16"/>
  <c r="B145" i="16"/>
  <c r="B149" i="16"/>
  <c r="B153" i="16"/>
  <c r="B157" i="16"/>
  <c r="B161" i="16"/>
  <c r="B165" i="16"/>
  <c r="B169" i="16"/>
  <c r="B173" i="16"/>
  <c r="B177" i="16"/>
  <c r="B181" i="16"/>
  <c r="B185" i="16"/>
  <c r="B189" i="16"/>
  <c r="B193" i="16"/>
  <c r="B197" i="16"/>
  <c r="B201" i="16"/>
  <c r="B205" i="16"/>
  <c r="B209" i="16"/>
  <c r="B213" i="16"/>
  <c r="B217" i="16"/>
  <c r="B221" i="16"/>
  <c r="B23" i="16"/>
  <c r="B29" i="16"/>
  <c r="B33" i="16"/>
  <c r="B38" i="16"/>
  <c r="B42" i="16"/>
  <c r="B46" i="16"/>
  <c r="B50" i="16"/>
  <c r="B54" i="16"/>
  <c r="B58" i="16"/>
  <c r="B62" i="16"/>
  <c r="B66" i="16"/>
  <c r="B70" i="16"/>
  <c r="B74" i="16"/>
  <c r="B78" i="16"/>
  <c r="B82" i="16"/>
  <c r="B86" i="16"/>
  <c r="B90" i="16"/>
  <c r="B94" i="16"/>
  <c r="B98" i="16"/>
  <c r="B102" i="16"/>
  <c r="B106" i="16"/>
  <c r="B110" i="16"/>
  <c r="B114" i="16"/>
  <c r="B118" i="16"/>
  <c r="B122" i="16"/>
  <c r="B126" i="16"/>
  <c r="B130" i="16"/>
  <c r="B134" i="16"/>
  <c r="B138" i="16"/>
  <c r="B142" i="16"/>
  <c r="B146" i="16"/>
  <c r="B150" i="16"/>
  <c r="B154" i="16"/>
  <c r="B158" i="16"/>
  <c r="B162" i="16"/>
  <c r="B166" i="16"/>
  <c r="B170" i="16"/>
  <c r="B174" i="16"/>
  <c r="B178" i="16"/>
  <c r="B182" i="16"/>
  <c r="B186" i="16"/>
  <c r="B190" i="16"/>
  <c r="B194" i="16"/>
  <c r="B198" i="16"/>
  <c r="B202" i="16"/>
  <c r="B206" i="16"/>
  <c r="B210" i="16"/>
  <c r="B214" i="16"/>
  <c r="B15" i="16"/>
  <c r="B16" i="16"/>
  <c r="B17" i="16"/>
  <c r="B18" i="16"/>
  <c r="B19" i="16"/>
  <c r="B20" i="16"/>
  <c r="B21" i="16"/>
  <c r="B24" i="16"/>
  <c r="B25" i="16"/>
  <c r="B26" i="16"/>
  <c r="B31" i="16"/>
  <c r="B35" i="16"/>
  <c r="B40" i="16"/>
  <c r="B48" i="16"/>
  <c r="B52" i="16"/>
  <c r="B56" i="16"/>
  <c r="B60" i="16"/>
  <c r="B64" i="16"/>
  <c r="B68" i="16"/>
  <c r="B72" i="16"/>
  <c r="B76" i="16"/>
  <c r="B84" i="16"/>
  <c r="B88" i="16"/>
  <c r="B92" i="16"/>
  <c r="B100" i="16"/>
  <c r="B104" i="16"/>
  <c r="B108" i="16"/>
  <c r="B116" i="16"/>
  <c r="B124" i="16"/>
  <c r="B128" i="16"/>
  <c r="B132" i="16"/>
  <c r="B140" i="16"/>
  <c r="B148" i="16"/>
  <c r="B152" i="16"/>
  <c r="B156" i="16"/>
  <c r="B164" i="16"/>
  <c r="B168" i="16"/>
  <c r="B176" i="16"/>
  <c r="B180" i="16"/>
  <c r="B184" i="16"/>
  <c r="B188" i="16"/>
  <c r="B192" i="16"/>
  <c r="B204" i="16"/>
  <c r="B208" i="16"/>
  <c r="B212" i="16"/>
  <c r="B30" i="16"/>
  <c r="B34" i="16"/>
  <c r="B39" i="16"/>
  <c r="B43" i="16"/>
  <c r="B47" i="16"/>
  <c r="B51" i="16"/>
  <c r="B55" i="16"/>
  <c r="B59" i="16"/>
  <c r="B63" i="16"/>
  <c r="B67" i="16"/>
  <c r="B71" i="16"/>
  <c r="B75" i="16"/>
  <c r="B79" i="16"/>
  <c r="B83" i="16"/>
  <c r="B87" i="16"/>
  <c r="B91" i="16"/>
  <c r="B95" i="16"/>
  <c r="B99" i="16"/>
  <c r="B103" i="16"/>
  <c r="B107" i="16"/>
  <c r="B111" i="16"/>
  <c r="B115" i="16"/>
  <c r="B119" i="16"/>
  <c r="B123" i="16"/>
  <c r="B127" i="16"/>
  <c r="B131" i="16"/>
  <c r="B135" i="16"/>
  <c r="B139" i="16"/>
  <c r="B143" i="16"/>
  <c r="B147" i="16"/>
  <c r="B151" i="16"/>
  <c r="B155" i="16"/>
  <c r="B159" i="16"/>
  <c r="B163" i="16"/>
  <c r="B167" i="16"/>
  <c r="B171" i="16"/>
  <c r="B175" i="16"/>
  <c r="B179" i="16"/>
  <c r="B183" i="16"/>
  <c r="B187" i="16"/>
  <c r="B191" i="16"/>
  <c r="B195" i="16"/>
  <c r="B199" i="16"/>
  <c r="B203" i="16"/>
  <c r="B207" i="16"/>
  <c r="B211" i="16"/>
  <c r="B215" i="16"/>
  <c r="B219" i="16"/>
  <c r="B27" i="16"/>
  <c r="B36" i="16"/>
  <c r="B44" i="16"/>
  <c r="B80" i="16"/>
  <c r="B96" i="16"/>
  <c r="B112" i="16"/>
  <c r="B120" i="16"/>
  <c r="B136" i="16"/>
  <c r="B144" i="16"/>
  <c r="B160" i="16"/>
  <c r="B172" i="16"/>
  <c r="B196" i="16"/>
  <c r="B200" i="16"/>
  <c r="B216" i="16"/>
  <c r="B218" i="16"/>
  <c r="B220" i="16"/>
  <c r="B222" i="16"/>
  <c r="B224" i="16"/>
  <c r="B226" i="16"/>
  <c r="B228" i="16"/>
  <c r="B230" i="16"/>
  <c r="B240" i="16"/>
  <c r="B242" i="16"/>
  <c r="B248" i="16"/>
  <c r="B250" i="16"/>
  <c r="B252" i="16"/>
  <c r="B258" i="16"/>
  <c r="B260" i="16"/>
  <c r="B262" i="16"/>
  <c r="B268" i="16"/>
  <c r="B274" i="16"/>
  <c r="B276" i="16"/>
  <c r="B284" i="16"/>
  <c r="B286" i="16"/>
  <c r="B292" i="16"/>
  <c r="J3" i="16"/>
  <c r="B327" i="16"/>
  <c r="B294" i="16"/>
  <c r="B296" i="16"/>
  <c r="B302" i="16"/>
  <c r="B304" i="16"/>
  <c r="B314" i="16"/>
  <c r="B318" i="16"/>
  <c r="B324" i="16"/>
  <c r="B326" i="16"/>
  <c r="B329" i="16"/>
  <c r="B331" i="16"/>
  <c r="B337" i="16"/>
  <c r="B339" i="16"/>
  <c r="B89" i="11"/>
  <c r="B223" i="16"/>
  <c r="B233" i="16"/>
  <c r="B237" i="16"/>
  <c r="B239" i="16"/>
  <c r="B245" i="16"/>
  <c r="B247" i="16"/>
  <c r="B253" i="16"/>
  <c r="B255" i="16"/>
  <c r="B261" i="16"/>
  <c r="B263" i="16"/>
  <c r="B265" i="16"/>
  <c r="B271" i="16"/>
  <c r="B273" i="16"/>
  <c r="B279" i="16"/>
  <c r="B281" i="16"/>
  <c r="B283" i="16"/>
  <c r="B289" i="16"/>
  <c r="B291" i="16"/>
  <c r="B293" i="16"/>
  <c r="B299" i="16"/>
  <c r="B301" i="16"/>
  <c r="B305" i="16"/>
  <c r="B307" i="16"/>
  <c r="B311" i="16"/>
  <c r="B313" i="16"/>
  <c r="B315" i="16"/>
  <c r="B317" i="16"/>
  <c r="B319" i="16"/>
  <c r="B321" i="16"/>
  <c r="B332" i="16"/>
  <c r="B334" i="16"/>
  <c r="AX14" i="16"/>
  <c r="F14" i="16" s="1"/>
  <c r="AX18" i="16"/>
  <c r="F18" i="16" s="1"/>
  <c r="AX20" i="16"/>
  <c r="F20" i="16" s="1"/>
  <c r="AX22" i="16"/>
  <c r="F22" i="16" s="1"/>
  <c r="AX26" i="16"/>
  <c r="F26" i="16" s="1"/>
  <c r="AX30" i="16"/>
  <c r="AX32" i="16"/>
  <c r="F32" i="16" s="1"/>
  <c r="AX34" i="16"/>
  <c r="F34" i="16" s="1"/>
  <c r="AX38" i="16"/>
  <c r="F38" i="16" s="1"/>
  <c r="AX42" i="16"/>
  <c r="AX44" i="16"/>
  <c r="F44" i="16" s="1"/>
  <c r="AX46" i="16"/>
  <c r="F46" i="16" s="1"/>
  <c r="AX50" i="16"/>
  <c r="F50" i="16" s="1"/>
  <c r="AX54" i="16"/>
  <c r="F54" i="16" s="1"/>
  <c r="AX56" i="16"/>
  <c r="F56" i="16" s="1"/>
  <c r="AX58" i="16"/>
  <c r="F58" i="16" s="1"/>
  <c r="AX62" i="16"/>
  <c r="F62" i="16" s="1"/>
  <c r="AX66" i="16"/>
  <c r="F66" i="16" s="1"/>
  <c r="AX68" i="16"/>
  <c r="F68" i="16" s="1"/>
  <c r="AX70" i="16"/>
  <c r="F70" i="16" s="1"/>
  <c r="AX74" i="16"/>
  <c r="F74" i="16" s="1"/>
  <c r="AX78" i="16"/>
  <c r="F78" i="16" s="1"/>
  <c r="AX80" i="16"/>
  <c r="F80" i="16" s="1"/>
  <c r="AX82" i="16"/>
  <c r="F82" i="16" s="1"/>
  <c r="AX86" i="16"/>
  <c r="F86" i="16" s="1"/>
  <c r="AX90" i="16"/>
  <c r="F90" i="16" s="1"/>
  <c r="AX92" i="16"/>
  <c r="F92" i="16" s="1"/>
  <c r="AX94" i="16"/>
  <c r="F94" i="16" s="1"/>
  <c r="AX98" i="16"/>
  <c r="F98" i="16" s="1"/>
  <c r="AX102" i="16"/>
  <c r="AX104" i="16"/>
  <c r="F104" i="16" s="1"/>
  <c r="AX106" i="16"/>
  <c r="F106" i="16" s="1"/>
  <c r="AX110" i="16"/>
  <c r="F110" i="16" s="1"/>
  <c r="AX114" i="16"/>
  <c r="AX116" i="16"/>
  <c r="F116" i="16" s="1"/>
  <c r="AX118" i="16"/>
  <c r="F118" i="16" s="1"/>
  <c r="AX122" i="16"/>
  <c r="F122" i="16" s="1"/>
  <c r="AX126" i="16"/>
  <c r="F126" i="16" s="1"/>
  <c r="AX128" i="16"/>
  <c r="F128" i="16" s="1"/>
  <c r="AX130" i="16"/>
  <c r="F130" i="16" s="1"/>
  <c r="AX134" i="16"/>
  <c r="AX138" i="16"/>
  <c r="F138" i="16" s="1"/>
  <c r="AX140" i="16"/>
  <c r="F140" i="16" s="1"/>
  <c r="AX142" i="16"/>
  <c r="F142" i="16" s="1"/>
  <c r="AX144" i="16"/>
  <c r="F144" i="16" s="1"/>
  <c r="AX146" i="16"/>
  <c r="F146" i="16" s="1"/>
  <c r="AX150" i="16"/>
  <c r="F150" i="16" s="1"/>
  <c r="AX152" i="16"/>
  <c r="F152" i="16" s="1"/>
  <c r="AX154" i="16"/>
  <c r="F154" i="16" s="1"/>
  <c r="AX156" i="16"/>
  <c r="F156" i="16" s="1"/>
  <c r="AX158" i="16"/>
  <c r="F158" i="16" s="1"/>
  <c r="AX160" i="16"/>
  <c r="F160" i="16" s="1"/>
  <c r="AX162" i="16"/>
  <c r="F162" i="16" s="1"/>
  <c r="AX164" i="16"/>
  <c r="F164" i="16" s="1"/>
  <c r="AX166" i="16"/>
  <c r="F166" i="16" s="1"/>
  <c r="AX168" i="16"/>
  <c r="F168" i="16" s="1"/>
  <c r="AX170" i="16"/>
  <c r="F170" i="16" s="1"/>
  <c r="AX172" i="16"/>
  <c r="AX174" i="16"/>
  <c r="AX176" i="16"/>
  <c r="F176" i="16" s="1"/>
  <c r="AX178" i="16"/>
  <c r="F178" i="16" s="1"/>
  <c r="AX180" i="16"/>
  <c r="F180" i="16" s="1"/>
  <c r="AX13" i="16"/>
  <c r="H13" i="16" s="1"/>
  <c r="AX15" i="16"/>
  <c r="F15" i="16" s="1"/>
  <c r="AX17" i="16"/>
  <c r="F17" i="16" s="1"/>
  <c r="AX19" i="16"/>
  <c r="F19" i="16" s="1"/>
  <c r="AX21" i="16"/>
  <c r="F21" i="16" s="1"/>
  <c r="AX23" i="16"/>
  <c r="F23" i="16" s="1"/>
  <c r="AX25" i="16"/>
  <c r="F25" i="16" s="1"/>
  <c r="AG15" i="16" s="1"/>
  <c r="AX27" i="16"/>
  <c r="F27" i="16" s="1"/>
  <c r="AX29" i="16"/>
  <c r="F29" i="16" s="1"/>
  <c r="AX31" i="16"/>
  <c r="F31" i="16" s="1"/>
  <c r="AX33" i="16"/>
  <c r="H33" i="16" s="1"/>
  <c r="AX35" i="16"/>
  <c r="F35" i="16" s="1"/>
  <c r="AX37" i="16"/>
  <c r="F37" i="16" s="1"/>
  <c r="AX39" i="16"/>
  <c r="AX41" i="16"/>
  <c r="F41" i="16" s="1"/>
  <c r="AX43" i="16"/>
  <c r="F43" i="16" s="1"/>
  <c r="AX45" i="16"/>
  <c r="F45" i="16" s="1"/>
  <c r="AX47" i="16"/>
  <c r="F47" i="16" s="1"/>
  <c r="AX49" i="16"/>
  <c r="F49" i="16" s="1"/>
  <c r="AX51" i="16"/>
  <c r="F51" i="16" s="1"/>
  <c r="AX53" i="16"/>
  <c r="AX55" i="16"/>
  <c r="F55" i="16" s="1"/>
  <c r="AX57" i="16"/>
  <c r="F57" i="16" s="1"/>
  <c r="AX59" i="16"/>
  <c r="F59" i="16" s="1"/>
  <c r="AX61" i="16"/>
  <c r="F61" i="16" s="1"/>
  <c r="AX63" i="16"/>
  <c r="F63" i="16" s="1"/>
  <c r="AX65" i="16"/>
  <c r="H65" i="16" s="1"/>
  <c r="AX67" i="16"/>
  <c r="F67" i="16" s="1"/>
  <c r="AX69" i="16"/>
  <c r="F69" i="16" s="1"/>
  <c r="AX71" i="16"/>
  <c r="F71" i="16" s="1"/>
  <c r="AX73" i="16"/>
  <c r="F73" i="16" s="1"/>
  <c r="AX75" i="16"/>
  <c r="F75" i="16" s="1"/>
  <c r="AX77" i="16"/>
  <c r="F77" i="16" s="1"/>
  <c r="AX79" i="16"/>
  <c r="F79" i="16" s="1"/>
  <c r="AX81" i="16"/>
  <c r="F81" i="16" s="1"/>
  <c r="AX83" i="16"/>
  <c r="F83" i="16" s="1"/>
  <c r="AX85" i="16"/>
  <c r="F85" i="16" s="1"/>
  <c r="AX87" i="16"/>
  <c r="F87" i="16" s="1"/>
  <c r="AX89" i="16"/>
  <c r="F89" i="16" s="1"/>
  <c r="AX91" i="16"/>
  <c r="F91" i="16" s="1"/>
  <c r="AX93" i="16"/>
  <c r="F93" i="16" s="1"/>
  <c r="AX95" i="16"/>
  <c r="F95" i="16" s="1"/>
  <c r="AX97" i="16"/>
  <c r="F97" i="16" s="1"/>
  <c r="AX99" i="16"/>
  <c r="F99" i="16" s="1"/>
  <c r="AX101" i="16"/>
  <c r="F101" i="16" s="1"/>
  <c r="AX103" i="16"/>
  <c r="F103" i="16" s="1"/>
  <c r="AX105" i="16"/>
  <c r="H105" i="16" s="1"/>
  <c r="AX107" i="16"/>
  <c r="F107" i="16" s="1"/>
  <c r="AX109" i="16"/>
  <c r="F109" i="16" s="1"/>
  <c r="AX111" i="16"/>
  <c r="AX113" i="16"/>
  <c r="F113" i="16" s="1"/>
  <c r="AX115" i="16"/>
  <c r="F115" i="16" s="1"/>
  <c r="AX117" i="16"/>
  <c r="F117" i="16" s="1"/>
  <c r="AX119" i="16"/>
  <c r="F119" i="16" s="1"/>
  <c r="AX121" i="16"/>
  <c r="F121" i="16" s="1"/>
  <c r="AX123" i="16"/>
  <c r="F123" i="16" s="1"/>
  <c r="AX125" i="16"/>
  <c r="H125" i="16" s="1"/>
  <c r="AX127" i="16"/>
  <c r="F127" i="16" s="1"/>
  <c r="AX129" i="16"/>
  <c r="F129" i="16" s="1"/>
  <c r="AX131" i="16"/>
  <c r="F131" i="16" s="1"/>
  <c r="AX133" i="16"/>
  <c r="F133" i="16" s="1"/>
  <c r="AX135" i="16"/>
  <c r="F135" i="16" s="1"/>
  <c r="AX137" i="16"/>
  <c r="H137" i="16" s="1"/>
  <c r="AX139" i="16"/>
  <c r="F139" i="16" s="1"/>
  <c r="AX141" i="16"/>
  <c r="F141" i="16" s="1"/>
  <c r="AX143" i="16"/>
  <c r="F143" i="16" s="1"/>
  <c r="AX145" i="16"/>
  <c r="F145" i="16" s="1"/>
  <c r="AX147" i="16"/>
  <c r="F147" i="16" s="1"/>
  <c r="AX149" i="16"/>
  <c r="F149" i="16" s="1"/>
  <c r="AX151" i="16"/>
  <c r="AX153" i="16"/>
  <c r="F153" i="16" s="1"/>
  <c r="AX155" i="16"/>
  <c r="F155" i="16" s="1"/>
  <c r="AX157" i="16"/>
  <c r="F157" i="16" s="1"/>
  <c r="AX159" i="16"/>
  <c r="F159" i="16" s="1"/>
  <c r="AX161" i="16"/>
  <c r="F161" i="16" s="1"/>
  <c r="AX163" i="16"/>
  <c r="F163" i="16" s="1"/>
  <c r="AX165" i="16"/>
  <c r="F165" i="16" s="1"/>
  <c r="AX167" i="16"/>
  <c r="F167" i="16" s="1"/>
  <c r="AX169" i="16"/>
  <c r="F169" i="16" s="1"/>
  <c r="AX171" i="16"/>
  <c r="F171" i="16" s="1"/>
  <c r="AX173" i="16"/>
  <c r="F173" i="16" s="1"/>
  <c r="AX175" i="16"/>
  <c r="AX177" i="16"/>
  <c r="F177" i="16" s="1"/>
  <c r="AX179" i="16"/>
  <c r="F179" i="16" s="1"/>
  <c r="AX181" i="16"/>
  <c r="F181" i="16" s="1"/>
  <c r="AX182" i="16"/>
  <c r="F182" i="16" s="1"/>
  <c r="AX184" i="16"/>
  <c r="F184" i="16" s="1"/>
  <c r="AX186" i="16"/>
  <c r="AX188" i="16"/>
  <c r="F188" i="16" s="1"/>
  <c r="AX190" i="16"/>
  <c r="F190" i="16" s="1"/>
  <c r="AX192" i="16"/>
  <c r="F192" i="16" s="1"/>
  <c r="AX194" i="16"/>
  <c r="F194" i="16" s="1"/>
  <c r="AX196" i="16"/>
  <c r="F196" i="16" s="1"/>
  <c r="AX198" i="16"/>
  <c r="F198" i="16" s="1"/>
  <c r="AX200" i="16"/>
  <c r="F200" i="16" s="1"/>
  <c r="AX202" i="16"/>
  <c r="F202" i="16" s="1"/>
  <c r="AX204" i="16"/>
  <c r="F204" i="16" s="1"/>
  <c r="AX206" i="16"/>
  <c r="F206" i="16" s="1"/>
  <c r="AG16" i="16" s="1"/>
  <c r="AX208" i="16"/>
  <c r="AX210" i="16"/>
  <c r="F210" i="16" s="1"/>
  <c r="AX212" i="16"/>
  <c r="F212" i="16" s="1"/>
  <c r="AX214" i="16"/>
  <c r="F214" i="16" s="1"/>
  <c r="AX216" i="16"/>
  <c r="F216" i="16" s="1"/>
  <c r="AX218" i="16"/>
  <c r="F218" i="16" s="1"/>
  <c r="AX220" i="16"/>
  <c r="AX222" i="16"/>
  <c r="F222" i="16" s="1"/>
  <c r="AX224" i="16"/>
  <c r="F224" i="16" s="1"/>
  <c r="AX226" i="16"/>
  <c r="F226" i="16" s="1"/>
  <c r="AX228" i="16"/>
  <c r="F228" i="16" s="1"/>
  <c r="AX230" i="16"/>
  <c r="F230" i="16" s="1"/>
  <c r="AX232" i="16"/>
  <c r="F232" i="16" s="1"/>
  <c r="AX234" i="16"/>
  <c r="F234" i="16" s="1"/>
  <c r="AX236" i="16"/>
  <c r="F236" i="16" s="1"/>
  <c r="AX238" i="16"/>
  <c r="F238" i="16" s="1"/>
  <c r="AX240" i="16"/>
  <c r="F240" i="16" s="1"/>
  <c r="AX242" i="16"/>
  <c r="F242" i="16" s="1"/>
  <c r="AX244" i="16"/>
  <c r="F244" i="16" s="1"/>
  <c r="AX246" i="16"/>
  <c r="AX248" i="16"/>
  <c r="F248" i="16" s="1"/>
  <c r="AX250" i="16"/>
  <c r="F250" i="16" s="1"/>
  <c r="AX252" i="16"/>
  <c r="F252" i="16" s="1"/>
  <c r="AX254" i="16"/>
  <c r="F254" i="16" s="1"/>
  <c r="AX256" i="16"/>
  <c r="F256" i="16" s="1"/>
  <c r="AX258" i="16"/>
  <c r="AX260" i="16"/>
  <c r="F260" i="16" s="1"/>
  <c r="AX262" i="16"/>
  <c r="F262" i="16" s="1"/>
  <c r="AX264" i="16"/>
  <c r="F264" i="16" s="1"/>
  <c r="AX266" i="16"/>
  <c r="F266" i="16" s="1"/>
  <c r="AX268" i="16"/>
  <c r="F268" i="16" s="1"/>
  <c r="AX270" i="16"/>
  <c r="F270" i="16" s="1"/>
  <c r="AX272" i="16"/>
  <c r="F272" i="16" s="1"/>
  <c r="AX274" i="16"/>
  <c r="F274" i="16" s="1"/>
  <c r="AX276" i="16"/>
  <c r="F276" i="16" s="1"/>
  <c r="AX278" i="16"/>
  <c r="AX280" i="16"/>
  <c r="AX282" i="16"/>
  <c r="AX284" i="16"/>
  <c r="F284" i="16" s="1"/>
  <c r="AX286" i="16"/>
  <c r="F286" i="16" s="1"/>
  <c r="AX288" i="16"/>
  <c r="F288" i="16" s="1"/>
  <c r="AX290" i="16"/>
  <c r="F290" i="16" s="1"/>
  <c r="AX292" i="16"/>
  <c r="AX294" i="16"/>
  <c r="F294" i="16" s="1"/>
  <c r="AX296" i="16"/>
  <c r="F296" i="16" s="1"/>
  <c r="AX298" i="16"/>
  <c r="F298" i="16" s="1"/>
  <c r="AX300" i="16"/>
  <c r="F300" i="16" s="1"/>
  <c r="AX302" i="16"/>
  <c r="F302" i="16" s="1"/>
  <c r="AX304" i="16"/>
  <c r="F304" i="16" s="1"/>
  <c r="AX306" i="16"/>
  <c r="AX308" i="16"/>
  <c r="F308" i="16" s="1"/>
  <c r="AX310" i="16"/>
  <c r="F310" i="16" s="1"/>
  <c r="AX312" i="16"/>
  <c r="F312" i="16" s="1"/>
  <c r="AX314" i="16"/>
  <c r="F314" i="16" s="1"/>
  <c r="AX316" i="16"/>
  <c r="F316" i="16" s="1"/>
  <c r="AX318" i="16"/>
  <c r="AX320" i="16"/>
  <c r="F320" i="16" s="1"/>
  <c r="AX322" i="16"/>
  <c r="F322" i="16" s="1"/>
  <c r="AX324" i="16"/>
  <c r="F324" i="16" s="1"/>
  <c r="AX326" i="16"/>
  <c r="F326" i="16" s="1"/>
  <c r="AX328" i="16"/>
  <c r="F328" i="16" s="1"/>
  <c r="AX330" i="16"/>
  <c r="AX332" i="16"/>
  <c r="F332" i="16" s="1"/>
  <c r="AX334" i="16"/>
  <c r="F334" i="16" s="1"/>
  <c r="AX336" i="16"/>
  <c r="F336" i="16" s="1"/>
  <c r="AX338" i="16"/>
  <c r="F338" i="16" s="1"/>
  <c r="AX340" i="16"/>
  <c r="F340" i="16" s="1"/>
  <c r="AX342" i="16"/>
  <c r="F342" i="16" s="1"/>
  <c r="AX344" i="16"/>
  <c r="F344" i="16" s="1"/>
  <c r="AX346" i="16"/>
  <c r="F346" i="16" s="1"/>
  <c r="AX348" i="16"/>
  <c r="F348" i="16" s="1"/>
  <c r="AX350" i="16"/>
  <c r="AX352" i="16"/>
  <c r="AX183" i="16"/>
  <c r="AX185" i="16"/>
  <c r="F185" i="16" s="1"/>
  <c r="AX187" i="16"/>
  <c r="F187" i="16" s="1"/>
  <c r="AX189" i="16"/>
  <c r="H189" i="16" s="1"/>
  <c r="AX191" i="16"/>
  <c r="F191" i="16" s="1"/>
  <c r="AX193" i="16"/>
  <c r="F193" i="16" s="1"/>
  <c r="AX195" i="16"/>
  <c r="F195" i="16" s="1"/>
  <c r="AX197" i="16"/>
  <c r="AX199" i="16"/>
  <c r="AX201" i="16"/>
  <c r="F201" i="16" s="1"/>
  <c r="AG19" i="16" s="1"/>
  <c r="AX203" i="16"/>
  <c r="F203" i="16" s="1"/>
  <c r="AG22" i="16" s="1"/>
  <c r="AX205" i="16"/>
  <c r="F205" i="16" s="1"/>
  <c r="AX207" i="16"/>
  <c r="F207" i="16" s="1"/>
  <c r="AX209" i="16"/>
  <c r="AX211" i="16"/>
  <c r="F211" i="16" s="1"/>
  <c r="AX213" i="16"/>
  <c r="F213" i="16" s="1"/>
  <c r="AX215" i="16"/>
  <c r="F215" i="16" s="1"/>
  <c r="AX217" i="16"/>
  <c r="F217" i="16" s="1"/>
  <c r="AX219" i="16"/>
  <c r="F219" i="16" s="1"/>
  <c r="AX221" i="16"/>
  <c r="F221" i="16" s="1"/>
  <c r="AX223" i="16"/>
  <c r="F223" i="16" s="1"/>
  <c r="AX225" i="16"/>
  <c r="F225" i="16" s="1"/>
  <c r="AX227" i="16"/>
  <c r="F227" i="16" s="1"/>
  <c r="AX229" i="16"/>
  <c r="F229" i="16" s="1"/>
  <c r="AX231" i="16"/>
  <c r="F231" i="16" s="1"/>
  <c r="AX233" i="16"/>
  <c r="F233" i="16" s="1"/>
  <c r="AX235" i="16"/>
  <c r="F235" i="16" s="1"/>
  <c r="AX237" i="16"/>
  <c r="F237" i="16" s="1"/>
  <c r="AX239" i="16"/>
  <c r="F239" i="16" s="1"/>
  <c r="AX241" i="16"/>
  <c r="F241" i="16" s="1"/>
  <c r="AX243" i="16"/>
  <c r="F243" i="16" s="1"/>
  <c r="AX245" i="16"/>
  <c r="F245" i="16" s="1"/>
  <c r="AX247" i="16"/>
  <c r="F247" i="16" s="1"/>
  <c r="AX249" i="16"/>
  <c r="F249" i="16" s="1"/>
  <c r="AX251" i="16"/>
  <c r="F251" i="16" s="1"/>
  <c r="AX253" i="16"/>
  <c r="H253" i="16" s="1"/>
  <c r="AX255" i="16"/>
  <c r="AX257" i="16"/>
  <c r="F257" i="16" s="1"/>
  <c r="AX259" i="16"/>
  <c r="F259" i="16" s="1"/>
  <c r="AG17" i="16" s="1"/>
  <c r="AX261" i="16"/>
  <c r="H261" i="16" s="1"/>
  <c r="AX263" i="16"/>
  <c r="F263" i="16" s="1"/>
  <c r="AX265" i="16"/>
  <c r="F265" i="16" s="1"/>
  <c r="AX267" i="16"/>
  <c r="F267" i="16" s="1"/>
  <c r="AX269" i="16"/>
  <c r="H269" i="16" s="1"/>
  <c r="AX271" i="16"/>
  <c r="F271" i="16" s="1"/>
  <c r="AX273" i="16"/>
  <c r="F273" i="16" s="1"/>
  <c r="AX275" i="16"/>
  <c r="F275" i="16" s="1"/>
  <c r="AX277" i="16"/>
  <c r="F277" i="16" s="1"/>
  <c r="AX279" i="16"/>
  <c r="F279" i="16" s="1"/>
  <c r="AX281" i="16"/>
  <c r="H281" i="16" s="1"/>
  <c r="AX283" i="16"/>
  <c r="F283" i="16" s="1"/>
  <c r="AX285" i="16"/>
  <c r="F285" i="16" s="1"/>
  <c r="AX287" i="16"/>
  <c r="F287" i="16" s="1"/>
  <c r="AX289" i="16"/>
  <c r="H289" i="16" s="1"/>
  <c r="AX291" i="16"/>
  <c r="F291" i="16" s="1"/>
  <c r="AX293" i="16"/>
  <c r="F293" i="16" s="1"/>
  <c r="AX295" i="16"/>
  <c r="F295" i="16" s="1"/>
  <c r="AX297" i="16"/>
  <c r="F297" i="16" s="1"/>
  <c r="AX299" i="16"/>
  <c r="F299" i="16" s="1"/>
  <c r="AX301" i="16"/>
  <c r="F301" i="16" s="1"/>
  <c r="AX303" i="16"/>
  <c r="F303" i="16" s="1"/>
  <c r="AX305" i="16"/>
  <c r="H305" i="16" s="1"/>
  <c r="AX307" i="16"/>
  <c r="F307" i="16" s="1"/>
  <c r="AX309" i="16"/>
  <c r="F309" i="16" s="1"/>
  <c r="AX311" i="16"/>
  <c r="F311" i="16" s="1"/>
  <c r="AX313" i="16"/>
  <c r="H313" i="16" s="1"/>
  <c r="AX315" i="16"/>
  <c r="F315" i="16" s="1"/>
  <c r="AX317" i="16"/>
  <c r="H317" i="16" s="1"/>
  <c r="AX319" i="16"/>
  <c r="F319" i="16" s="1"/>
  <c r="AX321" i="16"/>
  <c r="F321" i="16" s="1"/>
  <c r="AX323" i="16"/>
  <c r="F323" i="16" s="1"/>
  <c r="AG18" i="16" s="1"/>
  <c r="AX325" i="16"/>
  <c r="F325" i="16" s="1"/>
  <c r="AX327" i="16"/>
  <c r="AX329" i="16"/>
  <c r="F329" i="16" s="1"/>
  <c r="AX331" i="16"/>
  <c r="AX333" i="16"/>
  <c r="F333" i="16" s="1"/>
  <c r="AX335" i="16"/>
  <c r="F335" i="16" s="1"/>
  <c r="AX337" i="16"/>
  <c r="F337" i="16" s="1"/>
  <c r="AX339" i="16"/>
  <c r="F339" i="16" s="1"/>
  <c r="AX341" i="16"/>
  <c r="H341" i="16" s="1"/>
  <c r="AX343" i="16"/>
  <c r="F343" i="16" s="1"/>
  <c r="AX345" i="16"/>
  <c r="F345" i="16" s="1"/>
  <c r="AX347" i="16"/>
  <c r="F347" i="16" s="1"/>
  <c r="AX349" i="16"/>
  <c r="F349" i="16" s="1"/>
  <c r="AX351" i="16"/>
  <c r="F351" i="16" s="1"/>
  <c r="AX353" i="16"/>
  <c r="AX355" i="16"/>
  <c r="F355" i="16" s="1"/>
  <c r="AX357" i="16"/>
  <c r="F357" i="16" s="1"/>
  <c r="AX359" i="16"/>
  <c r="F359" i="16" s="1"/>
  <c r="AX361" i="16"/>
  <c r="F361" i="16" s="1"/>
  <c r="AX363" i="16"/>
  <c r="F363" i="16" s="1"/>
  <c r="AX11" i="16"/>
  <c r="F11" i="16" s="1"/>
  <c r="AX354" i="16"/>
  <c r="AX356" i="16"/>
  <c r="F356" i="16" s="1"/>
  <c r="AX358" i="16"/>
  <c r="F358" i="16" s="1"/>
  <c r="AX360" i="16"/>
  <c r="F360" i="16" s="1"/>
  <c r="AX362" i="16"/>
  <c r="F362" i="16" s="1"/>
  <c r="B362" i="16"/>
  <c r="B225" i="16"/>
  <c r="B227" i="16"/>
  <c r="B229" i="16"/>
  <c r="B231" i="16"/>
  <c r="B232" i="16"/>
  <c r="B234" i="16"/>
  <c r="B235" i="16"/>
  <c r="B236" i="16"/>
  <c r="B238" i="16"/>
  <c r="B241" i="16"/>
  <c r="B243" i="16"/>
  <c r="B244" i="16"/>
  <c r="B246" i="16"/>
  <c r="B249" i="16"/>
  <c r="B251" i="16"/>
  <c r="B254" i="16"/>
  <c r="B256" i="16"/>
  <c r="B257" i="16"/>
  <c r="B259" i="16"/>
  <c r="B264" i="16"/>
  <c r="B266" i="16"/>
  <c r="B267" i="16"/>
  <c r="B269" i="16"/>
  <c r="B270" i="16"/>
  <c r="B272" i="16"/>
  <c r="B275" i="16"/>
  <c r="B277" i="16"/>
  <c r="B278" i="16"/>
  <c r="B280" i="16"/>
  <c r="B282" i="16"/>
  <c r="B285" i="16"/>
  <c r="B287" i="16"/>
  <c r="B288" i="16"/>
  <c r="B290" i="16"/>
  <c r="B295" i="16"/>
  <c r="B297" i="16"/>
  <c r="B298" i="16"/>
  <c r="B300" i="16"/>
  <c r="B303" i="16"/>
  <c r="B306" i="16"/>
  <c r="B308" i="16"/>
  <c r="B309" i="16"/>
  <c r="B310" i="16"/>
  <c r="B312" i="16"/>
  <c r="B316" i="16"/>
  <c r="B320" i="16"/>
  <c r="B322" i="16"/>
  <c r="B323" i="16"/>
  <c r="B325" i="16"/>
  <c r="B328" i="16"/>
  <c r="B330" i="16"/>
  <c r="B333" i="16"/>
  <c r="B335" i="16"/>
  <c r="B336" i="16"/>
  <c r="B338" i="16"/>
  <c r="B342" i="16"/>
  <c r="B343" i="16"/>
  <c r="B361" i="16"/>
  <c r="B12" i="11"/>
  <c r="B20" i="11"/>
  <c r="B47" i="11"/>
  <c r="B65" i="11"/>
  <c r="B81" i="11"/>
  <c r="B30" i="11"/>
  <c r="B38" i="11"/>
  <c r="B44" i="11"/>
  <c r="B74" i="11"/>
  <c r="B10" i="11"/>
  <c r="B26" i="11"/>
  <c r="B27" i="11"/>
  <c r="B29" i="11"/>
  <c r="B34" i="11"/>
  <c r="B35" i="11"/>
  <c r="B36" i="11"/>
  <c r="B37" i="11"/>
  <c r="B43" i="11"/>
  <c r="B46" i="11"/>
  <c r="B49" i="11"/>
  <c r="B50" i="11"/>
  <c r="B51" i="11"/>
  <c r="B52" i="11"/>
  <c r="B53" i="11"/>
  <c r="B54" i="11"/>
  <c r="B55" i="11"/>
  <c r="B56" i="11"/>
  <c r="B57" i="11"/>
  <c r="B58" i="11"/>
  <c r="B59" i="11"/>
  <c r="B60" i="11"/>
  <c r="B61" i="11"/>
  <c r="B62" i="11"/>
  <c r="B63" i="11"/>
  <c r="B64" i="11"/>
  <c r="B72" i="11"/>
  <c r="B73" i="11"/>
  <c r="B76" i="11"/>
  <c r="B77" i="11"/>
  <c r="B78" i="11"/>
  <c r="B79" i="11"/>
  <c r="B80" i="11"/>
  <c r="B85" i="11"/>
  <c r="B87" i="11"/>
  <c r="B88" i="11"/>
  <c r="B106" i="11"/>
  <c r="B124" i="11"/>
  <c r="B132" i="11"/>
  <c r="B140" i="11"/>
  <c r="B166" i="11"/>
  <c r="B174" i="11"/>
  <c r="B184" i="11"/>
  <c r="B359" i="11"/>
  <c r="B358" i="11"/>
  <c r="B357" i="11"/>
  <c r="B356" i="11"/>
  <c r="B355" i="11"/>
  <c r="B354" i="11"/>
  <c r="B350" i="11"/>
  <c r="B349" i="11"/>
  <c r="B343" i="11"/>
  <c r="B339" i="11"/>
  <c r="B338" i="11"/>
  <c r="B337" i="11"/>
  <c r="B336" i="11"/>
  <c r="B335" i="11"/>
  <c r="B334" i="11"/>
  <c r="B333" i="11"/>
  <c r="B332" i="11"/>
  <c r="B331" i="11"/>
  <c r="B330" i="11"/>
  <c r="B329" i="11"/>
  <c r="B328" i="11"/>
  <c r="B327" i="11"/>
  <c r="B299" i="11"/>
  <c r="B298" i="11"/>
  <c r="B291" i="11"/>
  <c r="B290" i="11"/>
  <c r="B289" i="11"/>
  <c r="B288" i="11"/>
  <c r="B283" i="11"/>
  <c r="B277" i="11"/>
  <c r="B276" i="11"/>
  <c r="B259" i="11"/>
  <c r="B254" i="11"/>
  <c r="B253" i="11"/>
  <c r="B252" i="11"/>
  <c r="B353" i="11"/>
  <c r="B352" i="11"/>
  <c r="B348" i="11"/>
  <c r="B347" i="11"/>
  <c r="B346" i="11"/>
  <c r="B345" i="11"/>
  <c r="B342" i="11"/>
  <c r="B326" i="11"/>
  <c r="B325" i="11"/>
  <c r="B324" i="11"/>
  <c r="B322" i="11"/>
  <c r="B320" i="11"/>
  <c r="B319" i="11"/>
  <c r="B318" i="11"/>
  <c r="B317" i="11"/>
  <c r="B315" i="11"/>
  <c r="B314" i="11"/>
  <c r="B313" i="11"/>
  <c r="B312" i="11"/>
  <c r="B311" i="11"/>
  <c r="B310" i="11"/>
  <c r="B309" i="11"/>
  <c r="B308" i="11"/>
  <c r="B307" i="11"/>
  <c r="B306" i="11"/>
  <c r="B305" i="11"/>
  <c r="B304" i="11"/>
  <c r="B303" i="11"/>
  <c r="B302" i="11"/>
  <c r="B301" i="11"/>
  <c r="B297" i="11"/>
  <c r="B296" i="11"/>
  <c r="B294" i="11"/>
  <c r="B293" i="11"/>
  <c r="B287" i="11"/>
  <c r="B286" i="11"/>
  <c r="B285" i="11"/>
  <c r="B282" i="11"/>
  <c r="B281" i="11"/>
  <c r="B280" i="11"/>
  <c r="B279" i="11"/>
  <c r="B275" i="11"/>
  <c r="B274" i="11"/>
  <c r="B273" i="11"/>
  <c r="B272" i="11"/>
  <c r="B271" i="11"/>
  <c r="B270" i="11"/>
  <c r="B269" i="11"/>
  <c r="B268" i="11"/>
  <c r="B267" i="11"/>
  <c r="B266" i="11"/>
  <c r="B265" i="11"/>
  <c r="B264" i="11"/>
  <c r="B263" i="11"/>
  <c r="B262" i="11"/>
  <c r="B261" i="11"/>
  <c r="B257" i="11"/>
  <c r="B256" i="11"/>
  <c r="B255" i="11"/>
  <c r="B250" i="11"/>
  <c r="B249" i="11"/>
  <c r="B246" i="11"/>
  <c r="B245" i="11"/>
  <c r="B244" i="11"/>
  <c r="B243" i="11"/>
  <c r="B242" i="11"/>
  <c r="B241" i="11"/>
  <c r="B235" i="11"/>
  <c r="B228" i="11"/>
  <c r="B227" i="11"/>
  <c r="B226" i="11"/>
  <c r="B225" i="11"/>
  <c r="B224" i="11"/>
  <c r="B223" i="11"/>
  <c r="B222" i="11"/>
  <c r="B221" i="11"/>
  <c r="B217" i="11"/>
  <c r="B216" i="11"/>
  <c r="B240" i="11"/>
  <c r="B239" i="11"/>
  <c r="B238" i="11"/>
  <c r="B237" i="11"/>
  <c r="B234" i="11"/>
  <c r="B233" i="11"/>
  <c r="B232" i="11"/>
  <c r="B231" i="11"/>
  <c r="B230" i="11"/>
  <c r="B215" i="11"/>
  <c r="B214" i="11"/>
  <c r="B213" i="11"/>
  <c r="B212" i="11"/>
  <c r="B210" i="11"/>
  <c r="B206" i="11"/>
  <c r="B205" i="11"/>
  <c r="B204" i="11"/>
  <c r="B203" i="11"/>
  <c r="B202" i="11"/>
  <c r="B201" i="11"/>
  <c r="B200" i="11"/>
  <c r="B199" i="11"/>
  <c r="B198" i="11"/>
  <c r="B197" i="11"/>
  <c r="B194" i="11"/>
  <c r="B183" i="11"/>
  <c r="B182" i="11"/>
  <c r="B181" i="11"/>
  <c r="B180" i="11"/>
  <c r="B170" i="11"/>
  <c r="B169" i="11"/>
  <c r="B165" i="11"/>
  <c r="B156" i="11"/>
  <c r="B154" i="11"/>
  <c r="B153" i="11"/>
  <c r="B152" i="11"/>
  <c r="B151" i="11"/>
  <c r="B150" i="11"/>
  <c r="B149" i="11"/>
  <c r="B144" i="11"/>
  <c r="B143" i="11"/>
  <c r="B139" i="11"/>
  <c r="B138" i="11"/>
  <c r="B137" i="11"/>
  <c r="B136" i="11"/>
  <c r="B131" i="11"/>
  <c r="B128" i="11"/>
  <c r="B127" i="11"/>
  <c r="B123" i="11"/>
  <c r="B122" i="11"/>
  <c r="B121" i="11"/>
  <c r="B116" i="11"/>
  <c r="B115" i="11"/>
  <c r="B114" i="11"/>
  <c r="B113" i="11"/>
  <c r="B112" i="11"/>
  <c r="B111" i="11"/>
  <c r="B105" i="11"/>
  <c r="B104" i="11"/>
  <c r="B103" i="11"/>
  <c r="B102" i="11"/>
  <c r="B248" i="11"/>
  <c r="B220" i="11"/>
  <c r="B219" i="11"/>
  <c r="B209" i="11"/>
  <c r="B208" i="11"/>
  <c r="B207" i="11"/>
  <c r="B196" i="11"/>
  <c r="B193" i="11"/>
  <c r="B192" i="11"/>
  <c r="B191" i="11"/>
  <c r="B190" i="11"/>
  <c r="B189" i="11"/>
  <c r="B188" i="11"/>
  <c r="B187" i="11"/>
  <c r="B186" i="11"/>
  <c r="B185" i="11"/>
  <c r="B179" i="11"/>
  <c r="B178" i="11"/>
  <c r="B177" i="11"/>
  <c r="B176" i="11"/>
  <c r="B175" i="11"/>
  <c r="B173" i="11"/>
  <c r="B172" i="11"/>
  <c r="B171" i="11"/>
  <c r="B168" i="11"/>
  <c r="B167" i="11"/>
  <c r="B164" i="11"/>
  <c r="B162" i="11"/>
  <c r="B160" i="11"/>
  <c r="B159" i="11"/>
  <c r="B158" i="11"/>
  <c r="B157" i="11"/>
  <c r="B155" i="11"/>
  <c r="B148" i="11"/>
  <c r="B147" i="11"/>
  <c r="B146" i="11"/>
  <c r="B142" i="11"/>
  <c r="B141" i="11"/>
  <c r="B135" i="11"/>
  <c r="B134" i="11"/>
  <c r="B133" i="11"/>
  <c r="B130" i="11"/>
  <c r="B126" i="11"/>
  <c r="B125" i="11"/>
  <c r="B120" i="11"/>
  <c r="B119" i="11"/>
  <c r="B118" i="11"/>
  <c r="B110" i="11"/>
  <c r="B109" i="11"/>
  <c r="B108" i="11"/>
  <c r="B107" i="11"/>
  <c r="B11" i="11"/>
  <c r="B13" i="11"/>
  <c r="B14" i="11"/>
  <c r="B15" i="11"/>
  <c r="B16" i="11"/>
  <c r="B17" i="11"/>
  <c r="B18" i="11"/>
  <c r="B19" i="11"/>
  <c r="B21" i="11"/>
  <c r="B22" i="11"/>
  <c r="B23" i="11"/>
  <c r="B24" i="11"/>
  <c r="B25" i="11"/>
  <c r="B31" i="11"/>
  <c r="B32" i="11"/>
  <c r="B33" i="11"/>
  <c r="B39" i="11"/>
  <c r="B40" i="11"/>
  <c r="B41" i="11"/>
  <c r="B42" i="11"/>
  <c r="B45" i="11"/>
  <c r="B48" i="11"/>
  <c r="B66" i="11"/>
  <c r="B67" i="11"/>
  <c r="B68" i="11"/>
  <c r="B69" i="11"/>
  <c r="B70" i="11"/>
  <c r="B71" i="11"/>
  <c r="B75" i="11"/>
  <c r="B82" i="11"/>
  <c r="B83" i="11"/>
  <c r="B84" i="11"/>
  <c r="B90" i="11"/>
  <c r="B91" i="11"/>
  <c r="B92" i="11"/>
  <c r="B93" i="11"/>
  <c r="B94" i="11"/>
  <c r="B95" i="11"/>
  <c r="B96" i="11"/>
  <c r="B97" i="11"/>
  <c r="B98" i="11"/>
  <c r="B99" i="11"/>
  <c r="B101" i="11"/>
  <c r="B117" i="11"/>
  <c r="B129" i="11"/>
  <c r="B145" i="11"/>
  <c r="B161" i="11"/>
  <c r="B163" i="11"/>
  <c r="B195" i="11"/>
  <c r="B218" i="11"/>
  <c r="B247" i="11"/>
  <c r="B258" i="11"/>
  <c r="B278" i="11"/>
  <c r="B284" i="11"/>
  <c r="B292" i="11"/>
  <c r="B300" i="11"/>
  <c r="B316" i="11"/>
  <c r="B341" i="11"/>
  <c r="B351" i="11"/>
  <c r="B211" i="11"/>
  <c r="B229" i="11"/>
  <c r="B236" i="11"/>
  <c r="B251" i="11"/>
  <c r="B295" i="11"/>
  <c r="B321" i="11"/>
  <c r="B323" i="11"/>
  <c r="B344" i="11"/>
  <c r="B358" i="16"/>
  <c r="B22" i="16"/>
  <c r="B344" i="16"/>
  <c r="B345" i="16"/>
  <c r="B354" i="16"/>
  <c r="B346" i="16"/>
  <c r="B347" i="16"/>
  <c r="B352" i="16"/>
  <c r="B353" i="16"/>
  <c r="B359" i="16"/>
  <c r="B360" i="16"/>
  <c r="B340" i="16"/>
  <c r="B341" i="16"/>
  <c r="B348" i="16"/>
  <c r="B349" i="16"/>
  <c r="B350" i="16"/>
  <c r="B355" i="16"/>
  <c r="B356" i="16"/>
  <c r="B363" i="16"/>
  <c r="B351" i="16"/>
  <c r="B357" i="16"/>
  <c r="D8" i="16"/>
  <c r="G8" i="16"/>
  <c r="I8" i="16"/>
  <c r="G3" i="16"/>
  <c r="J9" i="8" s="1"/>
  <c r="I3" i="16"/>
  <c r="P8" i="16"/>
  <c r="AF11" i="16"/>
  <c r="F3" i="16"/>
  <c r="H3" i="16"/>
  <c r="J11" i="8" s="1"/>
  <c r="AG14" i="16" l="1"/>
  <c r="AX120" i="16"/>
  <c r="F120" i="16" s="1"/>
  <c r="AX96" i="16"/>
  <c r="F96" i="16" s="1"/>
  <c r="AG12" i="16" s="1"/>
  <c r="AX72" i="16"/>
  <c r="F72" i="16" s="1"/>
  <c r="AX48" i="16"/>
  <c r="F48" i="16" s="1"/>
  <c r="AX24" i="16"/>
  <c r="F24" i="16" s="1"/>
  <c r="AX136" i="16"/>
  <c r="AX112" i="16"/>
  <c r="AX88" i="16"/>
  <c r="F88" i="16" s="1"/>
  <c r="AX64" i="16"/>
  <c r="F64" i="16" s="1"/>
  <c r="AX40" i="16"/>
  <c r="F40" i="16" s="1"/>
  <c r="AX16" i="16"/>
  <c r="H16" i="16" s="1"/>
  <c r="AX132" i="16"/>
  <c r="F132" i="16" s="1"/>
  <c r="AX108" i="16"/>
  <c r="F108" i="16" s="1"/>
  <c r="AX84" i="16"/>
  <c r="F84" i="16" s="1"/>
  <c r="AX60" i="16"/>
  <c r="F60" i="16" s="1"/>
  <c r="AX36" i="16"/>
  <c r="F36" i="16" s="1"/>
  <c r="AX12" i="16"/>
  <c r="F12" i="16" s="1"/>
  <c r="AG11" i="16" s="1"/>
  <c r="AX148" i="16"/>
  <c r="F148" i="16" s="1"/>
  <c r="AX124" i="16"/>
  <c r="F124" i="16" s="1"/>
  <c r="AX100" i="16"/>
  <c r="F100" i="16" s="1"/>
  <c r="AX76" i="16"/>
  <c r="F76" i="16" s="1"/>
  <c r="AG21" i="16" s="1"/>
  <c r="AX52" i="16"/>
  <c r="F52" i="16" s="1"/>
  <c r="H69" i="16"/>
  <c r="H277" i="16"/>
  <c r="H121" i="16"/>
  <c r="F105" i="16"/>
  <c r="F253" i="16"/>
  <c r="F350" i="16"/>
  <c r="F39" i="16"/>
  <c r="F183" i="16"/>
  <c r="F327" i="16"/>
  <c r="F292" i="16"/>
  <c r="F172" i="16"/>
  <c r="F137" i="16"/>
  <c r="F281" i="16"/>
  <c r="F199" i="16"/>
  <c r="F114" i="16"/>
  <c r="F258" i="16"/>
  <c r="H140" i="16"/>
  <c r="H156" i="16"/>
  <c r="H348" i="16"/>
  <c r="H272" i="16"/>
  <c r="H192" i="16"/>
  <c r="H75" i="16"/>
  <c r="H299" i="16"/>
  <c r="H211" i="16"/>
  <c r="H111" i="16"/>
  <c r="H114" i="16"/>
  <c r="H346" i="16"/>
  <c r="H270" i="16"/>
  <c r="H186" i="16"/>
  <c r="H185" i="16"/>
  <c r="H361" i="16"/>
  <c r="H113" i="16"/>
  <c r="F261" i="16"/>
  <c r="H128" i="16"/>
  <c r="H344" i="16"/>
  <c r="H264" i="16"/>
  <c r="H160" i="16"/>
  <c r="H363" i="16"/>
  <c r="H295" i="16"/>
  <c r="H207" i="16"/>
  <c r="H103" i="16"/>
  <c r="H102" i="16"/>
  <c r="H338" i="16"/>
  <c r="H262" i="16"/>
  <c r="H178" i="16"/>
  <c r="H181" i="16"/>
  <c r="H349" i="16"/>
  <c r="F305" i="16"/>
  <c r="F282" i="16"/>
  <c r="H116" i="16"/>
  <c r="H340" i="16"/>
  <c r="H252" i="16"/>
  <c r="H148" i="16"/>
  <c r="H355" i="16"/>
  <c r="H283" i="16"/>
  <c r="H203" i="16"/>
  <c r="H87" i="16"/>
  <c r="H70" i="16"/>
  <c r="H334" i="16"/>
  <c r="H258" i="16"/>
  <c r="H174" i="16"/>
  <c r="H153" i="16"/>
  <c r="H345" i="16"/>
  <c r="H81" i="16"/>
  <c r="F289" i="16"/>
  <c r="F317" i="16"/>
  <c r="H104" i="16"/>
  <c r="H336" i="16"/>
  <c r="H248" i="16"/>
  <c r="H120" i="16"/>
  <c r="H347" i="16"/>
  <c r="H279" i="16"/>
  <c r="H199" i="16"/>
  <c r="H79" i="16"/>
  <c r="H11" i="16"/>
  <c r="H326" i="16"/>
  <c r="H250" i="16"/>
  <c r="H166" i="16"/>
  <c r="H145" i="16"/>
  <c r="H241" i="16"/>
  <c r="H73" i="16"/>
  <c r="F13" i="16"/>
  <c r="AG20" i="16" s="1"/>
  <c r="F306" i="16"/>
  <c r="H72" i="16"/>
  <c r="H328" i="16"/>
  <c r="H244" i="16"/>
  <c r="H112" i="16"/>
  <c r="H343" i="16"/>
  <c r="H275" i="16"/>
  <c r="H195" i="16"/>
  <c r="H71" i="16"/>
  <c r="H158" i="16"/>
  <c r="H318" i="16"/>
  <c r="H246" i="16"/>
  <c r="H134" i="16"/>
  <c r="H117" i="16"/>
  <c r="H337" i="16"/>
  <c r="H225" i="16"/>
  <c r="F313" i="16"/>
  <c r="F208" i="16"/>
  <c r="AG24" i="16" s="1"/>
  <c r="F352" i="16"/>
  <c r="F53" i="16"/>
  <c r="F197" i="16"/>
  <c r="F341" i="16"/>
  <c r="F30" i="16"/>
  <c r="F174" i="16"/>
  <c r="F318" i="16"/>
  <c r="H88" i="16"/>
  <c r="H316" i="16"/>
  <c r="H240" i="16"/>
  <c r="H96" i="16"/>
  <c r="H339" i="16"/>
  <c r="H271" i="16"/>
  <c r="H191" i="16"/>
  <c r="H63" i="16"/>
  <c r="H130" i="16"/>
  <c r="H310" i="16"/>
  <c r="H242" i="16"/>
  <c r="H118" i="16"/>
  <c r="H109" i="16"/>
  <c r="H321" i="16"/>
  <c r="H217" i="16"/>
  <c r="H49" i="16"/>
  <c r="F33" i="16"/>
  <c r="AG25" i="16" s="1"/>
  <c r="F134" i="16"/>
  <c r="F278" i="16"/>
  <c r="F331" i="16"/>
  <c r="F111" i="16"/>
  <c r="F255" i="16"/>
  <c r="F175" i="16"/>
  <c r="F220" i="16"/>
  <c r="F65" i="16"/>
  <c r="F209" i="16"/>
  <c r="F353" i="16"/>
  <c r="F42" i="16"/>
  <c r="F186" i="16"/>
  <c r="F330" i="16"/>
  <c r="H48" i="16"/>
  <c r="H312" i="16"/>
  <c r="H236" i="16"/>
  <c r="H327" i="16"/>
  <c r="H259" i="16"/>
  <c r="H187" i="16"/>
  <c r="H43" i="16"/>
  <c r="H122" i="16"/>
  <c r="H302" i="16"/>
  <c r="H230" i="16"/>
  <c r="H106" i="16"/>
  <c r="H101" i="16"/>
  <c r="H213" i="16"/>
  <c r="F189" i="16"/>
  <c r="H64" i="16"/>
  <c r="H300" i="16"/>
  <c r="H228" i="16"/>
  <c r="H323" i="16"/>
  <c r="H255" i="16"/>
  <c r="H159" i="16"/>
  <c r="H35" i="16"/>
  <c r="H82" i="16"/>
  <c r="H294" i="16"/>
  <c r="H226" i="16"/>
  <c r="H46" i="16"/>
  <c r="H85" i="16"/>
  <c r="H201" i="16"/>
  <c r="F354" i="16"/>
  <c r="H22" i="16"/>
  <c r="H25" i="16"/>
  <c r="H292" i="16"/>
  <c r="H216" i="16"/>
  <c r="H167" i="16"/>
  <c r="H319" i="16"/>
  <c r="H251" i="16"/>
  <c r="H155" i="16"/>
  <c r="H24" i="16"/>
  <c r="H66" i="16"/>
  <c r="H290" i="16"/>
  <c r="H222" i="16"/>
  <c r="H30" i="16"/>
  <c r="H77" i="16"/>
  <c r="H288" i="16"/>
  <c r="H208" i="16"/>
  <c r="H143" i="16"/>
  <c r="H315" i="16"/>
  <c r="H247" i="16"/>
  <c r="H147" i="16"/>
  <c r="H18" i="16"/>
  <c r="H58" i="16"/>
  <c r="H282" i="16"/>
  <c r="H210" i="16"/>
  <c r="H23" i="16"/>
  <c r="AX364" i="16"/>
  <c r="H364" i="16" s="1"/>
  <c r="AX368" i="16"/>
  <c r="F368" i="16" s="1"/>
  <c r="AX365" i="16"/>
  <c r="AX367" i="16"/>
  <c r="AX366" i="16"/>
  <c r="H59" i="16"/>
  <c r="H55" i="16"/>
  <c r="H280" i="16"/>
  <c r="H200" i="16"/>
  <c r="H123" i="16"/>
  <c r="H311" i="16"/>
  <c r="H235" i="16"/>
  <c r="H131" i="16"/>
  <c r="H15" i="16"/>
  <c r="H50" i="16"/>
  <c r="H278" i="16"/>
  <c r="H206" i="16"/>
  <c r="H17" i="16"/>
  <c r="H61" i="16"/>
  <c r="F112" i="16"/>
  <c r="F280" i="16"/>
  <c r="F136" i="16"/>
  <c r="F125" i="16"/>
  <c r="F269" i="16"/>
  <c r="F151" i="16"/>
  <c r="F102" i="16"/>
  <c r="F246" i="16"/>
  <c r="H152" i="16"/>
  <c r="H180" i="16"/>
  <c r="H352" i="16"/>
  <c r="H276" i="16"/>
  <c r="H196" i="16"/>
  <c r="H91" i="16"/>
  <c r="H307" i="16"/>
  <c r="H219" i="16"/>
  <c r="H127" i="16"/>
  <c r="H142" i="16"/>
  <c r="H358" i="16"/>
  <c r="H274" i="16"/>
  <c r="H194" i="16"/>
  <c r="H14" i="16"/>
  <c r="H41" i="16"/>
  <c r="H8" i="16"/>
  <c r="D22" i="8"/>
  <c r="D21" i="8"/>
  <c r="X9" i="16"/>
  <c r="AI9" i="16"/>
  <c r="AP9" i="16"/>
  <c r="J10" i="8"/>
  <c r="H60" i="16" l="1"/>
  <c r="H108" i="16"/>
  <c r="H124" i="16"/>
  <c r="F16" i="16"/>
  <c r="H132" i="16"/>
  <c r="H40" i="16"/>
  <c r="H52" i="16"/>
  <c r="AG13" i="16"/>
  <c r="H76" i="16"/>
  <c r="H12" i="16"/>
  <c r="H100" i="16"/>
  <c r="H367" i="16"/>
  <c r="F367" i="16"/>
  <c r="AG23" i="16" s="1"/>
  <c r="F364" i="16"/>
  <c r="F366" i="16"/>
  <c r="AG26" i="16" s="1"/>
  <c r="H366" i="16"/>
  <c r="H365" i="16"/>
  <c r="F365" i="16"/>
  <c r="B39" i="8"/>
  <c r="K89" i="8"/>
  <c r="L35" i="8"/>
  <c r="I269" i="16" l="1"/>
  <c r="I262" i="16"/>
  <c r="I349" i="16"/>
  <c r="I192" i="16"/>
  <c r="I261" i="16"/>
  <c r="I364" i="16"/>
  <c r="AE26" i="16"/>
  <c r="I22" i="16"/>
  <c r="I108" i="16"/>
  <c r="I122" i="16"/>
  <c r="I167" i="16"/>
  <c r="I241" i="16"/>
  <c r="I344" i="16"/>
  <c r="I77" i="16"/>
  <c r="I23" i="16"/>
  <c r="I46" i="16"/>
  <c r="I189" i="16"/>
  <c r="I195" i="16"/>
  <c r="I341" i="16"/>
  <c r="I75" i="16"/>
  <c r="I271" i="16"/>
  <c r="I13" i="16"/>
  <c r="I178" i="16"/>
  <c r="I302" i="16"/>
  <c r="I203" i="16"/>
  <c r="I292" i="16"/>
  <c r="I50" i="16"/>
  <c r="I216" i="16"/>
  <c r="I323" i="16"/>
  <c r="I73" i="16"/>
  <c r="I166" i="16"/>
  <c r="I25" i="16"/>
  <c r="I159" i="16"/>
  <c r="I104" i="16"/>
  <c r="I343" i="16"/>
  <c r="I96" i="16"/>
  <c r="I145" i="16"/>
  <c r="I132" i="16"/>
  <c r="I106" i="16"/>
  <c r="I299" i="16"/>
  <c r="I208" i="16"/>
  <c r="I49" i="16"/>
  <c r="I275" i="16"/>
  <c r="I181" i="16"/>
  <c r="I152" i="16"/>
  <c r="I365" i="16"/>
  <c r="I274" i="16"/>
  <c r="I12" i="16"/>
  <c r="I339" i="16"/>
  <c r="I87" i="16"/>
  <c r="I253" i="16"/>
  <c r="I281" i="16"/>
  <c r="I336" i="16"/>
  <c r="I211" i="16"/>
  <c r="I71" i="16"/>
  <c r="AE12" i="16"/>
  <c r="I283" i="16"/>
  <c r="I128" i="16"/>
  <c r="I63" i="16"/>
  <c r="I255" i="16"/>
  <c r="I191" i="16"/>
  <c r="I288" i="16"/>
  <c r="AE14" i="16"/>
  <c r="I69" i="16"/>
  <c r="I318" i="16"/>
  <c r="I17" i="16"/>
  <c r="I328" i="16"/>
  <c r="I101" i="16"/>
  <c r="I352" i="16"/>
  <c r="I337" i="16"/>
  <c r="I305" i="16"/>
  <c r="I319" i="16"/>
  <c r="I18" i="16"/>
  <c r="I105" i="16"/>
  <c r="I295" i="16"/>
  <c r="I64" i="16"/>
  <c r="I70" i="16"/>
  <c r="I277" i="16"/>
  <c r="I153" i="16"/>
  <c r="I248" i="16"/>
  <c r="I111" i="16"/>
  <c r="I14" i="16"/>
  <c r="I236" i="16"/>
  <c r="I264" i="16"/>
  <c r="I345" i="16"/>
  <c r="I226" i="16"/>
  <c r="I348" i="16"/>
  <c r="I334" i="16"/>
  <c r="I33" i="16"/>
  <c r="I61" i="16"/>
  <c r="I102" i="16"/>
  <c r="I363" i="16"/>
  <c r="I117" i="16"/>
  <c r="I290" i="16"/>
  <c r="I312" i="16"/>
  <c r="I207" i="16"/>
  <c r="I123" i="16"/>
  <c r="I114" i="16"/>
  <c r="I213" i="16"/>
  <c r="I125" i="16"/>
  <c r="I355" i="16"/>
  <c r="I347" i="16"/>
  <c r="I247" i="16"/>
  <c r="I185" i="16"/>
  <c r="I30" i="16"/>
  <c r="AE24" i="16"/>
  <c r="AE19" i="16"/>
  <c r="AE15" i="16"/>
  <c r="AE25" i="16"/>
  <c r="AE20" i="16"/>
  <c r="AE13" i="16"/>
  <c r="AE17" i="16"/>
  <c r="AE11" i="16"/>
  <c r="AE18" i="16"/>
  <c r="I280" i="16"/>
  <c r="I230" i="16"/>
  <c r="I120" i="16"/>
  <c r="I76" i="16"/>
  <c r="I137" i="16"/>
  <c r="I251" i="16"/>
  <c r="I270" i="16"/>
  <c r="I55" i="16"/>
  <c r="AE16" i="16"/>
  <c r="I109" i="16"/>
  <c r="AE21" i="16"/>
  <c r="I201" i="16"/>
  <c r="I338" i="16"/>
  <c r="I43" i="16"/>
  <c r="I278" i="16"/>
  <c r="I82" i="16"/>
  <c r="I346" i="16"/>
  <c r="I59" i="16"/>
  <c r="I124" i="16"/>
  <c r="I340" i="16"/>
  <c r="I156" i="16"/>
  <c r="I327" i="16"/>
  <c r="I361" i="16"/>
  <c r="I282" i="16"/>
  <c r="I250" i="16"/>
  <c r="I235" i="16"/>
  <c r="I112" i="16"/>
  <c r="I127" i="16"/>
  <c r="I315" i="16"/>
  <c r="I116" i="16"/>
  <c r="I199" i="16"/>
  <c r="I118" i="16"/>
  <c r="I103" i="16"/>
  <c r="I85" i="16"/>
  <c r="I148" i="16"/>
  <c r="I307" i="16"/>
  <c r="I240" i="16"/>
  <c r="I131" i="16"/>
  <c r="I121" i="16"/>
  <c r="I366" i="16"/>
  <c r="I174" i="16"/>
  <c r="I41" i="16"/>
  <c r="I72" i="16"/>
  <c r="I40" i="16"/>
  <c r="I252" i="16"/>
  <c r="I66" i="16"/>
  <c r="I326" i="16"/>
  <c r="I158" i="16"/>
  <c r="I217" i="16"/>
  <c r="I142" i="16"/>
  <c r="I279" i="16"/>
  <c r="I276" i="16"/>
  <c r="I134" i="16"/>
  <c r="I289" i="16"/>
  <c r="I81" i="16"/>
  <c r="I58" i="16"/>
  <c r="I244" i="16"/>
  <c r="I143" i="16"/>
  <c r="I187" i="16"/>
  <c r="I15" i="16"/>
  <c r="I160" i="16"/>
  <c r="I206" i="16"/>
  <c r="I246" i="16"/>
  <c r="I79" i="16"/>
  <c r="I242" i="16"/>
  <c r="I140" i="16"/>
  <c r="I11" i="16"/>
  <c r="I200" i="16"/>
  <c r="I225" i="16"/>
  <c r="I24" i="16"/>
  <c r="I228" i="16"/>
  <c r="I358" i="16"/>
  <c r="I258" i="16"/>
  <c r="I180" i="16"/>
  <c r="I310" i="16"/>
  <c r="I60" i="16"/>
  <c r="I186" i="16"/>
  <c r="K12" i="16"/>
  <c r="I91" i="16"/>
  <c r="I316" i="16"/>
  <c r="I222" i="16"/>
  <c r="I35" i="16"/>
  <c r="I48" i="16"/>
  <c r="I321" i="16"/>
  <c r="I317" i="16"/>
  <c r="I210" i="16"/>
  <c r="I194" i="16"/>
  <c r="I65" i="16"/>
  <c r="I155" i="16"/>
  <c r="I100" i="16"/>
  <c r="AE23" i="16"/>
  <c r="I259" i="16"/>
  <c r="I272" i="16"/>
  <c r="I311" i="16"/>
  <c r="AE22" i="16"/>
  <c r="I130" i="16"/>
  <c r="I52" i="16"/>
  <c r="I294" i="16"/>
  <c r="I313" i="16"/>
  <c r="I147" i="16"/>
  <c r="I196" i="16"/>
  <c r="I88" i="16"/>
  <c r="I367" i="16"/>
  <c r="I300" i="16"/>
  <c r="I113" i="16"/>
  <c r="I219" i="16"/>
  <c r="I16" i="16"/>
  <c r="T39" i="8"/>
  <c r="D50" i="8"/>
  <c r="AG9" i="16"/>
  <c r="G118" i="8"/>
  <c r="E48" i="8"/>
  <c r="Q37" i="8"/>
  <c r="V37" i="8" l="1"/>
  <c r="B33" i="8" s="1"/>
  <c r="L11" i="16"/>
  <c r="S11" i="16" s="1"/>
  <c r="L12" i="16"/>
  <c r="AA12" i="16" s="1"/>
  <c r="K13" i="16"/>
  <c r="B86" i="8"/>
  <c r="U86" i="8" s="1"/>
  <c r="AH18" i="16"/>
  <c r="AH12" i="16"/>
  <c r="AH20" i="16"/>
  <c r="AH26" i="16"/>
  <c r="AH23" i="16"/>
  <c r="AH17" i="16"/>
  <c r="AH19" i="16"/>
  <c r="AH16" i="16"/>
  <c r="AH21" i="16"/>
  <c r="AH13" i="16"/>
  <c r="AH14" i="16"/>
  <c r="AH15" i="16"/>
  <c r="AH24" i="16"/>
  <c r="AH22" i="16"/>
  <c r="AH25" i="16"/>
  <c r="AH11" i="16"/>
  <c r="X11" i="16" l="1"/>
  <c r="Y11" i="16" s="1"/>
  <c r="Z11" i="16" s="1"/>
  <c r="T11" i="16"/>
  <c r="AP11" i="16"/>
  <c r="M11" i="16"/>
  <c r="N11" i="16" s="1"/>
  <c r="E66" i="8"/>
  <c r="Y66" i="8" s="1"/>
  <c r="S12" i="16"/>
  <c r="AI11" i="16"/>
  <c r="AJ11" i="16" s="1"/>
  <c r="AI12" i="16"/>
  <c r="AJ12" i="16" s="1"/>
  <c r="AK12" i="16" s="1"/>
  <c r="T12" i="16"/>
  <c r="M12" i="16"/>
  <c r="N12" i="16" s="1"/>
  <c r="X12" i="16"/>
  <c r="AP12" i="16"/>
  <c r="AA11" i="16"/>
  <c r="K14" i="16"/>
  <c r="L13" i="16"/>
  <c r="X13" i="16" s="1"/>
  <c r="Y12" i="16" l="1"/>
  <c r="AQ12" i="16"/>
  <c r="AQ11" i="16"/>
  <c r="U11" i="16"/>
  <c r="AB11" i="16"/>
  <c r="U66" i="8"/>
  <c r="U12" i="16"/>
  <c r="S13" i="16"/>
  <c r="AI13" i="16"/>
  <c r="AJ13" i="16" s="1"/>
  <c r="AK13" i="16" s="1"/>
  <c r="AP13" i="16"/>
  <c r="K15" i="16"/>
  <c r="L14" i="16"/>
  <c r="X14" i="16" s="1"/>
  <c r="AA13" i="16"/>
  <c r="T13" i="16"/>
  <c r="AB12" i="16"/>
  <c r="M13" i="16"/>
  <c r="N13" i="16" s="1"/>
  <c r="AK11" i="16"/>
  <c r="AB13" i="16" l="1"/>
  <c r="Y13" i="16"/>
  <c r="AQ13" i="16"/>
  <c r="U13" i="16"/>
  <c r="AP14" i="16"/>
  <c r="L15" i="16"/>
  <c r="M15" i="16" s="1"/>
  <c r="N15" i="16" s="1"/>
  <c r="K16" i="16"/>
  <c r="M14" i="16"/>
  <c r="N14" i="16" s="1"/>
  <c r="S14" i="16"/>
  <c r="AI14" i="16"/>
  <c r="AJ14" i="16" s="1"/>
  <c r="AK14" i="16" s="1"/>
  <c r="T14" i="16"/>
  <c r="AA14" i="16"/>
  <c r="U14" i="16" l="1"/>
  <c r="Y14" i="16"/>
  <c r="AQ14" i="16"/>
  <c r="AB14" i="16"/>
  <c r="K17" i="16"/>
  <c r="L16" i="16"/>
  <c r="S16" i="16" s="1"/>
  <c r="AP15" i="16"/>
  <c r="AQ15" i="16" s="1"/>
  <c r="S15" i="16"/>
  <c r="X15" i="16"/>
  <c r="Y15" i="16" s="1"/>
  <c r="AA15" i="16"/>
  <c r="AB15" i="16" s="1"/>
  <c r="AI15" i="16"/>
  <c r="AJ15" i="16" s="1"/>
  <c r="T15" i="16"/>
  <c r="U15" i="16" s="1"/>
  <c r="AI16" i="16" l="1"/>
  <c r="T16" i="16"/>
  <c r="M16" i="16"/>
  <c r="N16" i="16" s="1"/>
  <c r="X16" i="16"/>
  <c r="AP16" i="16"/>
  <c r="K18" i="16"/>
  <c r="L17" i="16"/>
  <c r="M17" i="16" s="1"/>
  <c r="N17" i="16" s="1"/>
  <c r="AA16" i="16"/>
  <c r="AJ16" i="16" l="1"/>
  <c r="AQ16" i="16"/>
  <c r="AB16" i="16"/>
  <c r="Y16" i="16"/>
  <c r="U16" i="16"/>
  <c r="K19" i="16"/>
  <c r="L18" i="16"/>
  <c r="T18" i="16" s="1"/>
  <c r="X17" i="16"/>
  <c r="Y17" i="16" s="1"/>
  <c r="AI17" i="16"/>
  <c r="AJ17" i="16" s="1"/>
  <c r="AK17" i="16" s="1"/>
  <c r="AP17" i="16"/>
  <c r="AQ17" i="16" s="1"/>
  <c r="AA17" i="16"/>
  <c r="AB17" i="16" s="1"/>
  <c r="S17" i="16"/>
  <c r="T17" i="16"/>
  <c r="U17" i="16" s="1"/>
  <c r="Z17" i="16" l="1"/>
  <c r="X18" i="16"/>
  <c r="K20" i="16"/>
  <c r="L19" i="16"/>
  <c r="S19" i="16" s="1"/>
  <c r="AA18" i="16"/>
  <c r="M18" i="16"/>
  <c r="N18" i="16" s="1"/>
  <c r="AP18" i="16"/>
  <c r="S18" i="16"/>
  <c r="AI18" i="16"/>
  <c r="AJ18" i="16" s="1"/>
  <c r="AK18" i="16" s="1"/>
  <c r="AQ18" i="16" l="1"/>
  <c r="Y18" i="16"/>
  <c r="AB18" i="16"/>
  <c r="U18" i="16"/>
  <c r="K21" i="16"/>
  <c r="L20" i="16"/>
  <c r="AP20" i="16" s="1"/>
  <c r="T19" i="16"/>
  <c r="M19" i="16"/>
  <c r="N19" i="16" s="1"/>
  <c r="X19" i="16"/>
  <c r="AP19" i="16"/>
  <c r="AI19" i="16"/>
  <c r="AJ19" i="16" s="1"/>
  <c r="AA19" i="16"/>
  <c r="AK19" i="16" l="1"/>
  <c r="Y19" i="16"/>
  <c r="U19" i="16"/>
  <c r="AQ19" i="16"/>
  <c r="AB19" i="16"/>
  <c r="S20" i="16"/>
  <c r="K22" i="16"/>
  <c r="L21" i="16"/>
  <c r="AP21" i="16" s="1"/>
  <c r="AA20" i="16"/>
  <c r="AI20" i="16"/>
  <c r="AJ20" i="16" s="1"/>
  <c r="AK20" i="16" s="1"/>
  <c r="T20" i="16"/>
  <c r="M20" i="16"/>
  <c r="N20" i="16" s="1"/>
  <c r="X20" i="16"/>
  <c r="AQ20" i="16" l="1"/>
  <c r="U20" i="16"/>
  <c r="Y20" i="16"/>
  <c r="AB20" i="16"/>
  <c r="AA21" i="16"/>
  <c r="K23" i="16"/>
  <c r="L22" i="16"/>
  <c r="S22" i="16" s="1"/>
  <c r="S21" i="16"/>
  <c r="AI21" i="16"/>
  <c r="T21" i="16"/>
  <c r="M21" i="16"/>
  <c r="N21" i="16" s="1"/>
  <c r="X21" i="16"/>
  <c r="AJ21" i="16" l="1"/>
  <c r="AQ21" i="16"/>
  <c r="Y21" i="16"/>
  <c r="U21" i="16"/>
  <c r="AB21" i="16"/>
  <c r="M22" i="16"/>
  <c r="N22" i="16" s="1"/>
  <c r="X22" i="16"/>
  <c r="AP22" i="16"/>
  <c r="AI22" i="16"/>
  <c r="T22" i="16"/>
  <c r="L23" i="16"/>
  <c r="M23" i="16" s="1"/>
  <c r="N23" i="16" s="1"/>
  <c r="K24" i="16"/>
  <c r="AA22" i="16"/>
  <c r="AJ22" i="16" l="1"/>
  <c r="AQ22" i="16"/>
  <c r="Y22" i="16"/>
  <c r="U22" i="16"/>
  <c r="AB22" i="16"/>
  <c r="L24" i="16"/>
  <c r="M24" i="16" s="1"/>
  <c r="N24" i="16" s="1"/>
  <c r="K25" i="16"/>
  <c r="S23" i="16"/>
  <c r="X23" i="16"/>
  <c r="Y23" i="16" s="1"/>
  <c r="AP23" i="16"/>
  <c r="AQ23" i="16" s="1"/>
  <c r="AA23" i="16"/>
  <c r="AB23" i="16" s="1"/>
  <c r="AI23" i="16"/>
  <c r="AJ23" i="16" s="1"/>
  <c r="AK23" i="16" s="1"/>
  <c r="T23" i="16"/>
  <c r="U23" i="16" s="1"/>
  <c r="K26" i="16" l="1"/>
  <c r="L25" i="16"/>
  <c r="X25" i="16" s="1"/>
  <c r="X24" i="16"/>
  <c r="Y24" i="16" s="1"/>
  <c r="AP24" i="16"/>
  <c r="AQ24" i="16" s="1"/>
  <c r="AA24" i="16"/>
  <c r="AB24" i="16" s="1"/>
  <c r="S24" i="16"/>
  <c r="AI24" i="16"/>
  <c r="AJ24" i="16" s="1"/>
  <c r="AK24" i="16" s="1"/>
  <c r="T24" i="16"/>
  <c r="U24" i="16" s="1"/>
  <c r="M25" i="16" l="1"/>
  <c r="N25" i="16" s="1"/>
  <c r="AP25" i="16"/>
  <c r="AA25" i="16"/>
  <c r="S25" i="16"/>
  <c r="AI25" i="16"/>
  <c r="AJ25" i="16" s="1"/>
  <c r="AK25" i="16" s="1"/>
  <c r="K27" i="16"/>
  <c r="L26" i="16"/>
  <c r="S26" i="16" s="1"/>
  <c r="T25" i="16"/>
  <c r="Y25" i="16" l="1"/>
  <c r="U25" i="16"/>
  <c r="AQ25" i="16"/>
  <c r="AB25" i="16"/>
  <c r="K28" i="16"/>
  <c r="L27" i="16"/>
  <c r="S27" i="16" s="1"/>
  <c r="T26" i="16"/>
  <c r="X26" i="16"/>
  <c r="AI26" i="16"/>
  <c r="AJ26" i="16" s="1"/>
  <c r="AK26" i="16" s="1"/>
  <c r="M26" i="16"/>
  <c r="N26" i="16" s="1"/>
  <c r="AP26" i="16"/>
  <c r="AA26" i="16"/>
  <c r="AB26" i="16" l="1"/>
  <c r="Y26" i="16"/>
  <c r="AQ26" i="16"/>
  <c r="U26" i="16"/>
  <c r="AI27" i="16"/>
  <c r="AJ27" i="16" s="1"/>
  <c r="L28" i="16"/>
  <c r="T28" i="16" s="1"/>
  <c r="K29" i="16"/>
  <c r="T27" i="16"/>
  <c r="M27" i="16"/>
  <c r="N27" i="16" s="1"/>
  <c r="X27" i="16"/>
  <c r="AP27" i="16"/>
  <c r="AA27" i="16"/>
  <c r="AK27" i="16" l="1"/>
  <c r="Y27" i="16"/>
  <c r="U27" i="16"/>
  <c r="AB27" i="16"/>
  <c r="AQ27" i="16"/>
  <c r="X28" i="16"/>
  <c r="K30" i="16"/>
  <c r="L29" i="16"/>
  <c r="M29" i="16" s="1"/>
  <c r="N29" i="16" s="1"/>
  <c r="M28" i="16"/>
  <c r="N28" i="16" s="1"/>
  <c r="AP28" i="16"/>
  <c r="AA28" i="16"/>
  <c r="S28" i="16"/>
  <c r="AI28" i="16"/>
  <c r="AJ28" i="16" s="1"/>
  <c r="AK28" i="16" s="1"/>
  <c r="AQ28" i="16" l="1"/>
  <c r="AB28" i="16"/>
  <c r="Y28" i="16"/>
  <c r="L30" i="16"/>
  <c r="S30" i="16" s="1"/>
  <c r="K31" i="16"/>
  <c r="AP29" i="16"/>
  <c r="AQ29" i="16" s="1"/>
  <c r="X29" i="16"/>
  <c r="Y29" i="16" s="1"/>
  <c r="U28" i="16"/>
  <c r="AA29" i="16"/>
  <c r="AB29" i="16" s="1"/>
  <c r="S29" i="16"/>
  <c r="AI29" i="16"/>
  <c r="AJ29" i="16" s="1"/>
  <c r="T29" i="16"/>
  <c r="U29" i="16" s="1"/>
  <c r="L31" i="16" l="1"/>
  <c r="S31" i="16" s="1"/>
  <c r="K32" i="16"/>
  <c r="AA30" i="16"/>
  <c r="AI30" i="16"/>
  <c r="AJ30" i="16" s="1"/>
  <c r="AK30" i="16" s="1"/>
  <c r="T30" i="16"/>
  <c r="M30" i="16"/>
  <c r="N30" i="16" s="1"/>
  <c r="X30" i="16"/>
  <c r="AP30" i="16"/>
  <c r="Y30" i="16" l="1"/>
  <c r="AB30" i="16"/>
  <c r="U30" i="16"/>
  <c r="AQ30" i="16"/>
  <c r="K33" i="16"/>
  <c r="L32" i="16"/>
  <c r="S32" i="16" s="1"/>
  <c r="X31" i="16"/>
  <c r="AP31" i="16"/>
  <c r="AA31" i="16"/>
  <c r="AI31" i="16"/>
  <c r="AJ31" i="16" s="1"/>
  <c r="AK31" i="16" s="1"/>
  <c r="T31" i="16"/>
  <c r="M31" i="16"/>
  <c r="N31" i="16" s="1"/>
  <c r="Y31" i="16" l="1"/>
  <c r="U31" i="16"/>
  <c r="AB31" i="16"/>
  <c r="AQ31" i="16"/>
  <c r="K34" i="16"/>
  <c r="L33" i="16"/>
  <c r="AP33" i="16" s="1"/>
  <c r="AA32" i="16"/>
  <c r="T32" i="16"/>
  <c r="M32" i="16"/>
  <c r="N32" i="16" s="1"/>
  <c r="X32" i="16"/>
  <c r="AI32" i="16"/>
  <c r="AP32" i="16"/>
  <c r="AJ32" i="16" l="1"/>
  <c r="AQ32" i="16"/>
  <c r="Y32" i="16"/>
  <c r="U32" i="16"/>
  <c r="AB32" i="16"/>
  <c r="AA33" i="16"/>
  <c r="AI33" i="16"/>
  <c r="AJ33" i="16" s="1"/>
  <c r="AK33" i="16" s="1"/>
  <c r="S33" i="16"/>
  <c r="X33" i="16"/>
  <c r="Y33" i="16" s="1"/>
  <c r="T33" i="16"/>
  <c r="M33" i="16"/>
  <c r="N33" i="16" s="1"/>
  <c r="L34" i="16"/>
  <c r="AI34" i="16" s="1"/>
  <c r="K35" i="16"/>
  <c r="U33" i="16" l="1"/>
  <c r="AB33" i="16"/>
  <c r="AQ33" i="16"/>
  <c r="S34" i="16"/>
  <c r="K36" i="16"/>
  <c r="L35" i="16"/>
  <c r="X35" i="16" s="1"/>
  <c r="AP34" i="16"/>
  <c r="AA34" i="16"/>
  <c r="X34" i="16"/>
  <c r="M34" i="16"/>
  <c r="N34" i="16" s="1"/>
  <c r="T34" i="16"/>
  <c r="Z33" i="16"/>
  <c r="AJ34" i="16"/>
  <c r="AK34" i="16" s="1"/>
  <c r="AQ34" i="16" l="1"/>
  <c r="Y34" i="16"/>
  <c r="U34" i="16"/>
  <c r="AB34" i="16"/>
  <c r="AA35" i="16"/>
  <c r="AP35" i="16"/>
  <c r="K37" i="16"/>
  <c r="L36" i="16"/>
  <c r="S36" i="16" s="1"/>
  <c r="S35" i="16"/>
  <c r="T35" i="16"/>
  <c r="AI35" i="16"/>
  <c r="M35" i="16"/>
  <c r="N35" i="16" s="1"/>
  <c r="Y35" i="16" l="1"/>
  <c r="AJ35" i="16"/>
  <c r="AB35" i="16"/>
  <c r="U35" i="16"/>
  <c r="AQ35" i="16"/>
  <c r="AP36" i="16"/>
  <c r="AA36" i="16"/>
  <c r="T36" i="16"/>
  <c r="AI36" i="16"/>
  <c r="AJ36" i="16" s="1"/>
  <c r="AK36" i="16" s="1"/>
  <c r="M36" i="16"/>
  <c r="N36" i="16" s="1"/>
  <c r="L37" i="16"/>
  <c r="AI37" i="16" s="1"/>
  <c r="K38" i="16"/>
  <c r="X36" i="16"/>
  <c r="Y36" i="16" l="1"/>
  <c r="AQ36" i="16"/>
  <c r="U36" i="16"/>
  <c r="AB36" i="16"/>
  <c r="K39" i="16"/>
  <c r="L38" i="16"/>
  <c r="AP38" i="16" s="1"/>
  <c r="AP37" i="16"/>
  <c r="M37" i="16"/>
  <c r="N37" i="16" s="1"/>
  <c r="X37" i="16"/>
  <c r="AA37" i="16"/>
  <c r="S37" i="16"/>
  <c r="T37" i="16"/>
  <c r="Y37" i="16" l="1"/>
  <c r="AJ37" i="16"/>
  <c r="AQ37" i="16"/>
  <c r="U37" i="16"/>
  <c r="AB37" i="16"/>
  <c r="T38" i="16"/>
  <c r="AI38" i="16"/>
  <c r="M38" i="16"/>
  <c r="N38" i="16" s="1"/>
  <c r="S38" i="16"/>
  <c r="X38" i="16"/>
  <c r="Y38" i="16" s="1"/>
  <c r="AA38" i="16"/>
  <c r="K40" i="16"/>
  <c r="L39" i="16"/>
  <c r="AP39" i="16" s="1"/>
  <c r="AJ38" i="16" l="1"/>
  <c r="AQ38" i="16"/>
  <c r="AB38" i="16"/>
  <c r="U38" i="16"/>
  <c r="S39" i="16"/>
  <c r="T39" i="16"/>
  <c r="AI39" i="16"/>
  <c r="AJ39" i="16" s="1"/>
  <c r="AK39" i="16" s="1"/>
  <c r="L40" i="16"/>
  <c r="AI40" i="16" s="1"/>
  <c r="K41" i="16"/>
  <c r="M39" i="16"/>
  <c r="N39" i="16" s="1"/>
  <c r="X39" i="16"/>
  <c r="AA39" i="16"/>
  <c r="AQ39" i="16" l="1"/>
  <c r="Y39" i="16"/>
  <c r="AB39" i="16"/>
  <c r="U39" i="16"/>
  <c r="T40" i="16"/>
  <c r="M40" i="16"/>
  <c r="N40" i="16" s="1"/>
  <c r="K42" i="16"/>
  <c r="L41" i="16"/>
  <c r="AP41" i="16" s="1"/>
  <c r="X40" i="16"/>
  <c r="AA40" i="16"/>
  <c r="AP40" i="16"/>
  <c r="S40" i="16"/>
  <c r="Y40" i="16" l="1"/>
  <c r="AJ40" i="16"/>
  <c r="AB40" i="16"/>
  <c r="U40" i="16"/>
  <c r="AQ40" i="16"/>
  <c r="K43" i="16"/>
  <c r="L42" i="16"/>
  <c r="T42" i="16" s="1"/>
  <c r="S41" i="16"/>
  <c r="T41" i="16"/>
  <c r="AI41" i="16"/>
  <c r="M41" i="16"/>
  <c r="N41" i="16" s="1"/>
  <c r="X41" i="16"/>
  <c r="AA41" i="16"/>
  <c r="AJ41" i="16" l="1"/>
  <c r="AQ41" i="16"/>
  <c r="Y41" i="16"/>
  <c r="AB41" i="16"/>
  <c r="U41" i="16"/>
  <c r="X42" i="16"/>
  <c r="K44" i="16"/>
  <c r="L43" i="16"/>
  <c r="AA43" i="16" s="1"/>
  <c r="AI42" i="16"/>
  <c r="AA42" i="16"/>
  <c r="M42" i="16"/>
  <c r="N42" i="16" s="1"/>
  <c r="AP42" i="16"/>
  <c r="S42" i="16"/>
  <c r="U42" i="16" l="1"/>
  <c r="AQ42" i="16"/>
  <c r="Y42" i="16"/>
  <c r="AJ42" i="16"/>
  <c r="AB42" i="16"/>
  <c r="AP43" i="16"/>
  <c r="K45" i="16"/>
  <c r="L44" i="16"/>
  <c r="AI44" i="16" s="1"/>
  <c r="S43" i="16"/>
  <c r="M43" i="16"/>
  <c r="N43" i="16" s="1"/>
  <c r="X43" i="16"/>
  <c r="T43" i="16"/>
  <c r="AI43" i="16"/>
  <c r="Y43" i="16" l="1"/>
  <c r="AB43" i="16"/>
  <c r="U43" i="16"/>
  <c r="AJ43" i="16"/>
  <c r="AQ43" i="16"/>
  <c r="AA44" i="16"/>
  <c r="M44" i="16"/>
  <c r="N44" i="16" s="1"/>
  <c r="X44" i="16"/>
  <c r="K46" i="16"/>
  <c r="L45" i="16"/>
  <c r="M45" i="16" s="1"/>
  <c r="N45" i="16" s="1"/>
  <c r="AP44" i="16"/>
  <c r="S44" i="16"/>
  <c r="T44" i="16"/>
  <c r="AJ44" i="16" l="1"/>
  <c r="AQ44" i="16"/>
  <c r="U44" i="16"/>
  <c r="AB44" i="16"/>
  <c r="Y44" i="16"/>
  <c r="L46" i="16"/>
  <c r="AA46" i="16" s="1"/>
  <c r="K47" i="16"/>
  <c r="X45" i="16"/>
  <c r="Y45" i="16" s="1"/>
  <c r="T45" i="16"/>
  <c r="U45" i="16" s="1"/>
  <c r="S45" i="16"/>
  <c r="AP45" i="16"/>
  <c r="AQ45" i="16" s="1"/>
  <c r="AI45" i="16"/>
  <c r="AJ45" i="16" s="1"/>
  <c r="AA45" i="16"/>
  <c r="AB45" i="16" s="1"/>
  <c r="AP46" i="16" l="1"/>
  <c r="S46" i="16"/>
  <c r="M46" i="16"/>
  <c r="N46" i="16" s="1"/>
  <c r="K48" i="16"/>
  <c r="L47" i="16"/>
  <c r="AI47" i="16" s="1"/>
  <c r="T46" i="16"/>
  <c r="AI46" i="16"/>
  <c r="X46" i="16"/>
  <c r="AJ46" i="16" l="1"/>
  <c r="Y46" i="16"/>
  <c r="AQ46" i="16"/>
  <c r="AB46" i="16"/>
  <c r="U46" i="16"/>
  <c r="K49" i="16"/>
  <c r="L48" i="16"/>
  <c r="S48" i="16" s="1"/>
  <c r="M47" i="16"/>
  <c r="N47" i="16" s="1"/>
  <c r="S47" i="16"/>
  <c r="X47" i="16"/>
  <c r="AP47" i="16"/>
  <c r="T47" i="16"/>
  <c r="AA47" i="16"/>
  <c r="AJ47" i="16"/>
  <c r="AK47" i="16" s="1"/>
  <c r="Y47" i="16" l="1"/>
  <c r="AQ47" i="16"/>
  <c r="U47" i="16"/>
  <c r="AB47" i="16"/>
  <c r="K50" i="16"/>
  <c r="L49" i="16"/>
  <c r="T49" i="16" s="1"/>
  <c r="T48" i="16"/>
  <c r="M48" i="16"/>
  <c r="N48" i="16" s="1"/>
  <c r="AI48" i="16"/>
  <c r="AJ48" i="16" s="1"/>
  <c r="X48" i="16"/>
  <c r="AA48" i="16"/>
  <c r="AP48" i="16"/>
  <c r="AQ48" i="16" l="1"/>
  <c r="AB48" i="16"/>
  <c r="U48" i="16"/>
  <c r="Y48" i="16"/>
  <c r="AK48" i="16"/>
  <c r="L50" i="16"/>
  <c r="T50" i="16" s="1"/>
  <c r="K51" i="16"/>
  <c r="M49" i="16"/>
  <c r="N49" i="16" s="1"/>
  <c r="X49" i="16"/>
  <c r="AI49" i="16"/>
  <c r="AJ49" i="16" s="1"/>
  <c r="AA49" i="16"/>
  <c r="S49" i="16"/>
  <c r="AP49" i="16"/>
  <c r="AB49" i="16" l="1"/>
  <c r="Y49" i="16"/>
  <c r="U49" i="16"/>
  <c r="AQ49" i="16"/>
  <c r="AK49" i="16"/>
  <c r="AI50" i="16"/>
  <c r="M50" i="16"/>
  <c r="N50" i="16" s="1"/>
  <c r="X50" i="16"/>
  <c r="AP50" i="16"/>
  <c r="S50" i="16"/>
  <c r="K52" i="16"/>
  <c r="L51" i="16"/>
  <c r="AA51" i="16" s="1"/>
  <c r="AA50" i="16"/>
  <c r="Y50" i="16" l="1"/>
  <c r="AB50" i="16"/>
  <c r="AJ50" i="16"/>
  <c r="U50" i="16"/>
  <c r="AQ50" i="16"/>
  <c r="AP51" i="16"/>
  <c r="S51" i="16"/>
  <c r="T51" i="16"/>
  <c r="L52" i="16"/>
  <c r="S52" i="16" s="1"/>
  <c r="K53" i="16"/>
  <c r="AI51" i="16"/>
  <c r="AJ51" i="16" s="1"/>
  <c r="AK51" i="16" s="1"/>
  <c r="M51" i="16"/>
  <c r="N51" i="16" s="1"/>
  <c r="X51" i="16"/>
  <c r="Y51" i="16" l="1"/>
  <c r="U51" i="16"/>
  <c r="AB51" i="16"/>
  <c r="AQ51" i="16"/>
  <c r="T52" i="16"/>
  <c r="L53" i="16"/>
  <c r="X53" i="16" s="1"/>
  <c r="K54" i="16"/>
  <c r="AI52" i="16"/>
  <c r="AJ52" i="16" s="1"/>
  <c r="AK52" i="16" s="1"/>
  <c r="M52" i="16"/>
  <c r="N52" i="16" s="1"/>
  <c r="X52" i="16"/>
  <c r="AA52" i="16"/>
  <c r="AP52" i="16"/>
  <c r="AQ52" i="16" l="1"/>
  <c r="Y52" i="16"/>
  <c r="U52" i="16"/>
  <c r="AB52" i="16"/>
  <c r="K55" i="16"/>
  <c r="L54" i="16"/>
  <c r="X54" i="16" s="1"/>
  <c r="AA53" i="16"/>
  <c r="S53" i="16"/>
  <c r="AI53" i="16"/>
  <c r="M53" i="16"/>
  <c r="N53" i="16" s="1"/>
  <c r="AP53" i="16"/>
  <c r="T53" i="16"/>
  <c r="AJ53" i="16" l="1"/>
  <c r="AQ53" i="16"/>
  <c r="U53" i="16"/>
  <c r="AB53" i="16"/>
  <c r="K56" i="16"/>
  <c r="L55" i="16"/>
  <c r="X55" i="16" s="1"/>
  <c r="Y53" i="16"/>
  <c r="AP54" i="16"/>
  <c r="AA54" i="16"/>
  <c r="S54" i="16"/>
  <c r="T54" i="16"/>
  <c r="AI54" i="16"/>
  <c r="AJ54" i="16" s="1"/>
  <c r="AK54" i="16" s="1"/>
  <c r="M54" i="16"/>
  <c r="N54" i="16" s="1"/>
  <c r="U54" i="16" l="1"/>
  <c r="AQ54" i="16"/>
  <c r="Y54" i="16"/>
  <c r="AB54" i="16"/>
  <c r="S55" i="16"/>
  <c r="T55" i="16"/>
  <c r="K57" i="16"/>
  <c r="L56" i="16"/>
  <c r="AP56" i="16" s="1"/>
  <c r="AP55" i="16"/>
  <c r="AI55" i="16"/>
  <c r="AJ55" i="16" s="1"/>
  <c r="AK55" i="16" s="1"/>
  <c r="M55" i="16"/>
  <c r="N55" i="16" s="1"/>
  <c r="AA55" i="16"/>
  <c r="Y55" i="16" l="1"/>
  <c r="AB55" i="16"/>
  <c r="AQ55" i="16"/>
  <c r="U55" i="16"/>
  <c r="S56" i="16"/>
  <c r="K58" i="16"/>
  <c r="L57" i="16"/>
  <c r="M57" i="16" s="1"/>
  <c r="N57" i="16" s="1"/>
  <c r="AI56" i="16"/>
  <c r="AJ56" i="16" s="1"/>
  <c r="AK56" i="16" s="1"/>
  <c r="T56" i="16"/>
  <c r="M56" i="16"/>
  <c r="N56" i="16" s="1"/>
  <c r="AA56" i="16"/>
  <c r="X56" i="16"/>
  <c r="U56" i="16" l="1"/>
  <c r="Y56" i="16"/>
  <c r="AB56" i="16"/>
  <c r="L58" i="16"/>
  <c r="AP58" i="16" s="1"/>
  <c r="K59" i="16"/>
  <c r="AP57" i="16"/>
  <c r="AQ57" i="16" s="1"/>
  <c r="AI57" i="16"/>
  <c r="AJ57" i="16" s="1"/>
  <c r="X57" i="16"/>
  <c r="Y57" i="16" s="1"/>
  <c r="AA57" i="16"/>
  <c r="AB57" i="16" s="1"/>
  <c r="T57" i="16"/>
  <c r="U57" i="16" s="1"/>
  <c r="S57" i="16"/>
  <c r="AQ56" i="16"/>
  <c r="AA58" i="16" l="1"/>
  <c r="S58" i="16"/>
  <c r="T58" i="16"/>
  <c r="AI58" i="16"/>
  <c r="AJ58" i="16" s="1"/>
  <c r="AK58" i="16" s="1"/>
  <c r="K60" i="16"/>
  <c r="L59" i="16"/>
  <c r="AI59" i="16" s="1"/>
  <c r="X58" i="16"/>
  <c r="M58" i="16"/>
  <c r="N58" i="16" s="1"/>
  <c r="U58" i="16" l="1"/>
  <c r="Y58" i="16"/>
  <c r="AB58" i="16"/>
  <c r="AQ58" i="16"/>
  <c r="L60" i="16"/>
  <c r="AP60" i="16" s="1"/>
  <c r="K61" i="16"/>
  <c r="M59" i="16"/>
  <c r="N59" i="16" s="1"/>
  <c r="S59" i="16"/>
  <c r="T59" i="16"/>
  <c r="X59" i="16"/>
  <c r="AP59" i="16"/>
  <c r="AA59" i="16"/>
  <c r="AJ59" i="16"/>
  <c r="AK59" i="16" s="1"/>
  <c r="Y59" i="16" l="1"/>
  <c r="AQ59" i="16"/>
  <c r="AB59" i="16"/>
  <c r="U59" i="16"/>
  <c r="K62" i="16"/>
  <c r="L61" i="16"/>
  <c r="X61" i="16" s="1"/>
  <c r="S60" i="16"/>
  <c r="T60" i="16"/>
  <c r="AI60" i="16"/>
  <c r="M60" i="16"/>
  <c r="N60" i="16" s="1"/>
  <c r="X60" i="16"/>
  <c r="AA60" i="16"/>
  <c r="AJ60" i="16" l="1"/>
  <c r="AQ60" i="16"/>
  <c r="AB60" i="16"/>
  <c r="Y60" i="16"/>
  <c r="U60" i="16"/>
  <c r="K63" i="16"/>
  <c r="L62" i="16"/>
  <c r="S62" i="16" s="1"/>
  <c r="S61" i="16"/>
  <c r="AP61" i="16"/>
  <c r="T61" i="16"/>
  <c r="M61" i="16"/>
  <c r="N61" i="16" s="1"/>
  <c r="AI61" i="16"/>
  <c r="AJ61" i="16" s="1"/>
  <c r="AA61" i="16"/>
  <c r="AQ61" i="16" l="1"/>
  <c r="Y61" i="16"/>
  <c r="AB61" i="16"/>
  <c r="U61" i="16"/>
  <c r="AK61" i="16"/>
  <c r="M62" i="16"/>
  <c r="N62" i="16" s="1"/>
  <c r="K64" i="16"/>
  <c r="L63" i="16"/>
  <c r="T63" i="16" s="1"/>
  <c r="X62" i="16"/>
  <c r="AA62" i="16"/>
  <c r="AP62" i="16"/>
  <c r="T62" i="16"/>
  <c r="AI62" i="16"/>
  <c r="AJ62" i="16" s="1"/>
  <c r="AK62" i="16" s="1"/>
  <c r="AQ62" i="16" l="1"/>
  <c r="Y62" i="16"/>
  <c r="U62" i="16"/>
  <c r="AB62" i="16"/>
  <c r="L64" i="16"/>
  <c r="S64" i="16" s="1"/>
  <c r="K65" i="16"/>
  <c r="M63" i="16"/>
  <c r="N63" i="16" s="1"/>
  <c r="AI63" i="16"/>
  <c r="AJ63" i="16" s="1"/>
  <c r="AA63" i="16"/>
  <c r="X63" i="16"/>
  <c r="AP63" i="16"/>
  <c r="S63" i="16"/>
  <c r="AQ63" i="16" l="1"/>
  <c r="Y63" i="16"/>
  <c r="U63" i="16"/>
  <c r="AB63" i="16"/>
  <c r="X64" i="16"/>
  <c r="AA64" i="16"/>
  <c r="T64" i="16"/>
  <c r="AI64" i="16"/>
  <c r="AJ64" i="16" s="1"/>
  <c r="AK64" i="16" s="1"/>
  <c r="AP64" i="16"/>
  <c r="M64" i="16"/>
  <c r="N64" i="16" s="1"/>
  <c r="K66" i="16"/>
  <c r="L65" i="16"/>
  <c r="AI65" i="16" s="1"/>
  <c r="AK63" i="16"/>
  <c r="Y64" i="16" l="1"/>
  <c r="AQ64" i="16"/>
  <c r="U64" i="16"/>
  <c r="AB64" i="16"/>
  <c r="AP65" i="16"/>
  <c r="M65" i="16"/>
  <c r="N65" i="16" s="1"/>
  <c r="X65" i="16"/>
  <c r="S65" i="16"/>
  <c r="T65" i="16"/>
  <c r="AA65" i="16"/>
  <c r="L66" i="16"/>
  <c r="S66" i="16" s="1"/>
  <c r="K67" i="16"/>
  <c r="AJ65" i="16"/>
  <c r="AK65" i="16" s="1"/>
  <c r="AQ65" i="16" l="1"/>
  <c r="AB65" i="16"/>
  <c r="Y65" i="16"/>
  <c r="U65" i="16"/>
  <c r="K68" i="16"/>
  <c r="L67" i="16"/>
  <c r="AI67" i="16" s="1"/>
  <c r="T66" i="16"/>
  <c r="AI66" i="16"/>
  <c r="M66" i="16"/>
  <c r="N66" i="16" s="1"/>
  <c r="X66" i="16"/>
  <c r="AA66" i="16"/>
  <c r="AP66" i="16"/>
  <c r="AJ66" i="16" l="1"/>
  <c r="AQ66" i="16"/>
  <c r="Y66" i="16"/>
  <c r="AB66" i="16"/>
  <c r="U66" i="16"/>
  <c r="K69" i="16"/>
  <c r="L68" i="16"/>
  <c r="S68" i="16" s="1"/>
  <c r="S67" i="16"/>
  <c r="AA67" i="16"/>
  <c r="AP67" i="16"/>
  <c r="M67" i="16"/>
  <c r="N67" i="16" s="1"/>
  <c r="T67" i="16"/>
  <c r="X67" i="16"/>
  <c r="AJ67" i="16" l="1"/>
  <c r="Y67" i="16"/>
  <c r="AQ67" i="16"/>
  <c r="AB67" i="16"/>
  <c r="U67" i="16"/>
  <c r="AI68" i="16"/>
  <c r="M68" i="16"/>
  <c r="N68" i="16" s="1"/>
  <c r="L69" i="16"/>
  <c r="M69" i="16" s="1"/>
  <c r="N69" i="16" s="1"/>
  <c r="K70" i="16"/>
  <c r="T68" i="16"/>
  <c r="X68" i="16"/>
  <c r="AA68" i="16"/>
  <c r="AP68" i="16"/>
  <c r="AJ68" i="16" l="1"/>
  <c r="Y68" i="16"/>
  <c r="AQ68" i="16"/>
  <c r="AB68" i="16"/>
  <c r="U68" i="16"/>
  <c r="T69" i="16"/>
  <c r="U69" i="16" s="1"/>
  <c r="K71" i="16"/>
  <c r="L70" i="16"/>
  <c r="T70" i="16" s="1"/>
  <c r="X69" i="16"/>
  <c r="Y69" i="16" s="1"/>
  <c r="AP69" i="16"/>
  <c r="AQ69" i="16" s="1"/>
  <c r="AI69" i="16"/>
  <c r="AJ69" i="16" s="1"/>
  <c r="AK69" i="16" s="1"/>
  <c r="AA69" i="16"/>
  <c r="AB69" i="16" s="1"/>
  <c r="S69" i="16"/>
  <c r="AI70" i="16" l="1"/>
  <c r="AJ70" i="16" s="1"/>
  <c r="AK70" i="16" s="1"/>
  <c r="M70" i="16"/>
  <c r="N70" i="16" s="1"/>
  <c r="X70" i="16"/>
  <c r="K72" i="16"/>
  <c r="L71" i="16"/>
  <c r="AI71" i="16" s="1"/>
  <c r="AP70" i="16"/>
  <c r="AA70" i="16"/>
  <c r="S70" i="16"/>
  <c r="AQ70" i="16" l="1"/>
  <c r="Y70" i="16"/>
  <c r="U70" i="16"/>
  <c r="AB70" i="16"/>
  <c r="AP71" i="16"/>
  <c r="X71" i="16"/>
  <c r="S71" i="16"/>
  <c r="AA71" i="16"/>
  <c r="K73" i="16"/>
  <c r="L72" i="16"/>
  <c r="X72" i="16" s="1"/>
  <c r="M71" i="16"/>
  <c r="N71" i="16" s="1"/>
  <c r="T71" i="16"/>
  <c r="AJ71" i="16"/>
  <c r="AK71" i="16" s="1"/>
  <c r="AQ71" i="16" l="1"/>
  <c r="U71" i="16"/>
  <c r="AB71" i="16"/>
  <c r="Y71" i="16"/>
  <c r="AA72" i="16"/>
  <c r="L73" i="16"/>
  <c r="M73" i="16" s="1"/>
  <c r="N73" i="16" s="1"/>
  <c r="K74" i="16"/>
  <c r="AP72" i="16"/>
  <c r="S72" i="16"/>
  <c r="T72" i="16"/>
  <c r="AI72" i="16"/>
  <c r="AJ72" i="16" s="1"/>
  <c r="AK72" i="16" s="1"/>
  <c r="M72" i="16"/>
  <c r="N72" i="16" s="1"/>
  <c r="U72" i="16" l="1"/>
  <c r="AQ72" i="16"/>
  <c r="AB72" i="16"/>
  <c r="S73" i="16"/>
  <c r="AA73" i="16"/>
  <c r="AB73" i="16" s="1"/>
  <c r="AP73" i="16"/>
  <c r="AQ73" i="16" s="1"/>
  <c r="K75" i="16"/>
  <c r="L74" i="16"/>
  <c r="AP74" i="16" s="1"/>
  <c r="X73" i="16"/>
  <c r="Y73" i="16" s="1"/>
  <c r="T73" i="16"/>
  <c r="U73" i="16" s="1"/>
  <c r="AI73" i="16"/>
  <c r="AJ73" i="16" s="1"/>
  <c r="AK73" i="16" s="1"/>
  <c r="Y72" i="16"/>
  <c r="T74" i="16" l="1"/>
  <c r="AI74" i="16"/>
  <c r="AJ74" i="16" s="1"/>
  <c r="AK74" i="16" s="1"/>
  <c r="L75" i="16"/>
  <c r="X75" i="16" s="1"/>
  <c r="K76" i="16"/>
  <c r="X74" i="16"/>
  <c r="AA74" i="16"/>
  <c r="M74" i="16"/>
  <c r="N74" i="16" s="1"/>
  <c r="S74" i="16"/>
  <c r="Y74" i="16" l="1"/>
  <c r="AQ74" i="16"/>
  <c r="U74" i="16"/>
  <c r="AB74" i="16"/>
  <c r="AI75" i="16"/>
  <c r="S75" i="16"/>
  <c r="L76" i="16"/>
  <c r="AP76" i="16" s="1"/>
  <c r="K77" i="16"/>
  <c r="T75" i="16"/>
  <c r="AA75" i="16"/>
  <c r="AP75" i="16"/>
  <c r="M75" i="16"/>
  <c r="N75" i="16" s="1"/>
  <c r="AJ75" i="16" l="1"/>
  <c r="Y75" i="16"/>
  <c r="AB75" i="16"/>
  <c r="U75" i="16"/>
  <c r="AQ75" i="16"/>
  <c r="M76" i="16"/>
  <c r="N76" i="16" s="1"/>
  <c r="L77" i="16"/>
  <c r="T77" i="16" s="1"/>
  <c r="K78" i="16"/>
  <c r="AI76" i="16"/>
  <c r="AJ76" i="16" s="1"/>
  <c r="AK76" i="16" s="1"/>
  <c r="S76" i="16"/>
  <c r="AA76" i="16"/>
  <c r="T76" i="16"/>
  <c r="X76" i="16"/>
  <c r="AQ76" i="16" l="1"/>
  <c r="U76" i="16"/>
  <c r="AB76" i="16"/>
  <c r="Y76" i="16"/>
  <c r="AI77" i="16"/>
  <c r="S77" i="16"/>
  <c r="AA77" i="16"/>
  <c r="K79" i="16"/>
  <c r="L78" i="16"/>
  <c r="S78" i="16" s="1"/>
  <c r="AP77" i="16"/>
  <c r="X77" i="16"/>
  <c r="M77" i="16"/>
  <c r="N77" i="16" s="1"/>
  <c r="AJ77" i="16" l="1"/>
  <c r="AQ77" i="16"/>
  <c r="AB77" i="16"/>
  <c r="Y77" i="16"/>
  <c r="L79" i="16"/>
  <c r="T79" i="16" s="1"/>
  <c r="K80" i="16"/>
  <c r="T78" i="16"/>
  <c r="X78" i="16"/>
  <c r="U77" i="16"/>
  <c r="M78" i="16"/>
  <c r="N78" i="16" s="1"/>
  <c r="AA78" i="16"/>
  <c r="AP78" i="16"/>
  <c r="AI78" i="16"/>
  <c r="AJ78" i="16" s="1"/>
  <c r="AK78" i="16" s="1"/>
  <c r="U78" i="16" l="1"/>
  <c r="Y78" i="16"/>
  <c r="AB78" i="16"/>
  <c r="AQ78" i="16"/>
  <c r="L80" i="16"/>
  <c r="M80" i="16" s="1"/>
  <c r="N80" i="16" s="1"/>
  <c r="K81" i="16"/>
  <c r="AI79" i="16"/>
  <c r="AJ79" i="16" s="1"/>
  <c r="AK79" i="16" s="1"/>
  <c r="AA79" i="16"/>
  <c r="M79" i="16"/>
  <c r="N79" i="16" s="1"/>
  <c r="S79" i="16"/>
  <c r="AP79" i="16"/>
  <c r="X79" i="16"/>
  <c r="AQ79" i="16" l="1"/>
  <c r="Y79" i="16"/>
  <c r="AA80" i="16"/>
  <c r="AB80" i="16" s="1"/>
  <c r="AP80" i="16"/>
  <c r="AQ80" i="16" s="1"/>
  <c r="X80" i="16"/>
  <c r="Y80" i="16" s="1"/>
  <c r="U79" i="16"/>
  <c r="AB79" i="16"/>
  <c r="L81" i="16"/>
  <c r="AI81" i="16" s="1"/>
  <c r="K82" i="16"/>
  <c r="S80" i="16"/>
  <c r="T80" i="16"/>
  <c r="U80" i="16" s="1"/>
  <c r="AI80" i="16"/>
  <c r="AJ80" i="16" s="1"/>
  <c r="AK80" i="16" s="1"/>
  <c r="M81" i="16" l="1"/>
  <c r="N81" i="16" s="1"/>
  <c r="L82" i="16"/>
  <c r="M82" i="16" s="1"/>
  <c r="N82" i="16" s="1"/>
  <c r="K83" i="16"/>
  <c r="X81" i="16"/>
  <c r="T81" i="16"/>
  <c r="AA81" i="16"/>
  <c r="AP81" i="16"/>
  <c r="S81" i="16"/>
  <c r="AJ81" i="16" l="1"/>
  <c r="U81" i="16"/>
  <c r="AQ81" i="16"/>
  <c r="AB81" i="16"/>
  <c r="Y81" i="16"/>
  <c r="K84" i="16"/>
  <c r="L83" i="16"/>
  <c r="AP83" i="16" s="1"/>
  <c r="T82" i="16"/>
  <c r="U82" i="16" s="1"/>
  <c r="AP82" i="16"/>
  <c r="AQ82" i="16" s="1"/>
  <c r="S82" i="16"/>
  <c r="AI82" i="16"/>
  <c r="AJ82" i="16" s="1"/>
  <c r="AK82" i="16" s="1"/>
  <c r="X82" i="16"/>
  <c r="Y82" i="16" s="1"/>
  <c r="AA82" i="16"/>
  <c r="AB82" i="16" s="1"/>
  <c r="L84" i="16" l="1"/>
  <c r="AA84" i="16" s="1"/>
  <c r="K85" i="16"/>
  <c r="M83" i="16"/>
  <c r="N83" i="16" s="1"/>
  <c r="X83" i="16"/>
  <c r="AI83" i="16"/>
  <c r="AJ83" i="16" s="1"/>
  <c r="AK83" i="16" s="1"/>
  <c r="T83" i="16"/>
  <c r="S83" i="16"/>
  <c r="AA83" i="16"/>
  <c r="AQ83" i="16" l="1"/>
  <c r="U83" i="16"/>
  <c r="Y83" i="16"/>
  <c r="AB83" i="16"/>
  <c r="L85" i="16"/>
  <c r="AI85" i="16" s="1"/>
  <c r="K86" i="16"/>
  <c r="T84" i="16"/>
  <c r="S84" i="16"/>
  <c r="AP84" i="16"/>
  <c r="AI84" i="16"/>
  <c r="M84" i="16"/>
  <c r="N84" i="16" s="1"/>
  <c r="X84" i="16"/>
  <c r="AJ84" i="16" l="1"/>
  <c r="AQ84" i="16"/>
  <c r="Y84" i="16"/>
  <c r="U84" i="16"/>
  <c r="AP85" i="16"/>
  <c r="AB84" i="16"/>
  <c r="L86" i="16"/>
  <c r="AP86" i="16" s="1"/>
  <c r="K87" i="16"/>
  <c r="S85" i="16"/>
  <c r="M85" i="16"/>
  <c r="N85" i="16" s="1"/>
  <c r="X85" i="16"/>
  <c r="T85" i="16"/>
  <c r="AA85" i="16"/>
  <c r="AJ85" i="16" l="1"/>
  <c r="Y85" i="16"/>
  <c r="AQ85" i="16"/>
  <c r="AB85" i="16"/>
  <c r="U85" i="16"/>
  <c r="L87" i="16"/>
  <c r="AA87" i="16" s="1"/>
  <c r="K88" i="16"/>
  <c r="T86" i="16"/>
  <c r="M86" i="16"/>
  <c r="N86" i="16" s="1"/>
  <c r="X86" i="16"/>
  <c r="S86" i="16"/>
  <c r="AI86" i="16"/>
  <c r="AA86" i="16"/>
  <c r="AJ86" i="16" l="1"/>
  <c r="AQ86" i="16"/>
  <c r="Y86" i="16"/>
  <c r="U86" i="16"/>
  <c r="AB86" i="16"/>
  <c r="L88" i="16"/>
  <c r="S88" i="16" s="1"/>
  <c r="K89" i="16"/>
  <c r="M87" i="16"/>
  <c r="N87" i="16" s="1"/>
  <c r="X87" i="16"/>
  <c r="T87" i="16"/>
  <c r="AP87" i="16"/>
  <c r="AI87" i="16"/>
  <c r="AJ87" i="16" s="1"/>
  <c r="S87" i="16"/>
  <c r="AQ87" i="16" l="1"/>
  <c r="U87" i="16"/>
  <c r="AB87" i="16"/>
  <c r="Y87" i="16"/>
  <c r="AK87" i="16"/>
  <c r="T88" i="16"/>
  <c r="AI88" i="16"/>
  <c r="AJ88" i="16" s="1"/>
  <c r="AK88" i="16" s="1"/>
  <c r="X88" i="16"/>
  <c r="M88" i="16"/>
  <c r="N88" i="16" s="1"/>
  <c r="AA88" i="16"/>
  <c r="L89" i="16"/>
  <c r="T89" i="16" s="1"/>
  <c r="K90" i="16"/>
  <c r="AP88" i="16"/>
  <c r="Y88" i="16" l="1"/>
  <c r="AQ88" i="16"/>
  <c r="U88" i="16"/>
  <c r="AB88" i="16"/>
  <c r="AI89" i="16"/>
  <c r="AJ89" i="16" s="1"/>
  <c r="AK89" i="16" s="1"/>
  <c r="S89" i="16"/>
  <c r="AA89" i="16"/>
  <c r="AP89" i="16"/>
  <c r="K91" i="16"/>
  <c r="L90" i="16"/>
  <c r="M90" i="16" s="1"/>
  <c r="N90" i="16" s="1"/>
  <c r="X89" i="16"/>
  <c r="M89" i="16"/>
  <c r="N89" i="16" s="1"/>
  <c r="Y89" i="16" l="1"/>
  <c r="U89" i="16"/>
  <c r="AB89" i="16"/>
  <c r="AQ89" i="16"/>
  <c r="L91" i="16"/>
  <c r="T91" i="16" s="1"/>
  <c r="K92" i="16"/>
  <c r="AA90" i="16"/>
  <c r="AB90" i="16" s="1"/>
  <c r="AP90" i="16"/>
  <c r="AQ90" i="16" s="1"/>
  <c r="S90" i="16"/>
  <c r="X90" i="16"/>
  <c r="Y90" i="16" s="1"/>
  <c r="T90" i="16"/>
  <c r="U90" i="16" s="1"/>
  <c r="AI90" i="16"/>
  <c r="AJ90" i="16" s="1"/>
  <c r="AK90" i="16" s="1"/>
  <c r="M91" i="16" l="1"/>
  <c r="N91" i="16" s="1"/>
  <c r="X91" i="16"/>
  <c r="S91" i="16"/>
  <c r="AA91" i="16"/>
  <c r="AP91" i="16"/>
  <c r="AI91" i="16"/>
  <c r="AJ91" i="16" s="1"/>
  <c r="AK91" i="16" s="1"/>
  <c r="K93" i="16"/>
  <c r="L92" i="16"/>
  <c r="X92" i="16" s="1"/>
  <c r="AQ91" i="16" l="1"/>
  <c r="AB91" i="16"/>
  <c r="Y91" i="16"/>
  <c r="AA92" i="16"/>
  <c r="AP92" i="16"/>
  <c r="L93" i="16"/>
  <c r="AP93" i="16" s="1"/>
  <c r="K94" i="16"/>
  <c r="S92" i="16"/>
  <c r="T92" i="16"/>
  <c r="AI92" i="16"/>
  <c r="M92" i="16"/>
  <c r="N92" i="16" s="1"/>
  <c r="U91" i="16"/>
  <c r="U92" i="16" l="1"/>
  <c r="Y92" i="16"/>
  <c r="AB92" i="16"/>
  <c r="AJ92" i="16"/>
  <c r="T93" i="16"/>
  <c r="M93" i="16"/>
  <c r="N93" i="16" s="1"/>
  <c r="X93" i="16"/>
  <c r="AI93" i="16"/>
  <c r="AJ93" i="16" s="1"/>
  <c r="S93" i="16"/>
  <c r="AA93" i="16"/>
  <c r="K95" i="16"/>
  <c r="L94" i="16"/>
  <c r="X94" i="16" s="1"/>
  <c r="AQ92" i="16"/>
  <c r="Y93" i="16" l="1"/>
  <c r="AQ93" i="16"/>
  <c r="AB93" i="16"/>
  <c r="U93" i="16"/>
  <c r="AA94" i="16"/>
  <c r="K96" i="16"/>
  <c r="L95" i="16"/>
  <c r="T95" i="16" s="1"/>
  <c r="AP94" i="16"/>
  <c r="S94" i="16"/>
  <c r="T94" i="16"/>
  <c r="AI94" i="16"/>
  <c r="AJ94" i="16" s="1"/>
  <c r="M94" i="16"/>
  <c r="N94" i="16" s="1"/>
  <c r="AQ94" i="16" l="1"/>
  <c r="AB94" i="16"/>
  <c r="U94" i="16"/>
  <c r="Y94" i="16"/>
  <c r="AK94" i="16"/>
  <c r="L96" i="16"/>
  <c r="S96" i="16" s="1"/>
  <c r="K97" i="16"/>
  <c r="AA95" i="16"/>
  <c r="AI95" i="16"/>
  <c r="AJ95" i="16" s="1"/>
  <c r="AP95" i="16"/>
  <c r="M95" i="16"/>
  <c r="N95" i="16" s="1"/>
  <c r="X95" i="16"/>
  <c r="S95" i="16"/>
  <c r="AQ95" i="16" l="1"/>
  <c r="Y95" i="16"/>
  <c r="AB95" i="16"/>
  <c r="AK95" i="16"/>
  <c r="L97" i="16"/>
  <c r="T97" i="16" s="1"/>
  <c r="K98" i="16"/>
  <c r="M96" i="16"/>
  <c r="N96" i="16" s="1"/>
  <c r="U95" i="16"/>
  <c r="T96" i="16"/>
  <c r="X96" i="16"/>
  <c r="AA96" i="16"/>
  <c r="AI96" i="16"/>
  <c r="AJ96" i="16" s="1"/>
  <c r="AP96" i="16"/>
  <c r="Y96" i="16" l="1"/>
  <c r="AQ96" i="16"/>
  <c r="AB96" i="16"/>
  <c r="U96" i="16"/>
  <c r="AK96" i="16"/>
  <c r="L98" i="16"/>
  <c r="X98" i="16" s="1"/>
  <c r="K99" i="16"/>
  <c r="S97" i="16"/>
  <c r="AP97" i="16"/>
  <c r="AI97" i="16"/>
  <c r="AJ97" i="16" s="1"/>
  <c r="AK97" i="16" s="1"/>
  <c r="AA97" i="16"/>
  <c r="M97" i="16"/>
  <c r="N97" i="16" s="1"/>
  <c r="X97" i="16"/>
  <c r="Y97" i="16" l="1"/>
  <c r="AQ97" i="16"/>
  <c r="AB97" i="16"/>
  <c r="U97" i="16"/>
  <c r="M98" i="16"/>
  <c r="N98" i="16" s="1"/>
  <c r="L99" i="16"/>
  <c r="AP99" i="16" s="1"/>
  <c r="K100" i="16"/>
  <c r="T98" i="16"/>
  <c r="S98" i="16"/>
  <c r="AI98" i="16"/>
  <c r="AJ98" i="16" s="1"/>
  <c r="AK98" i="16" s="1"/>
  <c r="AA98" i="16"/>
  <c r="AP98" i="16"/>
  <c r="U98" i="16" l="1"/>
  <c r="AB98" i="16"/>
  <c r="Y98" i="16"/>
  <c r="AQ98" i="16"/>
  <c r="K101" i="16"/>
  <c r="L100" i="16"/>
  <c r="AP100" i="16" s="1"/>
  <c r="M99" i="16"/>
  <c r="N99" i="16" s="1"/>
  <c r="X99" i="16"/>
  <c r="T99" i="16"/>
  <c r="AI99" i="16"/>
  <c r="AJ99" i="16" s="1"/>
  <c r="AK99" i="16" s="1"/>
  <c r="S99" i="16"/>
  <c r="AA99" i="16"/>
  <c r="AB99" i="16" l="1"/>
  <c r="Y99" i="16"/>
  <c r="U99" i="16"/>
  <c r="K102" i="16"/>
  <c r="L101" i="16"/>
  <c r="AI101" i="16" s="1"/>
  <c r="S100" i="16"/>
  <c r="AI100" i="16"/>
  <c r="AJ100" i="16" s="1"/>
  <c r="AK100" i="16" s="1"/>
  <c r="M100" i="16"/>
  <c r="N100" i="16" s="1"/>
  <c r="T100" i="16"/>
  <c r="X100" i="16"/>
  <c r="Y100" i="16" s="1"/>
  <c r="Z100" i="16" s="1"/>
  <c r="AQ99" i="16"/>
  <c r="AA100" i="16"/>
  <c r="AQ100" i="16" l="1"/>
  <c r="AB100" i="16"/>
  <c r="U100" i="16"/>
  <c r="S101" i="16"/>
  <c r="K103" i="16"/>
  <c r="L102" i="16"/>
  <c r="AA102" i="16" s="1"/>
  <c r="M101" i="16"/>
  <c r="N101" i="16" s="1"/>
  <c r="X101" i="16"/>
  <c r="AP101" i="16"/>
  <c r="T101" i="16"/>
  <c r="AA101" i="16"/>
  <c r="AJ101" i="16" l="1"/>
  <c r="AQ101" i="16"/>
  <c r="Y101" i="16"/>
  <c r="AB101" i="16"/>
  <c r="U101" i="16"/>
  <c r="AP102" i="16"/>
  <c r="L103" i="16"/>
  <c r="AI103" i="16" s="1"/>
  <c r="K104" i="16"/>
  <c r="X102" i="16"/>
  <c r="S102" i="16"/>
  <c r="T102" i="16"/>
  <c r="AI102" i="16"/>
  <c r="AJ102" i="16" s="1"/>
  <c r="AK102" i="16" s="1"/>
  <c r="M102" i="16"/>
  <c r="N102" i="16" s="1"/>
  <c r="M103" i="16" l="1"/>
  <c r="N103" i="16" s="1"/>
  <c r="X103" i="16"/>
  <c r="AQ102" i="16"/>
  <c r="U102" i="16"/>
  <c r="Y102" i="16"/>
  <c r="K105" i="16"/>
  <c r="L104" i="16"/>
  <c r="AI104" i="16" s="1"/>
  <c r="T103" i="16"/>
  <c r="S103" i="16"/>
  <c r="AA103" i="16"/>
  <c r="AP103" i="16"/>
  <c r="AB102" i="16"/>
  <c r="AJ103" i="16" l="1"/>
  <c r="AQ103" i="16"/>
  <c r="AB103" i="16"/>
  <c r="Y103" i="16"/>
  <c r="U103" i="16"/>
  <c r="AA104" i="16"/>
  <c r="S104" i="16"/>
  <c r="K106" i="16"/>
  <c r="L105" i="16"/>
  <c r="M105" i="16" s="1"/>
  <c r="N105" i="16" s="1"/>
  <c r="AP104" i="16"/>
  <c r="T104" i="16"/>
  <c r="M104" i="16"/>
  <c r="N104" i="16" s="1"/>
  <c r="X104" i="16"/>
  <c r="AJ104" i="16" l="1"/>
  <c r="AQ104" i="16"/>
  <c r="Y104" i="16"/>
  <c r="AB104" i="16"/>
  <c r="U104" i="16"/>
  <c r="X105" i="16"/>
  <c r="Y105" i="16" s="1"/>
  <c r="K107" i="16"/>
  <c r="L106" i="16"/>
  <c r="AP106" i="16" s="1"/>
  <c r="AP105" i="16"/>
  <c r="AQ105" i="16" s="1"/>
  <c r="T105" i="16"/>
  <c r="U105" i="16" s="1"/>
  <c r="AI105" i="16"/>
  <c r="AJ105" i="16" s="1"/>
  <c r="AA105" i="16"/>
  <c r="AB105" i="16" s="1"/>
  <c r="S105" i="16"/>
  <c r="S106" i="16" l="1"/>
  <c r="AI106" i="16"/>
  <c r="M106" i="16"/>
  <c r="N106" i="16" s="1"/>
  <c r="AA106" i="16"/>
  <c r="T106" i="16"/>
  <c r="X106" i="16"/>
  <c r="K108" i="16"/>
  <c r="L107" i="16"/>
  <c r="AA107" i="16" s="1"/>
  <c r="AK105" i="16"/>
  <c r="AQ106" i="16" l="1"/>
  <c r="AJ106" i="16"/>
  <c r="U106" i="16"/>
  <c r="Y106" i="16"/>
  <c r="AB106" i="16"/>
  <c r="AP107" i="16"/>
  <c r="M107" i="16"/>
  <c r="N107" i="16" s="1"/>
  <c r="X107" i="16"/>
  <c r="T107" i="16"/>
  <c r="AI107" i="16"/>
  <c r="AJ107" i="16" s="1"/>
  <c r="S107" i="16"/>
  <c r="L108" i="16"/>
  <c r="AA108" i="16" s="1"/>
  <c r="K109" i="16"/>
  <c r="Y107" i="16" l="1"/>
  <c r="U107" i="16"/>
  <c r="AB107" i="16"/>
  <c r="AQ107" i="16"/>
  <c r="AP108" i="16"/>
  <c r="L109" i="16"/>
  <c r="AI109" i="16" s="1"/>
  <c r="K110" i="16"/>
  <c r="S108" i="16"/>
  <c r="T108" i="16"/>
  <c r="AI108" i="16"/>
  <c r="M108" i="16"/>
  <c r="N108" i="16" s="1"/>
  <c r="X108" i="16"/>
  <c r="AK107" i="16"/>
  <c r="AJ108" i="16" l="1"/>
  <c r="AQ108" i="16"/>
  <c r="M109" i="16"/>
  <c r="N109" i="16" s="1"/>
  <c r="AA109" i="16"/>
  <c r="Y108" i="16"/>
  <c r="U108" i="16"/>
  <c r="S109" i="16"/>
  <c r="AP109" i="16"/>
  <c r="AB108" i="16"/>
  <c r="K111" i="16"/>
  <c r="L110" i="16"/>
  <c r="X110" i="16" s="1"/>
  <c r="X109" i="16"/>
  <c r="T109" i="16"/>
  <c r="AJ109" i="16" l="1"/>
  <c r="U109" i="16"/>
  <c r="AB109" i="16"/>
  <c r="Y109" i="16"/>
  <c r="AQ109" i="16"/>
  <c r="AA110" i="16"/>
  <c r="AP110" i="16"/>
  <c r="S110" i="16"/>
  <c r="K112" i="16"/>
  <c r="L111" i="16"/>
  <c r="AI111" i="16" s="1"/>
  <c r="T110" i="16"/>
  <c r="AI110" i="16"/>
  <c r="AJ110" i="16" s="1"/>
  <c r="M110" i="16"/>
  <c r="N110" i="16" s="1"/>
  <c r="AB110" i="16" l="1"/>
  <c r="U110" i="16"/>
  <c r="Y110" i="16"/>
  <c r="AP111" i="16"/>
  <c r="X111" i="16"/>
  <c r="AQ110" i="16"/>
  <c r="T111" i="16"/>
  <c r="S111" i="16"/>
  <c r="AA111" i="16"/>
  <c r="AK110" i="16"/>
  <c r="K113" i="16"/>
  <c r="L112" i="16"/>
  <c r="AP112" i="16" s="1"/>
  <c r="M111" i="16"/>
  <c r="N111" i="16" s="1"/>
  <c r="AJ111" i="16"/>
  <c r="AK111" i="16" s="1"/>
  <c r="AQ111" i="16" l="1"/>
  <c r="U111" i="16"/>
  <c r="Y111" i="16"/>
  <c r="K114" i="16"/>
  <c r="L113" i="16"/>
  <c r="AP113" i="16" s="1"/>
  <c r="M112" i="16"/>
  <c r="N112" i="16" s="1"/>
  <c r="AB111" i="16"/>
  <c r="S112" i="16"/>
  <c r="AI112" i="16"/>
  <c r="X112" i="16"/>
  <c r="Y112" i="16" s="1"/>
  <c r="T112" i="16"/>
  <c r="AA112" i="16"/>
  <c r="AB112" i="16" l="1"/>
  <c r="AJ112" i="16"/>
  <c r="AQ112" i="16"/>
  <c r="U112" i="16"/>
  <c r="AI113" i="16"/>
  <c r="M113" i="16"/>
  <c r="N113" i="16" s="1"/>
  <c r="X113" i="16"/>
  <c r="T113" i="16"/>
  <c r="AA113" i="16"/>
  <c r="S113" i="16"/>
  <c r="K115" i="16"/>
  <c r="L114" i="16"/>
  <c r="T114" i="16" s="1"/>
  <c r="AQ113" i="16" l="1"/>
  <c r="U113" i="16"/>
  <c r="Y113" i="16"/>
  <c r="AJ113" i="16"/>
  <c r="AB113" i="16"/>
  <c r="X114" i="16"/>
  <c r="S114" i="16"/>
  <c r="M114" i="16"/>
  <c r="N114" i="16" s="1"/>
  <c r="AI114" i="16"/>
  <c r="AA114" i="16"/>
  <c r="AP114" i="16"/>
  <c r="L115" i="16"/>
  <c r="X115" i="16" s="1"/>
  <c r="K116" i="16"/>
  <c r="AB114" i="16" l="1"/>
  <c r="Y114" i="16"/>
  <c r="U114" i="16"/>
  <c r="AQ114" i="16"/>
  <c r="AJ114" i="16"/>
  <c r="K117" i="16"/>
  <c r="L116" i="16"/>
  <c r="S116" i="16" s="1"/>
  <c r="S115" i="16"/>
  <c r="AI115" i="16"/>
  <c r="AA115" i="16"/>
  <c r="AP115" i="16"/>
  <c r="M115" i="16"/>
  <c r="N115" i="16" s="1"/>
  <c r="T115" i="16"/>
  <c r="AB115" i="16" l="1"/>
  <c r="AQ115" i="16"/>
  <c r="AJ115" i="16"/>
  <c r="Y115" i="16"/>
  <c r="U115" i="16"/>
  <c r="AA116" i="16"/>
  <c r="AP116" i="16"/>
  <c r="T116" i="16"/>
  <c r="AI116" i="16"/>
  <c r="AJ116" i="16" s="1"/>
  <c r="M116" i="16"/>
  <c r="N116" i="16" s="1"/>
  <c r="X116" i="16"/>
  <c r="L117" i="16"/>
  <c r="X117" i="16" s="1"/>
  <c r="K118" i="16"/>
  <c r="AQ116" i="16" l="1"/>
  <c r="U116" i="16"/>
  <c r="Y116" i="16"/>
  <c r="AB116" i="16"/>
  <c r="AK116" i="16"/>
  <c r="T117" i="16"/>
  <c r="S117" i="16"/>
  <c r="AA117" i="16"/>
  <c r="M117" i="16"/>
  <c r="N117" i="16" s="1"/>
  <c r="AI117" i="16"/>
  <c r="AP117" i="16"/>
  <c r="K119" i="16"/>
  <c r="L118" i="16"/>
  <c r="T118" i="16" s="1"/>
  <c r="Y117" i="16"/>
  <c r="Z117" i="16" s="1"/>
  <c r="AB117" i="16" l="1"/>
  <c r="U117" i="16"/>
  <c r="AQ117" i="16"/>
  <c r="AJ117" i="16"/>
  <c r="L119" i="16"/>
  <c r="S119" i="16" s="1"/>
  <c r="K120" i="16"/>
  <c r="AI118" i="16"/>
  <c r="AJ118" i="16" s="1"/>
  <c r="AK118" i="16" s="1"/>
  <c r="X118" i="16"/>
  <c r="M118" i="16"/>
  <c r="N118" i="16" s="1"/>
  <c r="AP118" i="16"/>
  <c r="AA118" i="16"/>
  <c r="S118" i="16"/>
  <c r="AQ118" i="16" l="1"/>
  <c r="Y118" i="16"/>
  <c r="AB118" i="16"/>
  <c r="AA119" i="16"/>
  <c r="T119" i="16"/>
  <c r="K121" i="16"/>
  <c r="L120" i="16"/>
  <c r="X120" i="16" s="1"/>
  <c r="M119" i="16"/>
  <c r="N119" i="16" s="1"/>
  <c r="X119" i="16"/>
  <c r="U118" i="16"/>
  <c r="AI119" i="16"/>
  <c r="AJ119" i="16" s="1"/>
  <c r="AK119" i="16" s="1"/>
  <c r="AP119" i="16"/>
  <c r="AQ119" i="16" l="1"/>
  <c r="Y119" i="16"/>
  <c r="AB119" i="16"/>
  <c r="T120" i="16"/>
  <c r="AI120" i="16"/>
  <c r="S120" i="16"/>
  <c r="AA120" i="16"/>
  <c r="U119" i="16"/>
  <c r="AP120" i="16"/>
  <c r="K122" i="16"/>
  <c r="L121" i="16"/>
  <c r="X121" i="16" s="1"/>
  <c r="M120" i="16"/>
  <c r="N120" i="16" s="1"/>
  <c r="AJ120" i="16" l="1"/>
  <c r="Y120" i="16"/>
  <c r="AB120" i="16"/>
  <c r="U120" i="16"/>
  <c r="AQ120" i="16"/>
  <c r="AI121" i="16"/>
  <c r="L122" i="16"/>
  <c r="AI122" i="16" s="1"/>
  <c r="K123" i="16"/>
  <c r="AA121" i="16"/>
  <c r="AP121" i="16"/>
  <c r="S121" i="16"/>
  <c r="T121" i="16"/>
  <c r="M121" i="16"/>
  <c r="N121" i="16" s="1"/>
  <c r="Y121" i="16" l="1"/>
  <c r="AJ121" i="16"/>
  <c r="AQ121" i="16"/>
  <c r="AB121" i="16"/>
  <c r="U121" i="16"/>
  <c r="AA122" i="16"/>
  <c r="AP122" i="16"/>
  <c r="M122" i="16"/>
  <c r="N122" i="16" s="1"/>
  <c r="X122" i="16"/>
  <c r="S122" i="16"/>
  <c r="K124" i="16"/>
  <c r="L123" i="16"/>
  <c r="AI123" i="16" s="1"/>
  <c r="T122" i="16"/>
  <c r="AJ122" i="16"/>
  <c r="AK122" i="16" s="1"/>
  <c r="AQ122" i="16" l="1"/>
  <c r="Y122" i="16"/>
  <c r="U122" i="16"/>
  <c r="AB122" i="16"/>
  <c r="AP123" i="16"/>
  <c r="L124" i="16"/>
  <c r="AP124" i="16" s="1"/>
  <c r="K125" i="16"/>
  <c r="AA123" i="16"/>
  <c r="T123" i="16"/>
  <c r="M123" i="16"/>
  <c r="N123" i="16" s="1"/>
  <c r="X123" i="16"/>
  <c r="S123" i="16"/>
  <c r="AJ123" i="16"/>
  <c r="AK123" i="16" s="1"/>
  <c r="AQ123" i="16" l="1"/>
  <c r="Y123" i="16"/>
  <c r="U123" i="16"/>
  <c r="AB123" i="16"/>
  <c r="M124" i="16"/>
  <c r="N124" i="16" s="1"/>
  <c r="K126" i="16"/>
  <c r="L125" i="16"/>
  <c r="S125" i="16" s="1"/>
  <c r="T124" i="16"/>
  <c r="S124" i="16"/>
  <c r="X124" i="16"/>
  <c r="AI124" i="16"/>
  <c r="AA124" i="16"/>
  <c r="AJ124" i="16" l="1"/>
  <c r="AQ124" i="16"/>
  <c r="Y124" i="16"/>
  <c r="AB124" i="16"/>
  <c r="U124" i="16"/>
  <c r="AI125" i="16"/>
  <c r="X125" i="16"/>
  <c r="Y125" i="16" s="1"/>
  <c r="K127" i="16"/>
  <c r="L126" i="16"/>
  <c r="M126" i="16" s="1"/>
  <c r="N126" i="16" s="1"/>
  <c r="T125" i="16"/>
  <c r="M125" i="16"/>
  <c r="N125" i="16" s="1"/>
  <c r="AP125" i="16"/>
  <c r="AA125" i="16"/>
  <c r="U125" i="16" l="1"/>
  <c r="AJ125" i="16"/>
  <c r="AB125" i="16"/>
  <c r="AQ125" i="16"/>
  <c r="Z125" i="16"/>
  <c r="L127" i="16"/>
  <c r="AP127" i="16" s="1"/>
  <c r="K128" i="16"/>
  <c r="X126" i="16"/>
  <c r="Y126" i="16" s="1"/>
  <c r="AI126" i="16"/>
  <c r="AJ126" i="16" s="1"/>
  <c r="S126" i="16"/>
  <c r="AA126" i="16"/>
  <c r="AB126" i="16" s="1"/>
  <c r="T126" i="16"/>
  <c r="U126" i="16" s="1"/>
  <c r="AP126" i="16"/>
  <c r="AQ126" i="16" s="1"/>
  <c r="S127" i="16" l="1"/>
  <c r="M127" i="16"/>
  <c r="N127" i="16" s="1"/>
  <c r="X127" i="16"/>
  <c r="K129" i="16"/>
  <c r="L128" i="16"/>
  <c r="X128" i="16" s="1"/>
  <c r="AA127" i="16"/>
  <c r="T127" i="16"/>
  <c r="AI127" i="16"/>
  <c r="AJ127" i="16" l="1"/>
  <c r="AB127" i="16"/>
  <c r="Y127" i="16"/>
  <c r="U127" i="16"/>
  <c r="AQ127" i="16"/>
  <c r="K130" i="16"/>
  <c r="L129" i="16"/>
  <c r="X129" i="16" s="1"/>
  <c r="AA128" i="16"/>
  <c r="AP128" i="16"/>
  <c r="T128" i="16"/>
  <c r="AI128" i="16"/>
  <c r="AJ128" i="16" s="1"/>
  <c r="AK128" i="16" s="1"/>
  <c r="S128" i="16"/>
  <c r="M128" i="16"/>
  <c r="N128" i="16" s="1"/>
  <c r="Y128" i="16" l="1"/>
  <c r="AQ128" i="16"/>
  <c r="U128" i="16"/>
  <c r="AB128" i="16"/>
  <c r="AA129" i="16"/>
  <c r="AP129" i="16"/>
  <c r="T129" i="16"/>
  <c r="S129" i="16"/>
  <c r="AI129" i="16"/>
  <c r="K131" i="16"/>
  <c r="L130" i="16"/>
  <c r="AP130" i="16" s="1"/>
  <c r="M129" i="16"/>
  <c r="N129" i="16" s="1"/>
  <c r="AJ129" i="16" l="1"/>
  <c r="AQ129" i="16"/>
  <c r="U129" i="16"/>
  <c r="AB129" i="16"/>
  <c r="Y129" i="16"/>
  <c r="X130" i="16"/>
  <c r="L131" i="16"/>
  <c r="AA131" i="16" s="1"/>
  <c r="K132" i="16"/>
  <c r="M130" i="16"/>
  <c r="N130" i="16" s="1"/>
  <c r="T130" i="16"/>
  <c r="AI130" i="16"/>
  <c r="AJ130" i="16" s="1"/>
  <c r="AK130" i="16" s="1"/>
  <c r="S130" i="16"/>
  <c r="AA130" i="16"/>
  <c r="AQ130" i="16" l="1"/>
  <c r="AB130" i="16"/>
  <c r="U130" i="16"/>
  <c r="Y130" i="16"/>
  <c r="X131" i="16"/>
  <c r="AP131" i="16"/>
  <c r="S131" i="16"/>
  <c r="T131" i="16"/>
  <c r="AI131" i="16"/>
  <c r="AJ131" i="16" s="1"/>
  <c r="AK131" i="16" s="1"/>
  <c r="L132" i="16"/>
  <c r="M132" i="16" s="1"/>
  <c r="N132" i="16" s="1"/>
  <c r="K133" i="16"/>
  <c r="M131" i="16"/>
  <c r="N131" i="16" s="1"/>
  <c r="AQ131" i="16" l="1"/>
  <c r="Y131" i="16"/>
  <c r="U131" i="16"/>
  <c r="X132" i="16"/>
  <c r="Y132" i="16" s="1"/>
  <c r="L133" i="16"/>
  <c r="S133" i="16" s="1"/>
  <c r="K134" i="16"/>
  <c r="AI132" i="16"/>
  <c r="AJ132" i="16" s="1"/>
  <c r="AA132" i="16"/>
  <c r="AB132" i="16" s="1"/>
  <c r="AB131" i="16"/>
  <c r="AP132" i="16"/>
  <c r="AQ132" i="16" s="1"/>
  <c r="T132" i="16"/>
  <c r="U132" i="16" s="1"/>
  <c r="S132" i="16"/>
  <c r="K135" i="16" l="1"/>
  <c r="L134" i="16"/>
  <c r="AI134" i="16" s="1"/>
  <c r="AI133" i="16"/>
  <c r="AJ133" i="16" s="1"/>
  <c r="AK133" i="16" s="1"/>
  <c r="AA133" i="16"/>
  <c r="M133" i="16"/>
  <c r="N133" i="16" s="1"/>
  <c r="X133" i="16"/>
  <c r="AP133" i="16"/>
  <c r="T133" i="16"/>
  <c r="U133" i="16" l="1"/>
  <c r="AQ133" i="16"/>
  <c r="Y133" i="16"/>
  <c r="AB133" i="16"/>
  <c r="S134" i="16"/>
  <c r="K136" i="16"/>
  <c r="L135" i="16"/>
  <c r="AP135" i="16" s="1"/>
  <c r="AA134" i="16"/>
  <c r="M134" i="16"/>
  <c r="N134" i="16" s="1"/>
  <c r="X134" i="16"/>
  <c r="AP134" i="16"/>
  <c r="T134" i="16"/>
  <c r="AJ134" i="16" l="1"/>
  <c r="U134" i="16"/>
  <c r="Y134" i="16"/>
  <c r="AQ134" i="16"/>
  <c r="AB134" i="16"/>
  <c r="K137" i="16"/>
  <c r="L136" i="16"/>
  <c r="X136" i="16" s="1"/>
  <c r="T135" i="16"/>
  <c r="M135" i="16"/>
  <c r="N135" i="16" s="1"/>
  <c r="X135" i="16"/>
  <c r="S135" i="16"/>
  <c r="AI135" i="16"/>
  <c r="AJ135" i="16" s="1"/>
  <c r="AK135" i="16" s="1"/>
  <c r="AA135" i="16"/>
  <c r="Y135" i="16" l="1"/>
  <c r="AB135" i="16"/>
  <c r="U135" i="16"/>
  <c r="AQ135" i="16"/>
  <c r="L137" i="16"/>
  <c r="AP137" i="16" s="1"/>
  <c r="K138" i="16"/>
  <c r="AI136" i="16"/>
  <c r="T136" i="16"/>
  <c r="S136" i="16"/>
  <c r="AA136" i="16"/>
  <c r="AP136" i="16"/>
  <c r="M136" i="16"/>
  <c r="N136" i="16" s="1"/>
  <c r="AQ136" i="16" l="1"/>
  <c r="AJ136" i="16"/>
  <c r="Y136" i="16"/>
  <c r="U136" i="16"/>
  <c r="AB136" i="16"/>
  <c r="AI137" i="16"/>
  <c r="M137" i="16"/>
  <c r="N137" i="16" s="1"/>
  <c r="X137" i="16"/>
  <c r="S137" i="16"/>
  <c r="L138" i="16"/>
  <c r="M138" i="16" s="1"/>
  <c r="N138" i="16" s="1"/>
  <c r="K139" i="16"/>
  <c r="T137" i="16"/>
  <c r="AA137" i="16"/>
  <c r="AJ137" i="16" l="1"/>
  <c r="AQ137" i="16"/>
  <c r="AB137" i="16"/>
  <c r="U137" i="16"/>
  <c r="Y137" i="16"/>
  <c r="X138" i="16"/>
  <c r="Y138" i="16" s="1"/>
  <c r="L139" i="16"/>
  <c r="M139" i="16" s="1"/>
  <c r="N139" i="16" s="1"/>
  <c r="K140" i="16"/>
  <c r="AI138" i="16"/>
  <c r="AJ138" i="16" s="1"/>
  <c r="S138" i="16"/>
  <c r="AA138" i="16"/>
  <c r="AB138" i="16" s="1"/>
  <c r="AP138" i="16"/>
  <c r="AQ138" i="16" s="1"/>
  <c r="T138" i="16"/>
  <c r="U138" i="16" s="1"/>
  <c r="X139" i="16" l="1"/>
  <c r="Y139" i="16" s="1"/>
  <c r="S139" i="16"/>
  <c r="T139" i="16"/>
  <c r="U139" i="16" s="1"/>
  <c r="AA139" i="16"/>
  <c r="AB139" i="16" s="1"/>
  <c r="AP139" i="16"/>
  <c r="AQ139" i="16" s="1"/>
  <c r="AI139" i="16"/>
  <c r="AJ139" i="16" s="1"/>
  <c r="AK139" i="16" s="1"/>
  <c r="L140" i="16"/>
  <c r="AA140" i="16" s="1"/>
  <c r="K141" i="16"/>
  <c r="AP140" i="16" l="1"/>
  <c r="M140" i="16"/>
  <c r="N140" i="16" s="1"/>
  <c r="X140" i="16"/>
  <c r="K142" i="16"/>
  <c r="L141" i="16"/>
  <c r="X141" i="16" s="1"/>
  <c r="T140" i="16"/>
  <c r="AI140" i="16"/>
  <c r="AJ140" i="16" s="1"/>
  <c r="AK140" i="16" s="1"/>
  <c r="S140" i="16"/>
  <c r="U140" i="16" l="1"/>
  <c r="Y140" i="16"/>
  <c r="AA141" i="16"/>
  <c r="AB140" i="16"/>
  <c r="AP141" i="16"/>
  <c r="S141" i="16"/>
  <c r="T141" i="16"/>
  <c r="AI141" i="16"/>
  <c r="AJ141" i="16" s="1"/>
  <c r="AK141" i="16" s="1"/>
  <c r="M141" i="16"/>
  <c r="N141" i="16" s="1"/>
  <c r="L142" i="16"/>
  <c r="X142" i="16" s="1"/>
  <c r="K143" i="16"/>
  <c r="AQ140" i="16"/>
  <c r="AB141" i="16" l="1"/>
  <c r="U141" i="16"/>
  <c r="Y141" i="16"/>
  <c r="T142" i="16"/>
  <c r="AQ141" i="16"/>
  <c r="L143" i="16"/>
  <c r="X143" i="16" s="1"/>
  <c r="K144" i="16"/>
  <c r="S142" i="16"/>
  <c r="AI142" i="16"/>
  <c r="AA142" i="16"/>
  <c r="AP142" i="16"/>
  <c r="M142" i="16"/>
  <c r="N142" i="16" s="1"/>
  <c r="Y142" i="16"/>
  <c r="AJ142" i="16" l="1"/>
  <c r="U142" i="16"/>
  <c r="AQ142" i="16"/>
  <c r="AB142" i="16"/>
  <c r="AA143" i="16"/>
  <c r="AP143" i="16"/>
  <c r="S143" i="16"/>
  <c r="T143" i="16"/>
  <c r="AI143" i="16"/>
  <c r="AJ143" i="16" s="1"/>
  <c r="AK143" i="16" s="1"/>
  <c r="M143" i="16"/>
  <c r="N143" i="16" s="1"/>
  <c r="K145" i="16"/>
  <c r="L144" i="16"/>
  <c r="AP144" i="16" s="1"/>
  <c r="Z142" i="16"/>
  <c r="Y143" i="16" l="1"/>
  <c r="U143" i="16"/>
  <c r="AB143" i="16"/>
  <c r="AQ143" i="16"/>
  <c r="M144" i="16"/>
  <c r="N144" i="16" s="1"/>
  <c r="X144" i="16"/>
  <c r="T144" i="16"/>
  <c r="AI144" i="16"/>
  <c r="AJ144" i="16" s="1"/>
  <c r="AK144" i="16" s="1"/>
  <c r="L145" i="16"/>
  <c r="AP145" i="16" s="1"/>
  <c r="K146" i="16"/>
  <c r="S144" i="16"/>
  <c r="AA144" i="16"/>
  <c r="AQ144" i="16" l="1"/>
  <c r="Y144" i="16"/>
  <c r="AB144" i="16"/>
  <c r="U144" i="16"/>
  <c r="T145" i="16"/>
  <c r="S145" i="16"/>
  <c r="L146" i="16"/>
  <c r="T146" i="16" s="1"/>
  <c r="K147" i="16"/>
  <c r="AA145" i="16"/>
  <c r="AI145" i="16"/>
  <c r="AJ145" i="16" s="1"/>
  <c r="AK145" i="16" s="1"/>
  <c r="M145" i="16"/>
  <c r="N145" i="16" s="1"/>
  <c r="X145" i="16"/>
  <c r="AQ145" i="16" l="1"/>
  <c r="Y145" i="16"/>
  <c r="AB145" i="16"/>
  <c r="U145" i="16"/>
  <c r="K148" i="16"/>
  <c r="L147" i="16"/>
  <c r="AP147" i="16" s="1"/>
  <c r="AI146" i="16"/>
  <c r="S146" i="16"/>
  <c r="M146" i="16"/>
  <c r="N146" i="16" s="1"/>
  <c r="AA146" i="16"/>
  <c r="AP146" i="16"/>
  <c r="X146" i="16"/>
  <c r="Y146" i="16" l="1"/>
  <c r="AJ146" i="16"/>
  <c r="U146" i="16"/>
  <c r="AQ146" i="16"/>
  <c r="AB146" i="16"/>
  <c r="X147" i="16"/>
  <c r="K149" i="16"/>
  <c r="L148" i="16"/>
  <c r="T148" i="16" s="1"/>
  <c r="S147" i="16"/>
  <c r="T147" i="16"/>
  <c r="AI147" i="16"/>
  <c r="M147" i="16"/>
  <c r="N147" i="16" s="1"/>
  <c r="AA147" i="16"/>
  <c r="Y147" i="16" l="1"/>
  <c r="AJ147" i="16"/>
  <c r="AQ147" i="16"/>
  <c r="AB147" i="16"/>
  <c r="U147" i="16"/>
  <c r="AI148" i="16"/>
  <c r="AJ148" i="16" s="1"/>
  <c r="AK148" i="16" s="1"/>
  <c r="S148" i="16"/>
  <c r="AA148" i="16"/>
  <c r="AP148" i="16"/>
  <c r="L149" i="16"/>
  <c r="AP149" i="16" s="1"/>
  <c r="K150" i="16"/>
  <c r="M148" i="16"/>
  <c r="N148" i="16" s="1"/>
  <c r="X148" i="16"/>
  <c r="Y148" i="16" l="1"/>
  <c r="AQ148" i="16"/>
  <c r="AB148" i="16"/>
  <c r="S149" i="16"/>
  <c r="M149" i="16"/>
  <c r="N149" i="16" s="1"/>
  <c r="X149" i="16"/>
  <c r="U148" i="16"/>
  <c r="AI149" i="16"/>
  <c r="AJ149" i="16" s="1"/>
  <c r="AK149" i="16" s="1"/>
  <c r="T149" i="16"/>
  <c r="AA149" i="16"/>
  <c r="K151" i="16"/>
  <c r="L150" i="16"/>
  <c r="X150" i="16" s="1"/>
  <c r="AQ149" i="16"/>
  <c r="AR149" i="16" s="1"/>
  <c r="AB149" i="16" l="1"/>
  <c r="U149" i="16"/>
  <c r="Y149" i="16"/>
  <c r="L151" i="16"/>
  <c r="M151" i="16" s="1"/>
  <c r="N151" i="16" s="1"/>
  <c r="K152" i="16"/>
  <c r="S150" i="16"/>
  <c r="AA150" i="16"/>
  <c r="AP150" i="16"/>
  <c r="AI150" i="16"/>
  <c r="M150" i="16"/>
  <c r="N150" i="16" s="1"/>
  <c r="T150" i="16"/>
  <c r="U150" i="16" s="1"/>
  <c r="Y150" i="16"/>
  <c r="Z150" i="16" s="1"/>
  <c r="AQ150" i="16" l="1"/>
  <c r="AJ150" i="16"/>
  <c r="AB150" i="16"/>
  <c r="X151" i="16"/>
  <c r="Y151" i="16" s="1"/>
  <c r="Z151" i="16" s="1"/>
  <c r="L152" i="16"/>
  <c r="S152" i="16" s="1"/>
  <c r="K153" i="16"/>
  <c r="AA151" i="16"/>
  <c r="AB151" i="16" s="1"/>
  <c r="AP151" i="16"/>
  <c r="AQ151" i="16" s="1"/>
  <c r="S151" i="16"/>
  <c r="T151" i="16"/>
  <c r="U151" i="16" s="1"/>
  <c r="AI151" i="16"/>
  <c r="AJ151" i="16" s="1"/>
  <c r="K154" i="16" l="1"/>
  <c r="L153" i="16"/>
  <c r="T153" i="16" s="1"/>
  <c r="AA152" i="16"/>
  <c r="M152" i="16"/>
  <c r="N152" i="16" s="1"/>
  <c r="X152" i="16"/>
  <c r="AP152" i="16"/>
  <c r="T152" i="16"/>
  <c r="AI152" i="16"/>
  <c r="U152" i="16" l="1"/>
  <c r="Y152" i="16"/>
  <c r="AB152" i="16"/>
  <c r="AJ152" i="16"/>
  <c r="AQ152" i="16"/>
  <c r="K155" i="16"/>
  <c r="L154" i="16"/>
  <c r="X154" i="16" s="1"/>
  <c r="S153" i="16"/>
  <c r="M153" i="16"/>
  <c r="N153" i="16" s="1"/>
  <c r="X153" i="16"/>
  <c r="Y153" i="16" s="1"/>
  <c r="Z153" i="16" s="1"/>
  <c r="AI153" i="16"/>
  <c r="AJ153" i="16" s="1"/>
  <c r="AK153" i="16" s="1"/>
  <c r="AA153" i="16"/>
  <c r="AP153" i="16"/>
  <c r="AB153" i="16" l="1"/>
  <c r="AQ153" i="16"/>
  <c r="U153" i="16"/>
  <c r="S154" i="16"/>
  <c r="L155" i="16"/>
  <c r="AP155" i="16" s="1"/>
  <c r="K156" i="16"/>
  <c r="AI154" i="16"/>
  <c r="AP154" i="16"/>
  <c r="T154" i="16"/>
  <c r="AA154" i="16"/>
  <c r="M154" i="16"/>
  <c r="N154" i="16" s="1"/>
  <c r="Y154" i="16" l="1"/>
  <c r="AB154" i="16"/>
  <c r="U154" i="16"/>
  <c r="AQ154" i="16"/>
  <c r="AJ154" i="16"/>
  <c r="T155" i="16"/>
  <c r="S155" i="16"/>
  <c r="K157" i="16"/>
  <c r="L156" i="16"/>
  <c r="X156" i="16" s="1"/>
  <c r="AA155" i="16"/>
  <c r="AI155" i="16"/>
  <c r="AJ155" i="16" s="1"/>
  <c r="M155" i="16"/>
  <c r="N155" i="16" s="1"/>
  <c r="X155" i="16"/>
  <c r="Y155" i="16" l="1"/>
  <c r="AB155" i="16"/>
  <c r="U155" i="16"/>
  <c r="L157" i="16"/>
  <c r="AA157" i="16" s="1"/>
  <c r="K158" i="16"/>
  <c r="T156" i="16"/>
  <c r="S156" i="16"/>
  <c r="AA156" i="16"/>
  <c r="AP156" i="16"/>
  <c r="AQ155" i="16"/>
  <c r="M156" i="16"/>
  <c r="N156" i="16" s="1"/>
  <c r="AI156" i="16"/>
  <c r="AJ156" i="16" s="1"/>
  <c r="AK155" i="16"/>
  <c r="Y156" i="16"/>
  <c r="Z156" i="16" s="1"/>
  <c r="AQ156" i="16" l="1"/>
  <c r="AB156" i="16"/>
  <c r="AP157" i="16"/>
  <c r="S157" i="16"/>
  <c r="T157" i="16"/>
  <c r="U156" i="16"/>
  <c r="AK156" i="16"/>
  <c r="AI157" i="16"/>
  <c r="AJ157" i="16" s="1"/>
  <c r="M157" i="16"/>
  <c r="N157" i="16" s="1"/>
  <c r="X157" i="16"/>
  <c r="L158" i="16"/>
  <c r="M158" i="16" s="1"/>
  <c r="N158" i="16" s="1"/>
  <c r="K159" i="16"/>
  <c r="AQ157" i="16" l="1"/>
  <c r="Y157" i="16"/>
  <c r="AK157" i="16"/>
  <c r="X158" i="16"/>
  <c r="Y158" i="16" s="1"/>
  <c r="K160" i="16"/>
  <c r="L159" i="16"/>
  <c r="AP159" i="16" s="1"/>
  <c r="T158" i="16"/>
  <c r="U158" i="16" s="1"/>
  <c r="S158" i="16"/>
  <c r="AP158" i="16"/>
  <c r="AQ158" i="16" s="1"/>
  <c r="AI158" i="16"/>
  <c r="AJ158" i="16" s="1"/>
  <c r="AK158" i="16" s="1"/>
  <c r="AB157" i="16"/>
  <c r="AA158" i="16"/>
  <c r="AB158" i="16" s="1"/>
  <c r="U157" i="16"/>
  <c r="T159" i="16" l="1"/>
  <c r="X159" i="16"/>
  <c r="AI159" i="16"/>
  <c r="AJ159" i="16" s="1"/>
  <c r="AK159" i="16" s="1"/>
  <c r="L160" i="16"/>
  <c r="AA160" i="16" s="1"/>
  <c r="K161" i="16"/>
  <c r="S159" i="16"/>
  <c r="M159" i="16"/>
  <c r="N159" i="16" s="1"/>
  <c r="AA159" i="16"/>
  <c r="AQ159" i="16"/>
  <c r="AR159" i="16" s="1"/>
  <c r="Y159" i="16" l="1"/>
  <c r="U159" i="16"/>
  <c r="AB159" i="16"/>
  <c r="K162" i="16"/>
  <c r="L161" i="16"/>
  <c r="X161" i="16" s="1"/>
  <c r="M160" i="16"/>
  <c r="N160" i="16" s="1"/>
  <c r="AP160" i="16"/>
  <c r="X160" i="16"/>
  <c r="T160" i="16"/>
  <c r="AI160" i="16"/>
  <c r="AJ160" i="16" s="1"/>
  <c r="AK160" i="16" s="1"/>
  <c r="S160" i="16"/>
  <c r="Y160" i="16" l="1"/>
  <c r="AQ160" i="16"/>
  <c r="U160" i="16"/>
  <c r="AB160" i="16"/>
  <c r="K163" i="16"/>
  <c r="L162" i="16"/>
  <c r="T162" i="16" s="1"/>
  <c r="AA161" i="16"/>
  <c r="AP161" i="16"/>
  <c r="S161" i="16"/>
  <c r="T161" i="16"/>
  <c r="AI161" i="16"/>
  <c r="AJ161" i="16" s="1"/>
  <c r="AK161" i="16" s="1"/>
  <c r="M161" i="16"/>
  <c r="N161" i="16" s="1"/>
  <c r="Y161" i="16"/>
  <c r="Z161" i="16" s="1"/>
  <c r="U161" i="16" l="1"/>
  <c r="AB161" i="16"/>
  <c r="AQ161" i="16"/>
  <c r="L163" i="16"/>
  <c r="X163" i="16" s="1"/>
  <c r="K164" i="16"/>
  <c r="M162" i="16"/>
  <c r="N162" i="16" s="1"/>
  <c r="AI162" i="16"/>
  <c r="AJ162" i="16" s="1"/>
  <c r="AK162" i="16" s="1"/>
  <c r="S162" i="16"/>
  <c r="AA162" i="16"/>
  <c r="AP162" i="16"/>
  <c r="X162" i="16"/>
  <c r="Y162" i="16" s="1"/>
  <c r="U162" i="16" l="1"/>
  <c r="AQ162" i="16"/>
  <c r="AB162" i="16"/>
  <c r="Z162" i="16"/>
  <c r="K165" i="16"/>
  <c r="L164" i="16"/>
  <c r="AP164" i="16" s="1"/>
  <c r="AP163" i="16"/>
  <c r="S163" i="16"/>
  <c r="M163" i="16"/>
  <c r="N163" i="16" s="1"/>
  <c r="AA163" i="16"/>
  <c r="T163" i="16"/>
  <c r="AI163" i="16"/>
  <c r="AJ163" i="16" s="1"/>
  <c r="AK163" i="16" s="1"/>
  <c r="Y163" i="16" l="1"/>
  <c r="AB163" i="16"/>
  <c r="U163" i="16"/>
  <c r="AQ163" i="16"/>
  <c r="L165" i="16"/>
  <c r="AP165" i="16" s="1"/>
  <c r="K166" i="16"/>
  <c r="M164" i="16"/>
  <c r="N164" i="16" s="1"/>
  <c r="X164" i="16"/>
  <c r="T164" i="16"/>
  <c r="AI164" i="16"/>
  <c r="AJ164" i="16" s="1"/>
  <c r="AK164" i="16" s="1"/>
  <c r="S164" i="16"/>
  <c r="AA164" i="16"/>
  <c r="Y164" i="16" l="1"/>
  <c r="AB164" i="16"/>
  <c r="AQ164" i="16"/>
  <c r="AI165" i="16"/>
  <c r="AJ165" i="16" s="1"/>
  <c r="AK165" i="16" s="1"/>
  <c r="S165" i="16"/>
  <c r="T165" i="16"/>
  <c r="M165" i="16"/>
  <c r="N165" i="16" s="1"/>
  <c r="X165" i="16"/>
  <c r="U164" i="16"/>
  <c r="L166" i="16"/>
  <c r="S166" i="16" s="1"/>
  <c r="K167" i="16"/>
  <c r="AA165" i="16"/>
  <c r="Y165" i="16" l="1"/>
  <c r="U165" i="16"/>
  <c r="AB165" i="16"/>
  <c r="AQ165" i="16"/>
  <c r="M166" i="16"/>
  <c r="N166" i="16" s="1"/>
  <c r="X166" i="16"/>
  <c r="L167" i="16"/>
  <c r="AA167" i="16" s="1"/>
  <c r="K168" i="16"/>
  <c r="AA166" i="16"/>
  <c r="AP166" i="16"/>
  <c r="T166" i="16"/>
  <c r="AI166" i="16"/>
  <c r="Y166" i="16" l="1"/>
  <c r="U166" i="16"/>
  <c r="AJ166" i="16"/>
  <c r="AQ166" i="16"/>
  <c r="AB166" i="16"/>
  <c r="T167" i="16"/>
  <c r="AP167" i="16"/>
  <c r="X167" i="16"/>
  <c r="Y167" i="16" s="1"/>
  <c r="K169" i="16"/>
  <c r="L168" i="16"/>
  <c r="AA168" i="16" s="1"/>
  <c r="S167" i="16"/>
  <c r="M167" i="16"/>
  <c r="N167" i="16" s="1"/>
  <c r="AI167" i="16"/>
  <c r="AB167" i="16" l="1"/>
  <c r="U167" i="16"/>
  <c r="AJ167" i="16"/>
  <c r="Z167" i="16"/>
  <c r="AQ167" i="16"/>
  <c r="AP168" i="16"/>
  <c r="M168" i="16"/>
  <c r="N168" i="16" s="1"/>
  <c r="X168" i="16"/>
  <c r="T168" i="16"/>
  <c r="AI168" i="16"/>
  <c r="L169" i="16"/>
  <c r="S169" i="16" s="1"/>
  <c r="K170" i="16"/>
  <c r="S168" i="16"/>
  <c r="Y168" i="16" l="1"/>
  <c r="AJ168" i="16"/>
  <c r="AQ168" i="16"/>
  <c r="AB168" i="16"/>
  <c r="U168" i="16"/>
  <c r="X169" i="16"/>
  <c r="AP169" i="16"/>
  <c r="T169" i="16"/>
  <c r="M169" i="16"/>
  <c r="N169" i="16" s="1"/>
  <c r="AI169" i="16"/>
  <c r="K171" i="16"/>
  <c r="L170" i="16"/>
  <c r="AP170" i="16" s="1"/>
  <c r="AA169" i="16"/>
  <c r="AQ169" i="16" l="1"/>
  <c r="AJ169" i="16"/>
  <c r="AB169" i="16"/>
  <c r="AA170" i="16"/>
  <c r="M170" i="16"/>
  <c r="N170" i="16" s="1"/>
  <c r="S170" i="16"/>
  <c r="X170" i="16"/>
  <c r="Y170" i="16" s="1"/>
  <c r="Z170" i="16" s="1"/>
  <c r="T170" i="16"/>
  <c r="L171" i="16"/>
  <c r="AA171" i="16" s="1"/>
  <c r="K172" i="16"/>
  <c r="U169" i="16"/>
  <c r="AI170" i="16"/>
  <c r="AJ170" i="16" s="1"/>
  <c r="AK170" i="16" s="1"/>
  <c r="Y169" i="16"/>
  <c r="U170" i="16" l="1"/>
  <c r="AB170" i="16"/>
  <c r="T171" i="16"/>
  <c r="AP171" i="16"/>
  <c r="L172" i="16"/>
  <c r="T172" i="16" s="1"/>
  <c r="K173" i="16"/>
  <c r="S171" i="16"/>
  <c r="AI171" i="16"/>
  <c r="AJ171" i="16" s="1"/>
  <c r="AK171" i="16" s="1"/>
  <c r="M171" i="16"/>
  <c r="N171" i="16" s="1"/>
  <c r="X171" i="16"/>
  <c r="AQ170" i="16"/>
  <c r="AQ171" i="16" l="1"/>
  <c r="Y171" i="16"/>
  <c r="AI172" i="16"/>
  <c r="AJ172" i="16" s="1"/>
  <c r="AK172" i="16" s="1"/>
  <c r="S172" i="16"/>
  <c r="AA172" i="16"/>
  <c r="AP172" i="16"/>
  <c r="AQ172" i="16" s="1"/>
  <c r="AB171" i="16"/>
  <c r="L173" i="16"/>
  <c r="AP173" i="16" s="1"/>
  <c r="K174" i="16"/>
  <c r="U171" i="16"/>
  <c r="M172" i="16"/>
  <c r="N172" i="16" s="1"/>
  <c r="X172" i="16"/>
  <c r="Y172" i="16" l="1"/>
  <c r="AB172" i="16"/>
  <c r="AR172" i="16"/>
  <c r="L174" i="16"/>
  <c r="AA174" i="16" s="1"/>
  <c r="K175" i="16"/>
  <c r="T173" i="16"/>
  <c r="M173" i="16"/>
  <c r="N173" i="16" s="1"/>
  <c r="U172" i="16"/>
  <c r="S173" i="16"/>
  <c r="AI173" i="16"/>
  <c r="X173" i="16"/>
  <c r="AA173" i="16"/>
  <c r="Y173" i="16" l="1"/>
  <c r="U173" i="16"/>
  <c r="AB173" i="16"/>
  <c r="AQ173" i="16"/>
  <c r="AJ173" i="16"/>
  <c r="K176" i="16"/>
  <c r="L175" i="16"/>
  <c r="X175" i="16" s="1"/>
  <c r="S174" i="16"/>
  <c r="AP174" i="16"/>
  <c r="M174" i="16"/>
  <c r="N174" i="16" s="1"/>
  <c r="X174" i="16"/>
  <c r="AI174" i="16"/>
  <c r="AJ174" i="16" s="1"/>
  <c r="AK174" i="16" s="1"/>
  <c r="T174" i="16"/>
  <c r="Y174" i="16" l="1"/>
  <c r="AB174" i="16"/>
  <c r="U174" i="16"/>
  <c r="AQ174" i="16"/>
  <c r="AA175" i="16"/>
  <c r="AP175" i="16"/>
  <c r="AQ175" i="16" s="1"/>
  <c r="L176" i="16"/>
  <c r="AP176" i="16" s="1"/>
  <c r="K177" i="16"/>
  <c r="S175" i="16"/>
  <c r="T175" i="16"/>
  <c r="AI175" i="16"/>
  <c r="AJ175" i="16" s="1"/>
  <c r="AK175" i="16" s="1"/>
  <c r="M175" i="16"/>
  <c r="N175" i="16" s="1"/>
  <c r="AB175" i="16" l="1"/>
  <c r="Y175" i="16"/>
  <c r="M176" i="16"/>
  <c r="N176" i="16" s="1"/>
  <c r="U175" i="16"/>
  <c r="AR175" i="16"/>
  <c r="X176" i="16"/>
  <c r="Y176" i="16" s="1"/>
  <c r="AI176" i="16"/>
  <c r="S176" i="16"/>
  <c r="AA176" i="16"/>
  <c r="K178" i="16"/>
  <c r="L177" i="16"/>
  <c r="X177" i="16" s="1"/>
  <c r="T176" i="16"/>
  <c r="U176" i="16" l="1"/>
  <c r="AB176" i="16"/>
  <c r="AQ176" i="16"/>
  <c r="AJ176" i="16"/>
  <c r="AP177" i="16"/>
  <c r="S177" i="16"/>
  <c r="T177" i="16"/>
  <c r="AA177" i="16"/>
  <c r="AI177" i="16"/>
  <c r="AJ177" i="16" s="1"/>
  <c r="AK177" i="16" s="1"/>
  <c r="L178" i="16"/>
  <c r="AI178" i="16" s="1"/>
  <c r="K179" i="16"/>
  <c r="M177" i="16"/>
  <c r="N177" i="16" s="1"/>
  <c r="AQ177" i="16" l="1"/>
  <c r="L179" i="16"/>
  <c r="X179" i="16" s="1"/>
  <c r="K180" i="16"/>
  <c r="AA178" i="16"/>
  <c r="Y177" i="16"/>
  <c r="AB177" i="16"/>
  <c r="M178" i="16"/>
  <c r="N178" i="16" s="1"/>
  <c r="X178" i="16"/>
  <c r="AP178" i="16"/>
  <c r="T178" i="16"/>
  <c r="S178" i="16"/>
  <c r="U177" i="16"/>
  <c r="Y178" i="16" l="1"/>
  <c r="U178" i="16"/>
  <c r="AJ178" i="16"/>
  <c r="S179" i="16"/>
  <c r="AB178" i="16"/>
  <c r="AA179" i="16"/>
  <c r="AP179" i="16"/>
  <c r="T179" i="16"/>
  <c r="AI179" i="16"/>
  <c r="AJ179" i="16" s="1"/>
  <c r="AK179" i="16" s="1"/>
  <c r="M179" i="16"/>
  <c r="N179" i="16" s="1"/>
  <c r="AQ178" i="16"/>
  <c r="K181" i="16"/>
  <c r="L180" i="16"/>
  <c r="M180" i="16" s="1"/>
  <c r="N180" i="16" s="1"/>
  <c r="AQ179" i="16" l="1"/>
  <c r="AB179" i="16"/>
  <c r="Y179" i="16"/>
  <c r="U179" i="16"/>
  <c r="X180" i="16"/>
  <c r="Y180" i="16" s="1"/>
  <c r="T180" i="16"/>
  <c r="U180" i="16" s="1"/>
  <c r="K182" i="16"/>
  <c r="L181" i="16"/>
  <c r="T181" i="16" s="1"/>
  <c r="AI180" i="16"/>
  <c r="AJ180" i="16" s="1"/>
  <c r="S180" i="16"/>
  <c r="AP180" i="16"/>
  <c r="AQ180" i="16" s="1"/>
  <c r="AA180" i="16"/>
  <c r="AB180" i="16" s="1"/>
  <c r="AA181" i="16" l="1"/>
  <c r="AP181" i="16"/>
  <c r="S181" i="16"/>
  <c r="AI181" i="16"/>
  <c r="AJ181" i="16" s="1"/>
  <c r="M181" i="16"/>
  <c r="N181" i="16" s="1"/>
  <c r="X181" i="16"/>
  <c r="L182" i="16"/>
  <c r="M182" i="16" s="1"/>
  <c r="N182" i="16" s="1"/>
  <c r="K183" i="16"/>
  <c r="AK181" i="16" l="1"/>
  <c r="Y181" i="16"/>
  <c r="AQ181" i="16"/>
  <c r="AB181" i="16"/>
  <c r="K184" i="16"/>
  <c r="L183" i="16"/>
  <c r="AP183" i="16" s="1"/>
  <c r="X182" i="16"/>
  <c r="Y182" i="16" s="1"/>
  <c r="S182" i="16"/>
  <c r="AA182" i="16"/>
  <c r="AB182" i="16" s="1"/>
  <c r="AP182" i="16"/>
  <c r="AQ182" i="16" s="1"/>
  <c r="T182" i="16"/>
  <c r="U182" i="16" s="1"/>
  <c r="U181" i="16"/>
  <c r="AI182" i="16"/>
  <c r="AJ182" i="16" s="1"/>
  <c r="AI183" i="16" l="1"/>
  <c r="AJ183" i="16" s="1"/>
  <c r="AK183" i="16" s="1"/>
  <c r="T183" i="16"/>
  <c r="M183" i="16"/>
  <c r="N183" i="16" s="1"/>
  <c r="L184" i="16"/>
  <c r="S184" i="16" s="1"/>
  <c r="K185" i="16"/>
  <c r="S183" i="16"/>
  <c r="X183" i="16"/>
  <c r="AA183" i="16"/>
  <c r="V182" i="16"/>
  <c r="AK182" i="16"/>
  <c r="Y183" i="16" l="1"/>
  <c r="AB183" i="16"/>
  <c r="AQ183" i="16"/>
  <c r="K186" i="16"/>
  <c r="L185" i="16"/>
  <c r="X185" i="16" s="1"/>
  <c r="AA184" i="16"/>
  <c r="U183" i="16"/>
  <c r="M184" i="16"/>
  <c r="N184" i="16" s="1"/>
  <c r="X184" i="16"/>
  <c r="T184" i="16"/>
  <c r="AP184" i="16"/>
  <c r="AI184" i="16"/>
  <c r="AJ184" i="16" s="1"/>
  <c r="AK184" i="16" l="1"/>
  <c r="Y184" i="16"/>
  <c r="AQ184" i="16"/>
  <c r="AP185" i="16"/>
  <c r="S185" i="16"/>
  <c r="T185" i="16"/>
  <c r="AI185" i="16"/>
  <c r="AJ185" i="16" s="1"/>
  <c r="AK185" i="16" s="1"/>
  <c r="U184" i="16"/>
  <c r="AB184" i="16"/>
  <c r="M185" i="16"/>
  <c r="N185" i="16" s="1"/>
  <c r="AA185" i="16"/>
  <c r="L186" i="16"/>
  <c r="S186" i="16" s="1"/>
  <c r="K187" i="16"/>
  <c r="Y185" i="16"/>
  <c r="Z185" i="16" s="1"/>
  <c r="AQ185" i="16" l="1"/>
  <c r="U185" i="16"/>
  <c r="AB185" i="16"/>
  <c r="X186" i="16"/>
  <c r="L187" i="16"/>
  <c r="AA187" i="16" s="1"/>
  <c r="K188" i="16"/>
  <c r="M186" i="16"/>
  <c r="N186" i="16" s="1"/>
  <c r="AI186" i="16"/>
  <c r="AJ186" i="16" s="1"/>
  <c r="AA186" i="16"/>
  <c r="AP186" i="16"/>
  <c r="T186" i="16"/>
  <c r="AK186" i="16" l="1"/>
  <c r="U186" i="16"/>
  <c r="AB186" i="16"/>
  <c r="Y186" i="16"/>
  <c r="AQ186" i="16"/>
  <c r="AP187" i="16"/>
  <c r="S187" i="16"/>
  <c r="T187" i="16"/>
  <c r="L188" i="16"/>
  <c r="AI188" i="16" s="1"/>
  <c r="K189" i="16"/>
  <c r="AI187" i="16"/>
  <c r="AJ187" i="16" s="1"/>
  <c r="AK187" i="16" s="1"/>
  <c r="M187" i="16"/>
  <c r="N187" i="16" s="1"/>
  <c r="X187" i="16"/>
  <c r="Y187" i="16" s="1"/>
  <c r="Z187" i="16" s="1"/>
  <c r="U187" i="16" l="1"/>
  <c r="AB187" i="16"/>
  <c r="AQ187" i="16"/>
  <c r="AA188" i="16"/>
  <c r="AB188" i="16" s="1"/>
  <c r="L189" i="16"/>
  <c r="S189" i="16" s="1"/>
  <c r="K190" i="16"/>
  <c r="S188" i="16"/>
  <c r="AP188" i="16"/>
  <c r="M188" i="16"/>
  <c r="N188" i="16" s="1"/>
  <c r="X188" i="16"/>
  <c r="Y188" i="16" s="1"/>
  <c r="Z188" i="16" s="1"/>
  <c r="T188" i="16"/>
  <c r="AJ188" i="16"/>
  <c r="AK188" i="16" s="1"/>
  <c r="U188" i="16" l="1"/>
  <c r="AQ188" i="16"/>
  <c r="M189" i="16"/>
  <c r="N189" i="16" s="1"/>
  <c r="X189" i="16"/>
  <c r="Y189" i="16" s="1"/>
  <c r="K191" i="16"/>
  <c r="L190" i="16"/>
  <c r="X190" i="16" s="1"/>
  <c r="T189" i="16"/>
  <c r="AA189" i="16"/>
  <c r="AB189" i="16" s="1"/>
  <c r="AC189" i="16" s="1"/>
  <c r="AP189" i="16"/>
  <c r="AQ189" i="16" s="1"/>
  <c r="AI189" i="16"/>
  <c r="AJ189" i="16" s="1"/>
  <c r="AK189" i="16" s="1"/>
  <c r="AC188" i="16"/>
  <c r="U189" i="16" l="1"/>
  <c r="AR189" i="16"/>
  <c r="K192" i="16"/>
  <c r="L191" i="16"/>
  <c r="AP191" i="16" s="1"/>
  <c r="AA190" i="16"/>
  <c r="T190" i="16"/>
  <c r="AI190" i="16"/>
  <c r="AJ190" i="16" s="1"/>
  <c r="AK190" i="16" s="1"/>
  <c r="S190" i="16"/>
  <c r="AP190" i="16"/>
  <c r="M190" i="16"/>
  <c r="N190" i="16" s="1"/>
  <c r="Z189" i="16"/>
  <c r="U190" i="16" l="1"/>
  <c r="AB190" i="16"/>
  <c r="Y190" i="16"/>
  <c r="AQ190" i="16"/>
  <c r="L192" i="16"/>
  <c r="X192" i="16" s="1"/>
  <c r="K193" i="16"/>
  <c r="M191" i="16"/>
  <c r="N191" i="16" s="1"/>
  <c r="S191" i="16"/>
  <c r="X191" i="16"/>
  <c r="T191" i="16"/>
  <c r="AI191" i="16"/>
  <c r="AJ191" i="16" s="1"/>
  <c r="AK191" i="16" s="1"/>
  <c r="AA191" i="16"/>
  <c r="Y191" i="16" l="1"/>
  <c r="U191" i="16"/>
  <c r="AQ191" i="16"/>
  <c r="AB191" i="16"/>
  <c r="K194" i="16"/>
  <c r="L193" i="16"/>
  <c r="AP193" i="16" s="1"/>
  <c r="AI192" i="16"/>
  <c r="AJ192" i="16" s="1"/>
  <c r="AK192" i="16" s="1"/>
  <c r="T192" i="16"/>
  <c r="AP192" i="16"/>
  <c r="S192" i="16"/>
  <c r="AA192" i="16"/>
  <c r="M192" i="16"/>
  <c r="N192" i="16" s="1"/>
  <c r="AQ192" i="16" l="1"/>
  <c r="Y192" i="16"/>
  <c r="U192" i="16"/>
  <c r="AB192" i="16"/>
  <c r="T193" i="16"/>
  <c r="X193" i="16"/>
  <c r="L194" i="16"/>
  <c r="T194" i="16" s="1"/>
  <c r="K195" i="16"/>
  <c r="AI193" i="16"/>
  <c r="S193" i="16"/>
  <c r="M193" i="16"/>
  <c r="N193" i="16" s="1"/>
  <c r="AA193" i="16"/>
  <c r="Y193" i="16" l="1"/>
  <c r="AB193" i="16"/>
  <c r="AQ193" i="16"/>
  <c r="AJ193" i="16"/>
  <c r="U193" i="16"/>
  <c r="AI194" i="16"/>
  <c r="AJ194" i="16" s="1"/>
  <c r="AK194" i="16" s="1"/>
  <c r="AA194" i="16"/>
  <c r="L195" i="16"/>
  <c r="M195" i="16" s="1"/>
  <c r="N195" i="16" s="1"/>
  <c r="K196" i="16"/>
  <c r="AP194" i="16"/>
  <c r="S194" i="16"/>
  <c r="M194" i="16"/>
  <c r="N194" i="16" s="1"/>
  <c r="X194" i="16"/>
  <c r="Y194" i="16" s="1"/>
  <c r="Z194" i="16" s="1"/>
  <c r="U194" i="16"/>
  <c r="V194" i="16" s="1"/>
  <c r="AB194" i="16" l="1"/>
  <c r="AQ194" i="16"/>
  <c r="AA195" i="16"/>
  <c r="AB195" i="16" s="1"/>
  <c r="AP195" i="16"/>
  <c r="AQ195" i="16" s="1"/>
  <c r="S195" i="16"/>
  <c r="T195" i="16"/>
  <c r="U195" i="16" s="1"/>
  <c r="L196" i="16"/>
  <c r="M196" i="16" s="1"/>
  <c r="N196" i="16" s="1"/>
  <c r="K197" i="16"/>
  <c r="X195" i="16"/>
  <c r="Y195" i="16" s="1"/>
  <c r="AI195" i="16"/>
  <c r="AJ195" i="16" s="1"/>
  <c r="AK195" i="16" s="1"/>
  <c r="K198" i="16" l="1"/>
  <c r="L197" i="16"/>
  <c r="X197" i="16" s="1"/>
  <c r="AI196" i="16"/>
  <c r="AJ196" i="16" s="1"/>
  <c r="AK196" i="16" s="1"/>
  <c r="X196" i="16"/>
  <c r="Y196" i="16" s="1"/>
  <c r="T196" i="16"/>
  <c r="U196" i="16" s="1"/>
  <c r="AA196" i="16"/>
  <c r="AB196" i="16" s="1"/>
  <c r="S196" i="16"/>
  <c r="AP196" i="16"/>
  <c r="AQ196" i="16" s="1"/>
  <c r="AA197" i="16" l="1"/>
  <c r="AP197" i="16"/>
  <c r="S197" i="16"/>
  <c r="T197" i="16"/>
  <c r="K199" i="16"/>
  <c r="L198" i="16"/>
  <c r="M198" i="16" s="1"/>
  <c r="N198" i="16" s="1"/>
  <c r="AI197" i="16"/>
  <c r="AJ197" i="16" s="1"/>
  <c r="AK197" i="16" s="1"/>
  <c r="M197" i="16"/>
  <c r="N197" i="16" s="1"/>
  <c r="Y197" i="16" l="1"/>
  <c r="U197" i="16"/>
  <c r="AQ197" i="16"/>
  <c r="AB197" i="16"/>
  <c r="X198" i="16"/>
  <c r="Y198" i="16" s="1"/>
  <c r="Z198" i="16" s="1"/>
  <c r="T198" i="16"/>
  <c r="U198" i="16" s="1"/>
  <c r="L199" i="16"/>
  <c r="AA199" i="16" s="1"/>
  <c r="K200" i="16"/>
  <c r="AI198" i="16"/>
  <c r="AJ198" i="16" s="1"/>
  <c r="AK198" i="16" s="1"/>
  <c r="S198" i="16"/>
  <c r="AA198" i="16"/>
  <c r="AB198" i="16" s="1"/>
  <c r="AC198" i="16" s="1"/>
  <c r="AP198" i="16"/>
  <c r="AQ198" i="16" s="1"/>
  <c r="S199" i="16" l="1"/>
  <c r="AP199" i="16"/>
  <c r="K201" i="16"/>
  <c r="L200" i="16"/>
  <c r="AP200" i="16" s="1"/>
  <c r="T199" i="16"/>
  <c r="AI199" i="16"/>
  <c r="AJ199" i="16" s="1"/>
  <c r="AK199" i="16" s="1"/>
  <c r="M199" i="16"/>
  <c r="N199" i="16" s="1"/>
  <c r="X199" i="16"/>
  <c r="Y199" i="16" l="1"/>
  <c r="U199" i="16"/>
  <c r="AB199" i="16"/>
  <c r="AQ199" i="16"/>
  <c r="M200" i="16"/>
  <c r="N200" i="16" s="1"/>
  <c r="K202" i="16"/>
  <c r="L201" i="16"/>
  <c r="AA201" i="16" s="1"/>
  <c r="X200" i="16"/>
  <c r="Y200" i="16" s="1"/>
  <c r="Z200" i="16" s="1"/>
  <c r="T200" i="16"/>
  <c r="S200" i="16"/>
  <c r="AI200" i="16"/>
  <c r="AJ200" i="16" s="1"/>
  <c r="AK200" i="16" s="1"/>
  <c r="AA200" i="16"/>
  <c r="AQ200" i="16" l="1"/>
  <c r="AB200" i="16"/>
  <c r="U200" i="16"/>
  <c r="AP201" i="16"/>
  <c r="M201" i="16"/>
  <c r="N201" i="16" s="1"/>
  <c r="S201" i="16"/>
  <c r="X201" i="16"/>
  <c r="Y201" i="16" s="1"/>
  <c r="Z201" i="16" s="1"/>
  <c r="K203" i="16"/>
  <c r="L202" i="16"/>
  <c r="M202" i="16" s="1"/>
  <c r="N202" i="16" s="1"/>
  <c r="T201" i="16"/>
  <c r="AI201" i="16"/>
  <c r="AJ201" i="16" s="1"/>
  <c r="AK201" i="16" s="1"/>
  <c r="AB201" i="16" l="1"/>
  <c r="U201" i="16"/>
  <c r="AQ201" i="16"/>
  <c r="X202" i="16"/>
  <c r="Y202" i="16" s="1"/>
  <c r="K204" i="16"/>
  <c r="L203" i="16"/>
  <c r="X203" i="16" s="1"/>
  <c r="T202" i="16"/>
  <c r="U202" i="16" s="1"/>
  <c r="AI202" i="16"/>
  <c r="AJ202" i="16" s="1"/>
  <c r="AK202" i="16" s="1"/>
  <c r="S202" i="16"/>
  <c r="AA202" i="16"/>
  <c r="AB202" i="16" s="1"/>
  <c r="AP202" i="16"/>
  <c r="AQ202" i="16" s="1"/>
  <c r="AI203" i="16" l="1"/>
  <c r="AJ203" i="16" s="1"/>
  <c r="AK203" i="16" s="1"/>
  <c r="T203" i="16"/>
  <c r="S203" i="16"/>
  <c r="AA203" i="16"/>
  <c r="M203" i="16"/>
  <c r="N203" i="16" s="1"/>
  <c r="AP203" i="16"/>
  <c r="AQ203" i="16" s="1"/>
  <c r="K205" i="16"/>
  <c r="L204" i="16"/>
  <c r="S204" i="16" s="1"/>
  <c r="Y203" i="16"/>
  <c r="Z203" i="16" s="1"/>
  <c r="AB203" i="16" l="1"/>
  <c r="U203" i="16"/>
  <c r="AR203" i="16"/>
  <c r="M204" i="16"/>
  <c r="N204" i="16" s="1"/>
  <c r="X204" i="16"/>
  <c r="Y204" i="16" s="1"/>
  <c r="T204" i="16"/>
  <c r="U204" i="16" s="1"/>
  <c r="AI204" i="16"/>
  <c r="AJ204" i="16" s="1"/>
  <c r="AK204" i="16" s="1"/>
  <c r="AA204" i="16"/>
  <c r="AP204" i="16"/>
  <c r="L205" i="16"/>
  <c r="M205" i="16" s="1"/>
  <c r="N205" i="16" s="1"/>
  <c r="K206" i="16"/>
  <c r="AB204" i="16" l="1"/>
  <c r="AQ204" i="16"/>
  <c r="V204" i="16"/>
  <c r="AI205" i="16"/>
  <c r="AJ205" i="16" s="1"/>
  <c r="AK205" i="16" s="1"/>
  <c r="AA205" i="16"/>
  <c r="AB205" i="16" s="1"/>
  <c r="S205" i="16"/>
  <c r="X205" i="16"/>
  <c r="Y205" i="16" s="1"/>
  <c r="Z205" i="16" s="1"/>
  <c r="AP205" i="16"/>
  <c r="AQ205" i="16" s="1"/>
  <c r="AR205" i="16" s="1"/>
  <c r="T205" i="16"/>
  <c r="U205" i="16" s="1"/>
  <c r="Z204" i="16"/>
  <c r="L206" i="16"/>
  <c r="AA206" i="16" s="1"/>
  <c r="K207" i="16"/>
  <c r="M206" i="16" l="1"/>
  <c r="N206" i="16" s="1"/>
  <c r="X206" i="16"/>
  <c r="Y206" i="16" s="1"/>
  <c r="Z206" i="16" s="1"/>
  <c r="T206" i="16"/>
  <c r="AP206" i="16"/>
  <c r="AQ206" i="16" s="1"/>
  <c r="L207" i="16"/>
  <c r="AA207" i="16" s="1"/>
  <c r="K208" i="16"/>
  <c r="AI206" i="16"/>
  <c r="AJ206" i="16" s="1"/>
  <c r="AK206" i="16" s="1"/>
  <c r="S206" i="16"/>
  <c r="AB206" i="16" l="1"/>
  <c r="U206" i="16"/>
  <c r="S207" i="16"/>
  <c r="AP207" i="16"/>
  <c r="T207" i="16"/>
  <c r="AI207" i="16"/>
  <c r="AJ207" i="16" s="1"/>
  <c r="AK207" i="16" s="1"/>
  <c r="M207" i="16"/>
  <c r="N207" i="16" s="1"/>
  <c r="AR206" i="16"/>
  <c r="X207" i="16"/>
  <c r="L208" i="16"/>
  <c r="M208" i="16" s="1"/>
  <c r="N208" i="16" s="1"/>
  <c r="K209" i="16"/>
  <c r="AB207" i="16" l="1"/>
  <c r="Y207" i="16"/>
  <c r="U207" i="16"/>
  <c r="AQ207" i="16"/>
  <c r="X208" i="16"/>
  <c r="Y208" i="16" s="1"/>
  <c r="Z208" i="16" s="1"/>
  <c r="T208" i="16"/>
  <c r="U208" i="16" s="1"/>
  <c r="AI208" i="16"/>
  <c r="AJ208" i="16" s="1"/>
  <c r="AK208" i="16" s="1"/>
  <c r="S208" i="16"/>
  <c r="AA208" i="16"/>
  <c r="AB208" i="16" s="1"/>
  <c r="AP208" i="16"/>
  <c r="AQ208" i="16" s="1"/>
  <c r="K210" i="16"/>
  <c r="L209" i="16"/>
  <c r="M209" i="16" s="1"/>
  <c r="N209" i="16" s="1"/>
  <c r="X209" i="16" l="1"/>
  <c r="Y209" i="16" s="1"/>
  <c r="AA209" i="16"/>
  <c r="AB209" i="16" s="1"/>
  <c r="AP209" i="16"/>
  <c r="AQ209" i="16" s="1"/>
  <c r="S209" i="16"/>
  <c r="T209" i="16"/>
  <c r="U209" i="16" s="1"/>
  <c r="AI209" i="16"/>
  <c r="AJ209" i="16" s="1"/>
  <c r="AK209" i="16" s="1"/>
  <c r="K211" i="16"/>
  <c r="L210" i="16"/>
  <c r="AP210" i="16" s="1"/>
  <c r="E86" i="8"/>
  <c r="Y86" i="8" s="1"/>
  <c r="M210" i="16" l="1"/>
  <c r="N210" i="16" s="1"/>
  <c r="K212" i="16"/>
  <c r="L211" i="16"/>
  <c r="X211" i="16" s="1"/>
  <c r="S210" i="16"/>
  <c r="AA210" i="16"/>
  <c r="X210" i="16"/>
  <c r="Y210" i="16" s="1"/>
  <c r="Z210" i="16" s="1"/>
  <c r="T210" i="16"/>
  <c r="AI210" i="16"/>
  <c r="AJ210" i="16" s="1"/>
  <c r="AK210" i="16" s="1"/>
  <c r="AQ210" i="16" l="1"/>
  <c r="AB210" i="16"/>
  <c r="U210" i="16"/>
  <c r="AA211" i="16"/>
  <c r="AP211" i="16"/>
  <c r="T211" i="16"/>
  <c r="S211" i="16"/>
  <c r="AI211" i="16"/>
  <c r="AJ211" i="16" s="1"/>
  <c r="AK211" i="16" s="1"/>
  <c r="M211" i="16"/>
  <c r="N211" i="16" s="1"/>
  <c r="K213" i="16"/>
  <c r="L212" i="16"/>
  <c r="AA212" i="16" s="1"/>
  <c r="Y211" i="16"/>
  <c r="Z211" i="16" s="1"/>
  <c r="AB211" i="16" l="1"/>
  <c r="U211" i="16"/>
  <c r="AQ211" i="16"/>
  <c r="M212" i="16"/>
  <c r="N212" i="16" s="1"/>
  <c r="X212" i="16"/>
  <c r="Y212" i="16" s="1"/>
  <c r="Z212" i="16" s="1"/>
  <c r="T212" i="16"/>
  <c r="U212" i="16" s="1"/>
  <c r="V212" i="16" s="1"/>
  <c r="S212" i="16"/>
  <c r="AP212" i="16"/>
  <c r="AQ212" i="16" s="1"/>
  <c r="AI212" i="16"/>
  <c r="AJ212" i="16" s="1"/>
  <c r="AK212" i="16" s="1"/>
  <c r="L213" i="16"/>
  <c r="X213" i="16" s="1"/>
  <c r="Y213" i="16" s="1"/>
  <c r="K214" i="16"/>
  <c r="AB212" i="16"/>
  <c r="N213" i="16" l="1"/>
  <c r="AR212" i="16"/>
  <c r="AA213" i="16"/>
  <c r="AB213" i="16" s="1"/>
  <c r="AP213" i="16"/>
  <c r="AQ213" i="16" s="1"/>
  <c r="AR213" i="16" s="1"/>
  <c r="T213" i="16"/>
  <c r="U213" i="16" s="1"/>
  <c r="V213" i="16" s="1"/>
  <c r="AI213" i="16"/>
  <c r="AJ213" i="16" s="1"/>
  <c r="AK213" i="16" s="1"/>
  <c r="S213" i="16"/>
  <c r="M213" i="16"/>
  <c r="K215" i="16"/>
  <c r="L214" i="16"/>
  <c r="AP214" i="16" s="1"/>
  <c r="Z213" i="16"/>
  <c r="AC212" i="16"/>
  <c r="AI214" i="16" l="1"/>
  <c r="M214" i="16"/>
  <c r="N214" i="16" s="1"/>
  <c r="X214" i="16"/>
  <c r="Y214" i="16" s="1"/>
  <c r="T214" i="16"/>
  <c r="U214" i="16" s="1"/>
  <c r="S214" i="16"/>
  <c r="AA214" i="16"/>
  <c r="AB214" i="16" s="1"/>
  <c r="AC213" i="16"/>
  <c r="K216" i="16"/>
  <c r="L215" i="16"/>
  <c r="AP215" i="16" s="1"/>
  <c r="AQ215" i="16" s="1"/>
  <c r="AR215" i="16" s="1"/>
  <c r="AJ214" i="16"/>
  <c r="AK214" i="16" s="1"/>
  <c r="AQ214" i="16"/>
  <c r="V214" i="16" l="1"/>
  <c r="Z214" i="16"/>
  <c r="AA215" i="16"/>
  <c r="AB215" i="16" s="1"/>
  <c r="AC215" i="16" s="1"/>
  <c r="T215" i="16"/>
  <c r="U215" i="16" s="1"/>
  <c r="N215" i="16"/>
  <c r="S215" i="16"/>
  <c r="AI215" i="16"/>
  <c r="AJ215" i="16" s="1"/>
  <c r="AK215" i="16" s="1"/>
  <c r="M215" i="16"/>
  <c r="X215" i="16"/>
  <c r="Y215" i="16" s="1"/>
  <c r="Z215" i="16" s="1"/>
  <c r="L216" i="16"/>
  <c r="T216" i="16" s="1"/>
  <c r="U216" i="16" s="1"/>
  <c r="K217" i="16"/>
  <c r="AC214" i="16"/>
  <c r="AR214" i="16"/>
  <c r="V215" i="16" l="1"/>
  <c r="V216" i="16"/>
  <c r="M216" i="16"/>
  <c r="N216" i="16" s="1"/>
  <c r="S216" i="16"/>
  <c r="AI216" i="16"/>
  <c r="AJ216" i="16" s="1"/>
  <c r="AK216" i="16" s="1"/>
  <c r="AA216" i="16"/>
  <c r="AB216" i="16" s="1"/>
  <c r="AP216" i="16"/>
  <c r="AQ216" i="16" s="1"/>
  <c r="AR216" i="16" s="1"/>
  <c r="X216" i="16"/>
  <c r="Y216" i="16" s="1"/>
  <c r="Z216" i="16" s="1"/>
  <c r="L217" i="16"/>
  <c r="M217" i="16" s="1"/>
  <c r="K218" i="16"/>
  <c r="X217" i="16" l="1"/>
  <c r="Y217" i="16" s="1"/>
  <c r="Z217" i="16" s="1"/>
  <c r="S217" i="16"/>
  <c r="N217" i="16"/>
  <c r="AA217" i="16"/>
  <c r="AB217" i="16" s="1"/>
  <c r="AC217" i="16" s="1"/>
  <c r="AP217" i="16"/>
  <c r="AQ217" i="16" s="1"/>
  <c r="AR217" i="16" s="1"/>
  <c r="T217" i="16"/>
  <c r="U217" i="16" s="1"/>
  <c r="AI217" i="16"/>
  <c r="AJ217" i="16" s="1"/>
  <c r="AK217" i="16" s="1"/>
  <c r="L218" i="16"/>
  <c r="AA218" i="16" s="1"/>
  <c r="K219" i="16"/>
  <c r="AC216" i="16"/>
  <c r="V217" i="16" l="1"/>
  <c r="AP218" i="16"/>
  <c r="AQ218" i="16" s="1"/>
  <c r="AR218" i="16" s="1"/>
  <c r="AI218" i="16"/>
  <c r="AJ218" i="16" s="1"/>
  <c r="AK218" i="16" s="1"/>
  <c r="M218" i="16"/>
  <c r="N218" i="16" s="1"/>
  <c r="X218" i="16"/>
  <c r="Y218" i="16" s="1"/>
  <c r="Z218" i="16" s="1"/>
  <c r="T218" i="16"/>
  <c r="U218" i="16" s="1"/>
  <c r="V218" i="16" s="1"/>
  <c r="S218" i="16"/>
  <c r="L219" i="16"/>
  <c r="S219" i="16" s="1"/>
  <c r="K220" i="16"/>
  <c r="AB218" i="16"/>
  <c r="AC218" i="16" s="1"/>
  <c r="AI219" i="16" l="1"/>
  <c r="AJ219" i="16" s="1"/>
  <c r="AK219" i="16" s="1"/>
  <c r="X219" i="16"/>
  <c r="Y219" i="16" s="1"/>
  <c r="Z219" i="16" s="1"/>
  <c r="N219" i="16"/>
  <c r="M219" i="16"/>
  <c r="AA219" i="16"/>
  <c r="AB219" i="16" s="1"/>
  <c r="AC219" i="16" s="1"/>
  <c r="T219" i="16"/>
  <c r="U219" i="16" s="1"/>
  <c r="V219" i="16" s="1"/>
  <c r="AP219" i="16"/>
  <c r="AQ219" i="16" s="1"/>
  <c r="AR219" i="16" s="1"/>
  <c r="L220" i="16"/>
  <c r="T220" i="16" s="1"/>
  <c r="U220" i="16" s="1"/>
  <c r="V220" i="16" s="1"/>
  <c r="K221" i="16"/>
  <c r="S220" i="16" l="1"/>
  <c r="M220" i="16"/>
  <c r="N220" i="16" s="1"/>
  <c r="AA220" i="16"/>
  <c r="AB220" i="16" s="1"/>
  <c r="AC220" i="16" s="1"/>
  <c r="X220" i="16"/>
  <c r="Y220" i="16" s="1"/>
  <c r="Z220" i="16" s="1"/>
  <c r="AI220" i="16"/>
  <c r="AJ220" i="16" s="1"/>
  <c r="AK220" i="16" s="1"/>
  <c r="AP220" i="16"/>
  <c r="AQ220" i="16" s="1"/>
  <c r="AR220" i="16" s="1"/>
  <c r="K222" i="16"/>
  <c r="L221" i="16"/>
  <c r="N221" i="16" s="1"/>
  <c r="AA221" i="16" l="1"/>
  <c r="AB221" i="16" s="1"/>
  <c r="AC221" i="16" s="1"/>
  <c r="S221" i="16"/>
  <c r="AP221" i="16"/>
  <c r="AQ221" i="16" s="1"/>
  <c r="AR221" i="16" s="1"/>
  <c r="T221" i="16"/>
  <c r="U221" i="16" s="1"/>
  <c r="V221" i="16" s="1"/>
  <c r="AI221" i="16"/>
  <c r="AJ221" i="16" s="1"/>
  <c r="AK221" i="16" s="1"/>
  <c r="X221" i="16"/>
  <c r="Y221" i="16" s="1"/>
  <c r="Z221" i="16" s="1"/>
  <c r="M221" i="16"/>
  <c r="L222" i="16"/>
  <c r="X222" i="16" s="1"/>
  <c r="Y222" i="16" s="1"/>
  <c r="Z222" i="16" s="1"/>
  <c r="K223" i="16"/>
  <c r="M222" i="16" l="1"/>
  <c r="N222" i="16" s="1"/>
  <c r="T222" i="16"/>
  <c r="AA222" i="16"/>
  <c r="AB222" i="16" s="1"/>
  <c r="AC222" i="16" s="1"/>
  <c r="AI222" i="16"/>
  <c r="AJ222" i="16" s="1"/>
  <c r="AK222" i="16" s="1"/>
  <c r="S222" i="16"/>
  <c r="AP222" i="16"/>
  <c r="AQ222" i="16" s="1"/>
  <c r="AR222" i="16" s="1"/>
  <c r="K224" i="16"/>
  <c r="L223" i="16"/>
  <c r="N223" i="16" s="1"/>
  <c r="U222" i="16"/>
  <c r="V222" i="16" s="1"/>
  <c r="T223" i="16" l="1"/>
  <c r="U223" i="16" s="1"/>
  <c r="V223" i="16" s="1"/>
  <c r="AP223" i="16"/>
  <c r="AQ223" i="16" s="1"/>
  <c r="AR223" i="16" s="1"/>
  <c r="M223" i="16"/>
  <c r="S223" i="16"/>
  <c r="AI223" i="16"/>
  <c r="AJ223" i="16" s="1"/>
  <c r="AK223" i="16" s="1"/>
  <c r="AA223" i="16"/>
  <c r="AB223" i="16" s="1"/>
  <c r="AC223" i="16" s="1"/>
  <c r="X223" i="16"/>
  <c r="Y223" i="16" s="1"/>
  <c r="Z223" i="16" s="1"/>
  <c r="L224" i="16"/>
  <c r="AA224" i="16" s="1"/>
  <c r="K225" i="16"/>
  <c r="T224" i="16" l="1"/>
  <c r="U224" i="16" s="1"/>
  <c r="V224" i="16" s="1"/>
  <c r="AI224" i="16"/>
  <c r="AJ224" i="16" s="1"/>
  <c r="AK224" i="16" s="1"/>
  <c r="S224" i="16"/>
  <c r="M224" i="16"/>
  <c r="N224" i="16" s="1"/>
  <c r="X224" i="16"/>
  <c r="Y224" i="16" s="1"/>
  <c r="Z224" i="16" s="1"/>
  <c r="AP224" i="16"/>
  <c r="AQ224" i="16" s="1"/>
  <c r="AR224" i="16" s="1"/>
  <c r="L225" i="16"/>
  <c r="AA225" i="16" s="1"/>
  <c r="AB225" i="16" s="1"/>
  <c r="AC225" i="16" s="1"/>
  <c r="K226" i="16"/>
  <c r="AB224" i="16"/>
  <c r="AC224" i="16" s="1"/>
  <c r="AP225" i="16" l="1"/>
  <c r="AQ225" i="16" s="1"/>
  <c r="AR225" i="16" s="1"/>
  <c r="S225" i="16"/>
  <c r="T225" i="16"/>
  <c r="U225" i="16" s="1"/>
  <c r="V225" i="16" s="1"/>
  <c r="AI225" i="16"/>
  <c r="AJ225" i="16" s="1"/>
  <c r="AK225" i="16" s="1"/>
  <c r="M225" i="16"/>
  <c r="X225" i="16"/>
  <c r="Y225" i="16" s="1"/>
  <c r="Z225" i="16" s="1"/>
  <c r="N225" i="16"/>
  <c r="L226" i="16"/>
  <c r="AP226" i="16" s="1"/>
  <c r="AQ226" i="16" s="1"/>
  <c r="AR226" i="16" s="1"/>
  <c r="K227" i="16"/>
  <c r="S226" i="16" l="1"/>
  <c r="AA226" i="16"/>
  <c r="X226" i="16"/>
  <c r="Y226" i="16" s="1"/>
  <c r="Z226" i="16" s="1"/>
  <c r="AI226" i="16"/>
  <c r="AJ226" i="16" s="1"/>
  <c r="AK226" i="16" s="1"/>
  <c r="M226" i="16"/>
  <c r="N226" i="16" s="1"/>
  <c r="T226" i="16"/>
  <c r="U226" i="16" s="1"/>
  <c r="V226" i="16" s="1"/>
  <c r="K228" i="16"/>
  <c r="L227" i="16"/>
  <c r="X227" i="16" s="1"/>
  <c r="Y227" i="16" s="1"/>
  <c r="Z227" i="16" s="1"/>
  <c r="AB226" i="16"/>
  <c r="AC226" i="16" s="1"/>
  <c r="T227" i="16" l="1"/>
  <c r="U227" i="16" s="1"/>
  <c r="V227" i="16" s="1"/>
  <c r="M227" i="16"/>
  <c r="AI227" i="16"/>
  <c r="AJ227" i="16" s="1"/>
  <c r="AK227" i="16" s="1"/>
  <c r="N227" i="16"/>
  <c r="AA227" i="16"/>
  <c r="AB227" i="16" s="1"/>
  <c r="AC227" i="16" s="1"/>
  <c r="AP227" i="16"/>
  <c r="AQ227" i="16" s="1"/>
  <c r="AR227" i="16" s="1"/>
  <c r="S227" i="16"/>
  <c r="K229" i="16"/>
  <c r="L228" i="16"/>
  <c r="AP228" i="16" s="1"/>
  <c r="T228" i="16" l="1"/>
  <c r="U228" i="16" s="1"/>
  <c r="V228" i="16" s="1"/>
  <c r="S228" i="16"/>
  <c r="AI228" i="16"/>
  <c r="AJ228" i="16" s="1"/>
  <c r="AK228" i="16" s="1"/>
  <c r="M228" i="16"/>
  <c r="N228" i="16" s="1"/>
  <c r="X228" i="16"/>
  <c r="Y228" i="16" s="1"/>
  <c r="Z228" i="16" s="1"/>
  <c r="AA228" i="16"/>
  <c r="AB228" i="16" s="1"/>
  <c r="AC228" i="16" s="1"/>
  <c r="L229" i="16"/>
  <c r="N229" i="16" s="1"/>
  <c r="K230" i="16"/>
  <c r="AQ228" i="16"/>
  <c r="AR228" i="16" s="1"/>
  <c r="AA229" i="16" l="1"/>
  <c r="AB229" i="16" s="1"/>
  <c r="AC229" i="16" s="1"/>
  <c r="AP229" i="16"/>
  <c r="AQ229" i="16" s="1"/>
  <c r="AR229" i="16" s="1"/>
  <c r="S229" i="16"/>
  <c r="T229" i="16"/>
  <c r="U229" i="16" s="1"/>
  <c r="V229" i="16" s="1"/>
  <c r="AI229" i="16"/>
  <c r="AJ229" i="16" s="1"/>
  <c r="AK229" i="16" s="1"/>
  <c r="M229" i="16"/>
  <c r="X229" i="16"/>
  <c r="Y229" i="16" s="1"/>
  <c r="Z229" i="16" s="1"/>
  <c r="K231" i="16"/>
  <c r="L230" i="16"/>
  <c r="AI230" i="16" s="1"/>
  <c r="S230" i="16" l="1"/>
  <c r="M230" i="16"/>
  <c r="N230" i="16" s="1"/>
  <c r="X230" i="16"/>
  <c r="Y230" i="16" s="1"/>
  <c r="Z230" i="16" s="1"/>
  <c r="AA230" i="16"/>
  <c r="AB230" i="16" s="1"/>
  <c r="AC230" i="16" s="1"/>
  <c r="AP230" i="16"/>
  <c r="T230" i="16"/>
  <c r="U230" i="16" s="1"/>
  <c r="V230" i="16" s="1"/>
  <c r="K232" i="16"/>
  <c r="L231" i="16"/>
  <c r="AP231" i="16" s="1"/>
  <c r="AQ231" i="16" s="1"/>
  <c r="AR231" i="16" s="1"/>
  <c r="AJ230" i="16"/>
  <c r="AK230" i="16" s="1"/>
  <c r="AQ230" i="16"/>
  <c r="AR230" i="16" s="1"/>
  <c r="S231" i="16" l="1"/>
  <c r="AI231" i="16"/>
  <c r="AJ231" i="16" s="1"/>
  <c r="AK231" i="16" s="1"/>
  <c r="AA231" i="16"/>
  <c r="AB231" i="16" s="1"/>
  <c r="AC231" i="16" s="1"/>
  <c r="T231" i="16"/>
  <c r="U231" i="16" s="1"/>
  <c r="V231" i="16" s="1"/>
  <c r="M231" i="16"/>
  <c r="X231" i="16"/>
  <c r="Y231" i="16" s="1"/>
  <c r="Z231" i="16" s="1"/>
  <c r="N231" i="16"/>
  <c r="L232" i="16"/>
  <c r="T232" i="16" s="1"/>
  <c r="K233" i="16"/>
  <c r="AI232" i="16" l="1"/>
  <c r="AJ232" i="16" s="1"/>
  <c r="AK232" i="16" s="1"/>
  <c r="K234" i="16"/>
  <c r="L233" i="16"/>
  <c r="AI233" i="16" s="1"/>
  <c r="AJ233" i="16" s="1"/>
  <c r="AK233" i="16" s="1"/>
  <c r="AA232" i="16"/>
  <c r="AB232" i="16" s="1"/>
  <c r="AC232" i="16" s="1"/>
  <c r="M232" i="16"/>
  <c r="N232" i="16" s="1"/>
  <c r="X232" i="16"/>
  <c r="Y232" i="16" s="1"/>
  <c r="Z232" i="16" s="1"/>
  <c r="S232" i="16"/>
  <c r="AP232" i="16"/>
  <c r="AQ232" i="16" s="1"/>
  <c r="AR232" i="16" s="1"/>
  <c r="U232" i="16"/>
  <c r="V232" i="16" s="1"/>
  <c r="M233" i="16" l="1"/>
  <c r="X233" i="16"/>
  <c r="Y233" i="16" s="1"/>
  <c r="Z233" i="16" s="1"/>
  <c r="T233" i="16"/>
  <c r="U233" i="16" s="1"/>
  <c r="V233" i="16" s="1"/>
  <c r="N233" i="16"/>
  <c r="AA233" i="16"/>
  <c r="AB233" i="16" s="1"/>
  <c r="AC233" i="16" s="1"/>
  <c r="S233" i="16"/>
  <c r="AP233" i="16"/>
  <c r="AQ233" i="16" s="1"/>
  <c r="AR233" i="16" s="1"/>
  <c r="K235" i="16"/>
  <c r="L234" i="16"/>
  <c r="AI234" i="16" s="1"/>
  <c r="AJ234" i="16" s="1"/>
  <c r="AK234" i="16" s="1"/>
  <c r="X234" i="16" l="1"/>
  <c r="Y234" i="16" s="1"/>
  <c r="Z234" i="16" s="1"/>
  <c r="T234" i="16"/>
  <c r="U234" i="16" s="1"/>
  <c r="V234" i="16" s="1"/>
  <c r="M234" i="16"/>
  <c r="N234" i="16" s="1"/>
  <c r="AA234" i="16"/>
  <c r="AB234" i="16" s="1"/>
  <c r="AC234" i="16" s="1"/>
  <c r="S234" i="16"/>
  <c r="AP234" i="16"/>
  <c r="AQ234" i="16" s="1"/>
  <c r="AR234" i="16" s="1"/>
  <c r="K236" i="16"/>
  <c r="L235" i="16"/>
  <c r="N235" i="16" s="1"/>
  <c r="AP235" i="16" l="1"/>
  <c r="AQ235" i="16" s="1"/>
  <c r="AR235" i="16" s="1"/>
  <c r="T235" i="16"/>
  <c r="U235" i="16" s="1"/>
  <c r="V235" i="16" s="1"/>
  <c r="AI235" i="16"/>
  <c r="AJ235" i="16" s="1"/>
  <c r="AK235" i="16" s="1"/>
  <c r="S235" i="16"/>
  <c r="AA235" i="16"/>
  <c r="AB235" i="16" s="1"/>
  <c r="AC235" i="16" s="1"/>
  <c r="M235" i="16"/>
  <c r="X235" i="16"/>
  <c r="Y235" i="16" s="1"/>
  <c r="Z235" i="16" s="1"/>
  <c r="L236" i="16"/>
  <c r="T236" i="16" s="1"/>
  <c r="U236" i="16" s="1"/>
  <c r="V236" i="16" s="1"/>
  <c r="K237" i="16"/>
  <c r="AA236" i="16" l="1"/>
  <c r="AB236" i="16" s="1"/>
  <c r="AC236" i="16" s="1"/>
  <c r="S236" i="16"/>
  <c r="AP236" i="16"/>
  <c r="AQ236" i="16" s="1"/>
  <c r="AR236" i="16" s="1"/>
  <c r="M236" i="16"/>
  <c r="N236" i="16" s="1"/>
  <c r="AI236" i="16"/>
  <c r="AJ236" i="16" s="1"/>
  <c r="AK236" i="16" s="1"/>
  <c r="X236" i="16"/>
  <c r="Y236" i="16" s="1"/>
  <c r="Z236" i="16" s="1"/>
  <c r="K238" i="16"/>
  <c r="L237" i="16"/>
  <c r="N237" i="16" s="1"/>
  <c r="AI237" i="16" l="1"/>
  <c r="AJ237" i="16" s="1"/>
  <c r="AK237" i="16" s="1"/>
  <c r="M237" i="16"/>
  <c r="X237" i="16"/>
  <c r="Y237" i="16" s="1"/>
  <c r="Z237" i="16" s="1"/>
  <c r="AP237" i="16"/>
  <c r="AQ237" i="16" s="1"/>
  <c r="AR237" i="16" s="1"/>
  <c r="S237" i="16"/>
  <c r="AA237" i="16"/>
  <c r="AB237" i="16" s="1"/>
  <c r="AC237" i="16" s="1"/>
  <c r="T237" i="16"/>
  <c r="U237" i="16" s="1"/>
  <c r="V237" i="16" s="1"/>
  <c r="L238" i="16"/>
  <c r="AI238" i="16" s="1"/>
  <c r="AJ238" i="16" s="1"/>
  <c r="AK238" i="16" s="1"/>
  <c r="K239" i="16"/>
  <c r="S238" i="16" l="1"/>
  <c r="AA238" i="16"/>
  <c r="AB238" i="16" s="1"/>
  <c r="AC238" i="16" s="1"/>
  <c r="AP238" i="16"/>
  <c r="AQ238" i="16" s="1"/>
  <c r="AR238" i="16" s="1"/>
  <c r="M238" i="16"/>
  <c r="N238" i="16" s="1"/>
  <c r="T238" i="16"/>
  <c r="U238" i="16" s="1"/>
  <c r="V238" i="16" s="1"/>
  <c r="X238" i="16"/>
  <c r="Y238" i="16" s="1"/>
  <c r="Z238" i="16" s="1"/>
  <c r="K240" i="16"/>
  <c r="L239" i="16"/>
  <c r="N239" i="16" s="1"/>
  <c r="AI239" i="16" l="1"/>
  <c r="AJ239" i="16" s="1"/>
  <c r="AK239" i="16" s="1"/>
  <c r="T239" i="16"/>
  <c r="U239" i="16" s="1"/>
  <c r="V239" i="16" s="1"/>
  <c r="M239" i="16"/>
  <c r="AA239" i="16"/>
  <c r="AB239" i="16" s="1"/>
  <c r="AC239" i="16" s="1"/>
  <c r="AP239" i="16"/>
  <c r="AQ239" i="16" s="1"/>
  <c r="AR239" i="16" s="1"/>
  <c r="S239" i="16"/>
  <c r="X239" i="16"/>
  <c r="Y239" i="16" s="1"/>
  <c r="Z239" i="16" s="1"/>
  <c r="K241" i="16"/>
  <c r="L240" i="16"/>
  <c r="T240" i="16" s="1"/>
  <c r="S240" i="16" l="1"/>
  <c r="AA240" i="16"/>
  <c r="AB240" i="16" s="1"/>
  <c r="AC240" i="16" s="1"/>
  <c r="M240" i="16"/>
  <c r="N240" i="16" s="1"/>
  <c r="X240" i="16"/>
  <c r="Y240" i="16" s="1"/>
  <c r="Z240" i="16" s="1"/>
  <c r="AI240" i="16"/>
  <c r="AJ240" i="16" s="1"/>
  <c r="AK240" i="16" s="1"/>
  <c r="AP240" i="16"/>
  <c r="AQ240" i="16" s="1"/>
  <c r="AR240" i="16" s="1"/>
  <c r="L241" i="16"/>
  <c r="T241" i="16" s="1"/>
  <c r="U241" i="16" s="1"/>
  <c r="V241" i="16" s="1"/>
  <c r="K242" i="16"/>
  <c r="U240" i="16"/>
  <c r="V240" i="16" s="1"/>
  <c r="AI241" i="16" l="1"/>
  <c r="AJ241" i="16" s="1"/>
  <c r="AK241" i="16" s="1"/>
  <c r="M241" i="16"/>
  <c r="X241" i="16"/>
  <c r="Y241" i="16" s="1"/>
  <c r="Z241" i="16" s="1"/>
  <c r="N241" i="16"/>
  <c r="AA241" i="16"/>
  <c r="AB241" i="16" s="1"/>
  <c r="AC241" i="16" s="1"/>
  <c r="AP241" i="16"/>
  <c r="AQ241" i="16" s="1"/>
  <c r="AR241" i="16" s="1"/>
  <c r="S241" i="16"/>
  <c r="K243" i="16"/>
  <c r="L242" i="16"/>
  <c r="T242" i="16" s="1"/>
  <c r="U242" i="16" s="1"/>
  <c r="V242" i="16" s="1"/>
  <c r="AA242" i="16" l="1"/>
  <c r="AB242" i="16" s="1"/>
  <c r="AC242" i="16" s="1"/>
  <c r="AI242" i="16"/>
  <c r="AJ242" i="16" s="1"/>
  <c r="AK242" i="16" s="1"/>
  <c r="S242" i="16"/>
  <c r="AP242" i="16"/>
  <c r="AQ242" i="16" s="1"/>
  <c r="AR242" i="16" s="1"/>
  <c r="M242" i="16"/>
  <c r="N242" i="16" s="1"/>
  <c r="X242" i="16"/>
  <c r="Y242" i="16" s="1"/>
  <c r="Z242" i="16" s="1"/>
  <c r="K244" i="16"/>
  <c r="L243" i="16"/>
  <c r="S243" i="16" s="1"/>
  <c r="T243" i="16" l="1"/>
  <c r="U243" i="16" s="1"/>
  <c r="V243" i="16" s="1"/>
  <c r="AA243" i="16"/>
  <c r="AB243" i="16" s="1"/>
  <c r="AC243" i="16" s="1"/>
  <c r="M243" i="16"/>
  <c r="N243" i="16"/>
  <c r="AP243" i="16"/>
  <c r="AQ243" i="16" s="1"/>
  <c r="AR243" i="16" s="1"/>
  <c r="AI243" i="16"/>
  <c r="AJ243" i="16" s="1"/>
  <c r="AK243" i="16" s="1"/>
  <c r="X243" i="16"/>
  <c r="Y243" i="16" s="1"/>
  <c r="Z243" i="16" s="1"/>
  <c r="L244" i="16"/>
  <c r="AI244" i="16" s="1"/>
  <c r="AJ244" i="16" s="1"/>
  <c r="AK244" i="16" s="1"/>
  <c r="K245" i="16"/>
  <c r="S244" i="16" l="1"/>
  <c r="M244" i="16"/>
  <c r="N244" i="16" s="1"/>
  <c r="X244" i="16"/>
  <c r="Y244" i="16" s="1"/>
  <c r="Z244" i="16" s="1"/>
  <c r="AA244" i="16"/>
  <c r="AB244" i="16" s="1"/>
  <c r="AC244" i="16" s="1"/>
  <c r="AP244" i="16"/>
  <c r="AQ244" i="16" s="1"/>
  <c r="AR244" i="16" s="1"/>
  <c r="T244" i="16"/>
  <c r="U244" i="16" s="1"/>
  <c r="V244" i="16" s="1"/>
  <c r="K246" i="16"/>
  <c r="L245" i="16"/>
  <c r="S245" i="16" s="1"/>
  <c r="T245" i="16" l="1"/>
  <c r="U245" i="16" s="1"/>
  <c r="V245" i="16" s="1"/>
  <c r="X245" i="16"/>
  <c r="Y245" i="16" s="1"/>
  <c r="Z245" i="16" s="1"/>
  <c r="AA245" i="16"/>
  <c r="AB245" i="16" s="1"/>
  <c r="AC245" i="16" s="1"/>
  <c r="M245" i="16"/>
  <c r="AI245" i="16"/>
  <c r="AJ245" i="16" s="1"/>
  <c r="AK245" i="16" s="1"/>
  <c r="N245" i="16"/>
  <c r="AP245" i="16"/>
  <c r="AQ245" i="16" s="1"/>
  <c r="AR245" i="16" s="1"/>
  <c r="K247" i="16"/>
  <c r="L246" i="16"/>
  <c r="S246" i="16" s="1"/>
  <c r="AA246" i="16" l="1"/>
  <c r="AB246" i="16" s="1"/>
  <c r="AC246" i="16" s="1"/>
  <c r="X246" i="16"/>
  <c r="Y246" i="16" s="1"/>
  <c r="Z246" i="16" s="1"/>
  <c r="AP246" i="16"/>
  <c r="AQ246" i="16" s="1"/>
  <c r="AR246" i="16" s="1"/>
  <c r="AI246" i="16"/>
  <c r="AJ246" i="16" s="1"/>
  <c r="AK246" i="16" s="1"/>
  <c r="N246" i="16"/>
  <c r="M246" i="16"/>
  <c r="T246" i="16"/>
  <c r="U246" i="16" s="1"/>
  <c r="V246" i="16" s="1"/>
  <c r="K248" i="16"/>
  <c r="L247" i="16"/>
  <c r="T247" i="16" s="1"/>
  <c r="U247" i="16" s="1"/>
  <c r="V247" i="16" s="1"/>
  <c r="AI247" i="16" l="1"/>
  <c r="AJ247" i="16" s="1"/>
  <c r="AK247" i="16" s="1"/>
  <c r="N247" i="16"/>
  <c r="S247" i="16"/>
  <c r="M247" i="16"/>
  <c r="X247" i="16"/>
  <c r="Y247" i="16" s="1"/>
  <c r="Z247" i="16" s="1"/>
  <c r="AA247" i="16"/>
  <c r="AB247" i="16" s="1"/>
  <c r="AC247" i="16" s="1"/>
  <c r="AP247" i="16"/>
  <c r="AQ247" i="16" s="1"/>
  <c r="AR247" i="16" s="1"/>
  <c r="K249" i="16"/>
  <c r="L248" i="16"/>
  <c r="AP248" i="16" s="1"/>
  <c r="AQ248" i="16" s="1"/>
  <c r="AR248" i="16" s="1"/>
  <c r="N248" i="16" l="1"/>
  <c r="T248" i="16"/>
  <c r="U248" i="16" s="1"/>
  <c r="V248" i="16" s="1"/>
  <c r="AA248" i="16"/>
  <c r="AB248" i="16" s="1"/>
  <c r="AC248" i="16" s="1"/>
  <c r="M248" i="16"/>
  <c r="X248" i="16"/>
  <c r="Y248" i="16" s="1"/>
  <c r="Z248" i="16" s="1"/>
  <c r="AI248" i="16"/>
  <c r="AJ248" i="16" s="1"/>
  <c r="AK248" i="16" s="1"/>
  <c r="S248" i="16"/>
  <c r="K250" i="16"/>
  <c r="L249" i="16"/>
  <c r="S249" i="16" s="1"/>
  <c r="N249" i="16" l="1"/>
  <c r="AP249" i="16"/>
  <c r="AQ249" i="16" s="1"/>
  <c r="AR249" i="16" s="1"/>
  <c r="AA249" i="16"/>
  <c r="AB249" i="16" s="1"/>
  <c r="AC249" i="16" s="1"/>
  <c r="M249" i="16"/>
  <c r="X249" i="16"/>
  <c r="Y249" i="16" s="1"/>
  <c r="Z249" i="16" s="1"/>
  <c r="T249" i="16"/>
  <c r="U249" i="16" s="1"/>
  <c r="V249" i="16" s="1"/>
  <c r="AI249" i="16"/>
  <c r="AJ249" i="16" s="1"/>
  <c r="AK249" i="16" s="1"/>
  <c r="K251" i="16"/>
  <c r="L250" i="16"/>
  <c r="S250" i="16" s="1"/>
  <c r="AI250" i="16" l="1"/>
  <c r="AJ250" i="16" s="1"/>
  <c r="AK250" i="16" s="1"/>
  <c r="T250" i="16"/>
  <c r="U250" i="16" s="1"/>
  <c r="V250" i="16" s="1"/>
  <c r="X250" i="16"/>
  <c r="Y250" i="16" s="1"/>
  <c r="Z250" i="16" s="1"/>
  <c r="N250" i="16"/>
  <c r="AA250" i="16"/>
  <c r="AB250" i="16" s="1"/>
  <c r="AC250" i="16" s="1"/>
  <c r="M250" i="16"/>
  <c r="AP250" i="16"/>
  <c r="AQ250" i="16" s="1"/>
  <c r="AR250" i="16" s="1"/>
  <c r="K252" i="16"/>
  <c r="L251" i="16"/>
  <c r="T251" i="16" s="1"/>
  <c r="U251" i="16" s="1"/>
  <c r="V251" i="16" s="1"/>
  <c r="S251" i="16" l="1"/>
  <c r="N251" i="16"/>
  <c r="AI251" i="16"/>
  <c r="AJ251" i="16" s="1"/>
  <c r="AK251" i="16" s="1"/>
  <c r="AP251" i="16"/>
  <c r="AQ251" i="16" s="1"/>
  <c r="AR251" i="16" s="1"/>
  <c r="AA251" i="16"/>
  <c r="AB251" i="16" s="1"/>
  <c r="AC251" i="16" s="1"/>
  <c r="M251" i="16"/>
  <c r="X251" i="16"/>
  <c r="Y251" i="16" s="1"/>
  <c r="Z251" i="16" s="1"/>
  <c r="K253" i="16"/>
  <c r="L252" i="16"/>
  <c r="X252" i="16" s="1"/>
  <c r="Y252" i="16" s="1"/>
  <c r="Z252" i="16" s="1"/>
  <c r="N252" i="16" l="1"/>
  <c r="AA252" i="16"/>
  <c r="AB252" i="16" s="1"/>
  <c r="AC252" i="16" s="1"/>
  <c r="AP252" i="16"/>
  <c r="AQ252" i="16" s="1"/>
  <c r="AR252" i="16" s="1"/>
  <c r="S252" i="16"/>
  <c r="T252" i="16"/>
  <c r="U252" i="16" s="1"/>
  <c r="V252" i="16" s="1"/>
  <c r="AI252" i="16"/>
  <c r="AJ252" i="16" s="1"/>
  <c r="AK252" i="16" s="1"/>
  <c r="M252" i="16"/>
  <c r="K254" i="16"/>
  <c r="L253" i="16"/>
  <c r="AA253" i="16" s="1"/>
  <c r="AB253" i="16" s="1"/>
  <c r="AC253" i="16" s="1"/>
  <c r="AP253" i="16" l="1"/>
  <c r="AQ253" i="16" s="1"/>
  <c r="AR253" i="16" s="1"/>
  <c r="K255" i="16"/>
  <c r="L254" i="16"/>
  <c r="T254" i="16" s="1"/>
  <c r="U254" i="16" s="1"/>
  <c r="V254" i="16" s="1"/>
  <c r="AI253" i="16"/>
  <c r="AJ253" i="16" s="1"/>
  <c r="AK253" i="16" s="1"/>
  <c r="S253" i="16"/>
  <c r="M253" i="16"/>
  <c r="X253" i="16"/>
  <c r="Y253" i="16" s="1"/>
  <c r="Z253" i="16" s="1"/>
  <c r="T253" i="16"/>
  <c r="U253" i="16" s="1"/>
  <c r="V253" i="16" s="1"/>
  <c r="N253" i="16"/>
  <c r="X254" i="16"/>
  <c r="Y254" i="16" s="1"/>
  <c r="Z254" i="16" s="1"/>
  <c r="M254" i="16"/>
  <c r="AI254" i="16"/>
  <c r="AJ254" i="16" s="1"/>
  <c r="AK254" i="16" s="1"/>
  <c r="N254" i="16" l="1"/>
  <c r="AA254" i="16"/>
  <c r="AB254" i="16" s="1"/>
  <c r="AC254" i="16" s="1"/>
  <c r="AP254" i="16"/>
  <c r="AQ254" i="16" s="1"/>
  <c r="AR254" i="16" s="1"/>
  <c r="S254" i="16"/>
  <c r="K256" i="16"/>
  <c r="L255" i="16"/>
  <c r="AA255" i="16" s="1"/>
  <c r="AB255" i="16" s="1"/>
  <c r="AC255" i="16" s="1"/>
  <c r="T255" i="16" l="1"/>
  <c r="U255" i="16" s="1"/>
  <c r="V255" i="16" s="1"/>
  <c r="M255" i="16"/>
  <c r="X255" i="16"/>
  <c r="Y255" i="16" s="1"/>
  <c r="Z255" i="16" s="1"/>
  <c r="AI255" i="16"/>
  <c r="AJ255" i="16" s="1"/>
  <c r="AK255" i="16" s="1"/>
  <c r="S255" i="16"/>
  <c r="AP255" i="16"/>
  <c r="AQ255" i="16" s="1"/>
  <c r="AR255" i="16" s="1"/>
  <c r="N255" i="16"/>
  <c r="K257" i="16"/>
  <c r="L256" i="16"/>
  <c r="N256" i="16" s="1"/>
  <c r="M256" i="16" l="1"/>
  <c r="T256" i="16"/>
  <c r="U256" i="16" s="1"/>
  <c r="V256" i="16" s="1"/>
  <c r="AI256" i="16"/>
  <c r="AJ256" i="16" s="1"/>
  <c r="AK256" i="16" s="1"/>
  <c r="AA256" i="16"/>
  <c r="AB256" i="16" s="1"/>
  <c r="AC256" i="16" s="1"/>
  <c r="AP256" i="16"/>
  <c r="AQ256" i="16" s="1"/>
  <c r="AR256" i="16" s="1"/>
  <c r="S256" i="16"/>
  <c r="X256" i="16"/>
  <c r="Y256" i="16" s="1"/>
  <c r="Z256" i="16" s="1"/>
  <c r="L257" i="16"/>
  <c r="X257" i="16" s="1"/>
  <c r="Y257" i="16" s="1"/>
  <c r="Z257" i="16" s="1"/>
  <c r="K258" i="16"/>
  <c r="AI257" i="16" l="1"/>
  <c r="AJ257" i="16" s="1"/>
  <c r="AK257" i="16" s="1"/>
  <c r="S257" i="16"/>
  <c r="T257" i="16"/>
  <c r="U257" i="16" s="1"/>
  <c r="V257" i="16" s="1"/>
  <c r="N257" i="16"/>
  <c r="AA257" i="16"/>
  <c r="AB257" i="16" s="1"/>
  <c r="AC257" i="16" s="1"/>
  <c r="AP257" i="16"/>
  <c r="AQ257" i="16" s="1"/>
  <c r="AR257" i="16" s="1"/>
  <c r="M257" i="16"/>
  <c r="K259" i="16"/>
  <c r="L258" i="16"/>
  <c r="X258" i="16" s="1"/>
  <c r="Y258" i="16" s="1"/>
  <c r="Z258" i="16" s="1"/>
  <c r="T258" i="16" l="1"/>
  <c r="U258" i="16" s="1"/>
  <c r="V258" i="16" s="1"/>
  <c r="AA258" i="16"/>
  <c r="AB258" i="16" s="1"/>
  <c r="AC258" i="16" s="1"/>
  <c r="S258" i="16"/>
  <c r="AI258" i="16"/>
  <c r="AJ258" i="16" s="1"/>
  <c r="AK258" i="16" s="1"/>
  <c r="N258" i="16"/>
  <c r="AP258" i="16"/>
  <c r="AQ258" i="16" s="1"/>
  <c r="AR258" i="16" s="1"/>
  <c r="M258" i="16"/>
  <c r="K260" i="16"/>
  <c r="L259" i="16"/>
  <c r="AP259" i="16" s="1"/>
  <c r="AQ259" i="16" s="1"/>
  <c r="AR259" i="16" s="1"/>
  <c r="M259" i="16" l="1"/>
  <c r="T259" i="16"/>
  <c r="U259" i="16" s="1"/>
  <c r="V259" i="16" s="1"/>
  <c r="S259" i="16"/>
  <c r="AA259" i="16"/>
  <c r="AB259" i="16" s="1"/>
  <c r="AC259" i="16" s="1"/>
  <c r="X259" i="16"/>
  <c r="Y259" i="16" s="1"/>
  <c r="Z259" i="16" s="1"/>
  <c r="AI259" i="16"/>
  <c r="AJ259" i="16" s="1"/>
  <c r="AK259" i="16" s="1"/>
  <c r="N259" i="16"/>
  <c r="K261" i="16"/>
  <c r="L260" i="16"/>
  <c r="T260" i="16" s="1"/>
  <c r="U260" i="16" s="1"/>
  <c r="V260" i="16" s="1"/>
  <c r="AI260" i="16" l="1"/>
  <c r="AJ260" i="16" s="1"/>
  <c r="AK260" i="16" s="1"/>
  <c r="M260" i="16"/>
  <c r="X260" i="16"/>
  <c r="Y260" i="16" s="1"/>
  <c r="Z260" i="16" s="1"/>
  <c r="N260" i="16"/>
  <c r="AA260" i="16"/>
  <c r="AB260" i="16" s="1"/>
  <c r="AC260" i="16" s="1"/>
  <c r="AP260" i="16"/>
  <c r="AQ260" i="16" s="1"/>
  <c r="AR260" i="16" s="1"/>
  <c r="S260" i="16"/>
  <c r="K262" i="16"/>
  <c r="L261" i="16"/>
  <c r="N261" i="16" s="1"/>
  <c r="X261" i="16" l="1"/>
  <c r="Y261" i="16" s="1"/>
  <c r="Z261" i="16" s="1"/>
  <c r="AP261" i="16"/>
  <c r="AQ261" i="16" s="1"/>
  <c r="AR261" i="16" s="1"/>
  <c r="AI261" i="16"/>
  <c r="AJ261" i="16" s="1"/>
  <c r="AK261" i="16" s="1"/>
  <c r="S261" i="16"/>
  <c r="AA261" i="16"/>
  <c r="AB261" i="16" s="1"/>
  <c r="AC261" i="16" s="1"/>
  <c r="M261" i="16"/>
  <c r="T261" i="16"/>
  <c r="U261" i="16" s="1"/>
  <c r="V261" i="16" s="1"/>
  <c r="K263" i="16"/>
  <c r="L262" i="16"/>
  <c r="M262" i="16" s="1"/>
  <c r="X262" i="16" l="1"/>
  <c r="Y262" i="16" s="1"/>
  <c r="Z262" i="16" s="1"/>
  <c r="K264" i="16"/>
  <c r="L263" i="16"/>
  <c r="N263" i="16" s="1"/>
  <c r="N262" i="16"/>
  <c r="AA262" i="16"/>
  <c r="AB262" i="16" s="1"/>
  <c r="AC262" i="16" s="1"/>
  <c r="S262" i="16"/>
  <c r="T262" i="16"/>
  <c r="U262" i="16" s="1"/>
  <c r="V262" i="16" s="1"/>
  <c r="AP262" i="16"/>
  <c r="AQ262" i="16" s="1"/>
  <c r="AR262" i="16" s="1"/>
  <c r="AI262" i="16"/>
  <c r="AJ262" i="16" s="1"/>
  <c r="AK262" i="16" s="1"/>
  <c r="AP263" i="16"/>
  <c r="AQ263" i="16" s="1"/>
  <c r="AR263" i="16" s="1"/>
  <c r="AA263" i="16"/>
  <c r="AB263" i="16" s="1"/>
  <c r="AC263" i="16" s="1"/>
  <c r="S263" i="16"/>
  <c r="M263" i="16" l="1"/>
  <c r="X263" i="16"/>
  <c r="Y263" i="16" s="1"/>
  <c r="Z263" i="16" s="1"/>
  <c r="T263" i="16"/>
  <c r="U263" i="16" s="1"/>
  <c r="V263" i="16" s="1"/>
  <c r="AI263" i="16"/>
  <c r="AJ263" i="16" s="1"/>
  <c r="AK263" i="16" s="1"/>
  <c r="K265" i="16"/>
  <c r="L264" i="16"/>
  <c r="X264" i="16" s="1"/>
  <c r="Y264" i="16" s="1"/>
  <c r="Z264" i="16" s="1"/>
  <c r="AA264" i="16" l="1"/>
  <c r="AB264" i="16" s="1"/>
  <c r="AC264" i="16" s="1"/>
  <c r="S264" i="16"/>
  <c r="N264" i="16"/>
  <c r="AP264" i="16"/>
  <c r="AQ264" i="16" s="1"/>
  <c r="AR264" i="16" s="1"/>
  <c r="AI264" i="16"/>
  <c r="AJ264" i="16" s="1"/>
  <c r="AK264" i="16" s="1"/>
  <c r="T264" i="16"/>
  <c r="U264" i="16" s="1"/>
  <c r="V264" i="16" s="1"/>
  <c r="M264" i="16"/>
  <c r="K266" i="16"/>
  <c r="L265" i="16"/>
  <c r="AP265" i="16" s="1"/>
  <c r="AQ265" i="16" s="1"/>
  <c r="AR265" i="16" s="1"/>
  <c r="M265" i="16" l="1"/>
  <c r="AI265" i="16"/>
  <c r="AJ265" i="16" s="1"/>
  <c r="AK265" i="16" s="1"/>
  <c r="T265" i="16"/>
  <c r="U265" i="16" s="1"/>
  <c r="V265" i="16" s="1"/>
  <c r="AA265" i="16"/>
  <c r="AB265" i="16" s="1"/>
  <c r="AC265" i="16" s="1"/>
  <c r="X265" i="16"/>
  <c r="Y265" i="16" s="1"/>
  <c r="Z265" i="16" s="1"/>
  <c r="N265" i="16"/>
  <c r="S265" i="16"/>
  <c r="K267" i="16"/>
  <c r="L266" i="16"/>
  <c r="M266" i="16" s="1"/>
  <c r="AA266" i="16" l="1"/>
  <c r="AB266" i="16" s="1"/>
  <c r="AC266" i="16" s="1"/>
  <c r="N266" i="16"/>
  <c r="AP266" i="16"/>
  <c r="AQ266" i="16" s="1"/>
  <c r="AR266" i="16" s="1"/>
  <c r="T266" i="16"/>
  <c r="U266" i="16" s="1"/>
  <c r="V266" i="16" s="1"/>
  <c r="AI266" i="16"/>
  <c r="AJ266" i="16" s="1"/>
  <c r="AK266" i="16" s="1"/>
  <c r="X266" i="16"/>
  <c r="Y266" i="16" s="1"/>
  <c r="Z266" i="16" s="1"/>
  <c r="S266" i="16"/>
  <c r="K268" i="16"/>
  <c r="L267" i="16"/>
  <c r="AI267" i="16" s="1"/>
  <c r="AJ267" i="16" s="1"/>
  <c r="AK267" i="16" s="1"/>
  <c r="AA267" i="16" l="1"/>
  <c r="AB267" i="16" s="1"/>
  <c r="AC267" i="16" s="1"/>
  <c r="N267" i="16"/>
  <c r="K269" i="16"/>
  <c r="L268" i="16"/>
  <c r="M268" i="16" s="1"/>
  <c r="S267" i="16"/>
  <c r="AP267" i="16"/>
  <c r="AQ267" i="16" s="1"/>
  <c r="AR267" i="16" s="1"/>
  <c r="M267" i="16"/>
  <c r="X267" i="16"/>
  <c r="Y267" i="16" s="1"/>
  <c r="Z267" i="16" s="1"/>
  <c r="T267" i="16"/>
  <c r="U267" i="16" s="1"/>
  <c r="V267" i="16" s="1"/>
  <c r="X268" i="16"/>
  <c r="Y268" i="16" s="1"/>
  <c r="Z268" i="16" s="1"/>
  <c r="N268" i="16" l="1"/>
  <c r="T268" i="16"/>
  <c r="U268" i="16" s="1"/>
  <c r="V268" i="16" s="1"/>
  <c r="K270" i="16"/>
  <c r="L269" i="16"/>
  <c r="N269" i="16" s="1"/>
  <c r="AI268" i="16"/>
  <c r="AJ268" i="16" s="1"/>
  <c r="AK268" i="16" s="1"/>
  <c r="AA268" i="16"/>
  <c r="AB268" i="16" s="1"/>
  <c r="AC268" i="16" s="1"/>
  <c r="AP268" i="16"/>
  <c r="AQ268" i="16" s="1"/>
  <c r="AR268" i="16" s="1"/>
  <c r="S268" i="16"/>
  <c r="AA269" i="16" l="1"/>
  <c r="AB269" i="16" s="1"/>
  <c r="AC269" i="16" s="1"/>
  <c r="AP269" i="16"/>
  <c r="AQ269" i="16" s="1"/>
  <c r="AR269" i="16" s="1"/>
  <c r="K271" i="16"/>
  <c r="L270" i="16"/>
  <c r="T270" i="16" s="1"/>
  <c r="U270" i="16" s="1"/>
  <c r="V270" i="16" s="1"/>
  <c r="M269" i="16"/>
  <c r="X269" i="16"/>
  <c r="Y269" i="16" s="1"/>
  <c r="Z269" i="16" s="1"/>
  <c r="T269" i="16"/>
  <c r="U269" i="16" s="1"/>
  <c r="V269" i="16" s="1"/>
  <c r="AI269" i="16"/>
  <c r="AJ269" i="16" s="1"/>
  <c r="AK269" i="16" s="1"/>
  <c r="S269" i="16"/>
  <c r="X270" i="16"/>
  <c r="Y270" i="16" s="1"/>
  <c r="Z270" i="16" s="1"/>
  <c r="M270" i="16"/>
  <c r="AI270" i="16"/>
  <c r="AJ270" i="16" s="1"/>
  <c r="AK270" i="16" s="1"/>
  <c r="AP270" i="16" l="1"/>
  <c r="AQ270" i="16" s="1"/>
  <c r="AR270" i="16" s="1"/>
  <c r="N270" i="16"/>
  <c r="AA270" i="16"/>
  <c r="AB270" i="16" s="1"/>
  <c r="AC270" i="16" s="1"/>
  <c r="S270" i="16"/>
  <c r="L271" i="16"/>
  <c r="AA271" i="16" s="1"/>
  <c r="AB271" i="16" s="1"/>
  <c r="AC271" i="16" s="1"/>
  <c r="K272" i="16"/>
  <c r="M271" i="16" l="1"/>
  <c r="X271" i="16"/>
  <c r="Y271" i="16" s="1"/>
  <c r="Z271" i="16" s="1"/>
  <c r="T271" i="16"/>
  <c r="U271" i="16" s="1"/>
  <c r="V271" i="16" s="1"/>
  <c r="S271" i="16"/>
  <c r="AI271" i="16"/>
  <c r="AJ271" i="16" s="1"/>
  <c r="AK271" i="16" s="1"/>
  <c r="N271" i="16"/>
  <c r="AP271" i="16"/>
  <c r="AQ271" i="16" s="1"/>
  <c r="AR271" i="16" s="1"/>
  <c r="K273" i="16"/>
  <c r="L272" i="16"/>
  <c r="AI272" i="16" s="1"/>
  <c r="AJ272" i="16" s="1"/>
  <c r="AK272" i="16" s="1"/>
  <c r="AA272" i="16" l="1"/>
  <c r="AB272" i="16" s="1"/>
  <c r="AC272" i="16" s="1"/>
  <c r="N272" i="16"/>
  <c r="AP272" i="16"/>
  <c r="AQ272" i="16" s="1"/>
  <c r="AR272" i="16" s="1"/>
  <c r="S272" i="16"/>
  <c r="T272" i="16"/>
  <c r="U272" i="16" s="1"/>
  <c r="V272" i="16" s="1"/>
  <c r="M272" i="16"/>
  <c r="X272" i="16"/>
  <c r="Y272" i="16" s="1"/>
  <c r="Z272" i="16" s="1"/>
  <c r="K274" i="16"/>
  <c r="L273" i="16"/>
  <c r="AA273" i="16" s="1"/>
  <c r="AB273" i="16" s="1"/>
  <c r="AC273" i="16" s="1"/>
  <c r="AP273" i="16" l="1"/>
  <c r="AQ273" i="16" s="1"/>
  <c r="AR273" i="16" s="1"/>
  <c r="X273" i="16"/>
  <c r="Y273" i="16" s="1"/>
  <c r="Z273" i="16" s="1"/>
  <c r="S273" i="16"/>
  <c r="M273" i="16"/>
  <c r="AI273" i="16"/>
  <c r="AJ273" i="16" s="1"/>
  <c r="AK273" i="16" s="1"/>
  <c r="N273" i="16"/>
  <c r="T273" i="16"/>
  <c r="U273" i="16" s="1"/>
  <c r="V273" i="16" s="1"/>
  <c r="K275" i="16"/>
  <c r="L274" i="16"/>
  <c r="M274" i="16" s="1"/>
  <c r="X274" i="16" l="1"/>
  <c r="Y274" i="16" s="1"/>
  <c r="Z274" i="16" s="1"/>
  <c r="K276" i="16"/>
  <c r="L275" i="16"/>
  <c r="AA275" i="16" s="1"/>
  <c r="AB275" i="16" s="1"/>
  <c r="AC275" i="16" s="1"/>
  <c r="AA274" i="16"/>
  <c r="AB274" i="16" s="1"/>
  <c r="AC274" i="16" s="1"/>
  <c r="S274" i="16"/>
  <c r="T274" i="16"/>
  <c r="U274" i="16" s="1"/>
  <c r="V274" i="16" s="1"/>
  <c r="N274" i="16"/>
  <c r="AP274" i="16"/>
  <c r="AQ274" i="16" s="1"/>
  <c r="AR274" i="16" s="1"/>
  <c r="AI274" i="16"/>
  <c r="AJ274" i="16" s="1"/>
  <c r="AK274" i="16" s="1"/>
  <c r="S275" i="16"/>
  <c r="N275" i="16" l="1"/>
  <c r="AP275" i="16"/>
  <c r="AQ275" i="16" s="1"/>
  <c r="AR275" i="16" s="1"/>
  <c r="M275" i="16"/>
  <c r="X275" i="16"/>
  <c r="Y275" i="16" s="1"/>
  <c r="Z275" i="16" s="1"/>
  <c r="AI275" i="16"/>
  <c r="AJ275" i="16" s="1"/>
  <c r="AK275" i="16" s="1"/>
  <c r="T275" i="16"/>
  <c r="U275" i="16" s="1"/>
  <c r="V275" i="16" s="1"/>
  <c r="K277" i="16"/>
  <c r="L276" i="16"/>
  <c r="M276" i="16" s="1"/>
  <c r="AA276" i="16" l="1"/>
  <c r="AB276" i="16" s="1"/>
  <c r="AC276" i="16" s="1"/>
  <c r="N276" i="16"/>
  <c r="S276" i="16"/>
  <c r="AP276" i="16"/>
  <c r="AQ276" i="16" s="1"/>
  <c r="AR276" i="16" s="1"/>
  <c r="T276" i="16"/>
  <c r="U276" i="16" s="1"/>
  <c r="V276" i="16" s="1"/>
  <c r="X276" i="16"/>
  <c r="Y276" i="16" s="1"/>
  <c r="Z276" i="16" s="1"/>
  <c r="AI276" i="16"/>
  <c r="AJ276" i="16" s="1"/>
  <c r="AK276" i="16" s="1"/>
  <c r="L277" i="16"/>
  <c r="T277" i="16" s="1"/>
  <c r="U277" i="16" s="1"/>
  <c r="V277" i="16" s="1"/>
  <c r="K278" i="16"/>
  <c r="S277" i="16" l="1"/>
  <c r="AI277" i="16"/>
  <c r="AJ277" i="16" s="1"/>
  <c r="AK277" i="16" s="1"/>
  <c r="N277" i="16"/>
  <c r="AA277" i="16"/>
  <c r="AB277" i="16" s="1"/>
  <c r="AC277" i="16" s="1"/>
  <c r="AP277" i="16"/>
  <c r="AQ277" i="16" s="1"/>
  <c r="AR277" i="16" s="1"/>
  <c r="M277" i="16"/>
  <c r="X277" i="16"/>
  <c r="Y277" i="16" s="1"/>
  <c r="Z277" i="16" s="1"/>
  <c r="L278" i="16"/>
  <c r="T278" i="16" s="1"/>
  <c r="U278" i="16" s="1"/>
  <c r="V278" i="16" s="1"/>
  <c r="K279" i="16"/>
  <c r="AA278" i="16" l="1"/>
  <c r="AB278" i="16" s="1"/>
  <c r="AC278" i="16" s="1"/>
  <c r="AP278" i="16"/>
  <c r="AQ278" i="16" s="1"/>
  <c r="AR278" i="16" s="1"/>
  <c r="M278" i="16"/>
  <c r="AI278" i="16"/>
  <c r="AJ278" i="16" s="1"/>
  <c r="AK278" i="16" s="1"/>
  <c r="X278" i="16"/>
  <c r="Y278" i="16" s="1"/>
  <c r="Z278" i="16" s="1"/>
  <c r="N278" i="16"/>
  <c r="S278" i="16"/>
  <c r="K280" i="16"/>
  <c r="L279" i="16"/>
  <c r="S279" i="16" s="1"/>
  <c r="N279" i="16" l="1"/>
  <c r="AA279" i="16"/>
  <c r="AB279" i="16" s="1"/>
  <c r="AC279" i="16" s="1"/>
  <c r="AP279" i="16"/>
  <c r="AQ279" i="16" s="1"/>
  <c r="AR279" i="16" s="1"/>
  <c r="M279" i="16"/>
  <c r="X279" i="16"/>
  <c r="Y279" i="16" s="1"/>
  <c r="Z279" i="16" s="1"/>
  <c r="T279" i="16"/>
  <c r="U279" i="16" s="1"/>
  <c r="V279" i="16" s="1"/>
  <c r="AI279" i="16"/>
  <c r="AJ279" i="16" s="1"/>
  <c r="AK279" i="16" s="1"/>
  <c r="K281" i="16"/>
  <c r="L280" i="16"/>
  <c r="T280" i="16" s="1"/>
  <c r="U280" i="16" s="1"/>
  <c r="V280" i="16" s="1"/>
  <c r="AI280" i="16" l="1"/>
  <c r="AJ280" i="16" s="1"/>
  <c r="AK280" i="16" s="1"/>
  <c r="AA280" i="16"/>
  <c r="AB280" i="16" s="1"/>
  <c r="AC280" i="16" s="1"/>
  <c r="M280" i="16"/>
  <c r="X280" i="16"/>
  <c r="Y280" i="16" s="1"/>
  <c r="Z280" i="16" s="1"/>
  <c r="S280" i="16"/>
  <c r="N280" i="16"/>
  <c r="AP280" i="16"/>
  <c r="AQ280" i="16" s="1"/>
  <c r="AR280" i="16" s="1"/>
  <c r="K282" i="16"/>
  <c r="L281" i="16"/>
  <c r="AA281" i="16" s="1"/>
  <c r="AB281" i="16" s="1"/>
  <c r="AC281" i="16" s="1"/>
  <c r="T281" i="16" l="1"/>
  <c r="U281" i="16" s="1"/>
  <c r="V281" i="16" s="1"/>
  <c r="S281" i="16"/>
  <c r="M281" i="16"/>
  <c r="AI281" i="16"/>
  <c r="AJ281" i="16" s="1"/>
  <c r="AK281" i="16" s="1"/>
  <c r="X281" i="16"/>
  <c r="Y281" i="16" s="1"/>
  <c r="Z281" i="16" s="1"/>
  <c r="N281" i="16"/>
  <c r="AP281" i="16"/>
  <c r="AQ281" i="16" s="1"/>
  <c r="AR281" i="16" s="1"/>
  <c r="K283" i="16"/>
  <c r="L282" i="16"/>
  <c r="AA282" i="16" s="1"/>
  <c r="AB282" i="16" s="1"/>
  <c r="AC282" i="16" s="1"/>
  <c r="S282" i="16" l="1"/>
  <c r="T282" i="16"/>
  <c r="U282" i="16" s="1"/>
  <c r="V282" i="16" s="1"/>
  <c r="AP282" i="16"/>
  <c r="AQ282" i="16" s="1"/>
  <c r="AR282" i="16" s="1"/>
  <c r="M282" i="16"/>
  <c r="L283" i="16"/>
  <c r="AI283" i="16" s="1"/>
  <c r="AJ283" i="16" s="1"/>
  <c r="AK283" i="16" s="1"/>
  <c r="K284" i="16"/>
  <c r="AI282" i="16"/>
  <c r="AJ282" i="16" s="1"/>
  <c r="AK282" i="16" s="1"/>
  <c r="X282" i="16"/>
  <c r="Y282" i="16" s="1"/>
  <c r="Z282" i="16" s="1"/>
  <c r="N282" i="16"/>
  <c r="AP283" i="16"/>
  <c r="AQ283" i="16" s="1"/>
  <c r="AR283" i="16" s="1"/>
  <c r="AA283" i="16"/>
  <c r="AB283" i="16" s="1"/>
  <c r="AC283" i="16" s="1"/>
  <c r="N283" i="16"/>
  <c r="S283" i="16" l="1"/>
  <c r="K285" i="16"/>
  <c r="L284" i="16"/>
  <c r="AA284" i="16" s="1"/>
  <c r="AB284" i="16" s="1"/>
  <c r="AC284" i="16" s="1"/>
  <c r="M283" i="16"/>
  <c r="X283" i="16"/>
  <c r="Y283" i="16" s="1"/>
  <c r="Z283" i="16" s="1"/>
  <c r="T283" i="16"/>
  <c r="U283" i="16" s="1"/>
  <c r="V283" i="16" s="1"/>
  <c r="AP284" i="16"/>
  <c r="AQ284" i="16" s="1"/>
  <c r="AR284" i="16" s="1"/>
  <c r="S284" i="16" l="1"/>
  <c r="M284" i="16"/>
  <c r="T284" i="16"/>
  <c r="U284" i="16" s="1"/>
  <c r="V284" i="16" s="1"/>
  <c r="AI284" i="16"/>
  <c r="AJ284" i="16" s="1"/>
  <c r="AK284" i="16" s="1"/>
  <c r="X284" i="16"/>
  <c r="Y284" i="16" s="1"/>
  <c r="Z284" i="16" s="1"/>
  <c r="N284" i="16"/>
  <c r="K286" i="16"/>
  <c r="L285" i="16"/>
  <c r="N285" i="16" s="1"/>
  <c r="X285" i="16" l="1"/>
  <c r="Y285" i="16" s="1"/>
  <c r="Z285" i="16" s="1"/>
  <c r="M285" i="16"/>
  <c r="T285" i="16"/>
  <c r="U285" i="16" s="1"/>
  <c r="V285" i="16" s="1"/>
  <c r="AA285" i="16"/>
  <c r="AB285" i="16" s="1"/>
  <c r="AC285" i="16" s="1"/>
  <c r="AI285" i="16"/>
  <c r="AJ285" i="16" s="1"/>
  <c r="AK285" i="16" s="1"/>
  <c r="AP285" i="16"/>
  <c r="AQ285" i="16" s="1"/>
  <c r="AR285" i="16" s="1"/>
  <c r="S285" i="16"/>
  <c r="K287" i="16"/>
  <c r="L286" i="16"/>
  <c r="AA286" i="16" s="1"/>
  <c r="AB286" i="16" s="1"/>
  <c r="AC286" i="16" s="1"/>
  <c r="M286" i="16" l="1"/>
  <c r="S286" i="16"/>
  <c r="X286" i="16"/>
  <c r="Y286" i="16" s="1"/>
  <c r="Z286" i="16" s="1"/>
  <c r="T286" i="16"/>
  <c r="U286" i="16" s="1"/>
  <c r="V286" i="16" s="1"/>
  <c r="AI286" i="16"/>
  <c r="AJ286" i="16" s="1"/>
  <c r="AK286" i="16" s="1"/>
  <c r="N286" i="16"/>
  <c r="AP286" i="16"/>
  <c r="AQ286" i="16" s="1"/>
  <c r="AR286" i="16" s="1"/>
  <c r="K288" i="16"/>
  <c r="L287" i="16"/>
  <c r="S287" i="16" s="1"/>
  <c r="AA287" i="16" l="1"/>
  <c r="AB287" i="16" s="1"/>
  <c r="AC287" i="16" s="1"/>
  <c r="AP287" i="16"/>
  <c r="AQ287" i="16" s="1"/>
  <c r="AR287" i="16" s="1"/>
  <c r="N287" i="16"/>
  <c r="M287" i="16"/>
  <c r="X287" i="16"/>
  <c r="Y287" i="16" s="1"/>
  <c r="Z287" i="16" s="1"/>
  <c r="T287" i="16"/>
  <c r="U287" i="16" s="1"/>
  <c r="V287" i="16" s="1"/>
  <c r="AI287" i="16"/>
  <c r="AJ287" i="16" s="1"/>
  <c r="AK287" i="16" s="1"/>
  <c r="K289" i="16"/>
  <c r="L288" i="16"/>
  <c r="T288" i="16" s="1"/>
  <c r="U288" i="16" s="1"/>
  <c r="V288" i="16" s="1"/>
  <c r="AA288" i="16" l="1"/>
  <c r="AB288" i="16" s="1"/>
  <c r="AC288" i="16" s="1"/>
  <c r="M288" i="16"/>
  <c r="AI288" i="16"/>
  <c r="AJ288" i="16" s="1"/>
  <c r="AK288" i="16" s="1"/>
  <c r="AP288" i="16"/>
  <c r="AQ288" i="16" s="1"/>
  <c r="AR288" i="16" s="1"/>
  <c r="S288" i="16"/>
  <c r="X288" i="16"/>
  <c r="Y288" i="16" s="1"/>
  <c r="Z288" i="16" s="1"/>
  <c r="N288" i="16"/>
  <c r="K290" i="16"/>
  <c r="L289" i="16"/>
  <c r="X289" i="16" s="1"/>
  <c r="Y289" i="16" s="1"/>
  <c r="Z289" i="16" s="1"/>
  <c r="N289" i="16" l="1"/>
  <c r="AI289" i="16"/>
  <c r="AJ289" i="16" s="1"/>
  <c r="AK289" i="16" s="1"/>
  <c r="AP289" i="16"/>
  <c r="AQ289" i="16" s="1"/>
  <c r="AR289" i="16" s="1"/>
  <c r="S289" i="16"/>
  <c r="T289" i="16"/>
  <c r="U289" i="16" s="1"/>
  <c r="V289" i="16" s="1"/>
  <c r="AA289" i="16"/>
  <c r="AB289" i="16" s="1"/>
  <c r="AC289" i="16" s="1"/>
  <c r="M289" i="16"/>
  <c r="K291" i="16"/>
  <c r="L290" i="16"/>
  <c r="T290" i="16" s="1"/>
  <c r="U290" i="16" s="1"/>
  <c r="V290" i="16" s="1"/>
  <c r="AI290" i="16" l="1"/>
  <c r="AJ290" i="16" s="1"/>
  <c r="AK290" i="16" s="1"/>
  <c r="AA290" i="16"/>
  <c r="AB290" i="16" s="1"/>
  <c r="AC290" i="16" s="1"/>
  <c r="S290" i="16"/>
  <c r="AP290" i="16"/>
  <c r="AQ290" i="16" s="1"/>
  <c r="AR290" i="16" s="1"/>
  <c r="N290" i="16"/>
  <c r="M290" i="16"/>
  <c r="X290" i="16"/>
  <c r="Y290" i="16" s="1"/>
  <c r="Z290" i="16" s="1"/>
  <c r="K292" i="16"/>
  <c r="L291" i="16"/>
  <c r="AA291" i="16" s="1"/>
  <c r="AB291" i="16" s="1"/>
  <c r="AC291" i="16" s="1"/>
  <c r="X291" i="16" l="1"/>
  <c r="Y291" i="16" s="1"/>
  <c r="Z291" i="16" s="1"/>
  <c r="AP291" i="16"/>
  <c r="AQ291" i="16" s="1"/>
  <c r="AR291" i="16" s="1"/>
  <c r="M291" i="16"/>
  <c r="S291" i="16"/>
  <c r="AI291" i="16"/>
  <c r="AJ291" i="16" s="1"/>
  <c r="AK291" i="16" s="1"/>
  <c r="N291" i="16"/>
  <c r="T291" i="16"/>
  <c r="U291" i="16" s="1"/>
  <c r="V291" i="16" s="1"/>
  <c r="K293" i="16"/>
  <c r="L292" i="16"/>
  <c r="M292" i="16" s="1"/>
  <c r="K294" i="16" l="1"/>
  <c r="L293" i="16"/>
  <c r="S293" i="16" s="1"/>
  <c r="X292" i="16"/>
  <c r="Y292" i="16" s="1"/>
  <c r="Z292" i="16" s="1"/>
  <c r="AP292" i="16"/>
  <c r="AQ292" i="16" s="1"/>
  <c r="AR292" i="16" s="1"/>
  <c r="S292" i="16"/>
  <c r="N292" i="16"/>
  <c r="T292" i="16"/>
  <c r="U292" i="16" s="1"/>
  <c r="V292" i="16" s="1"/>
  <c r="AI292" i="16"/>
  <c r="AJ292" i="16" s="1"/>
  <c r="AK292" i="16" s="1"/>
  <c r="AA292" i="16"/>
  <c r="AB292" i="16" s="1"/>
  <c r="AC292" i="16" s="1"/>
  <c r="AP293" i="16"/>
  <c r="AQ293" i="16" s="1"/>
  <c r="AR293" i="16" s="1"/>
  <c r="AA293" i="16"/>
  <c r="AB293" i="16" s="1"/>
  <c r="AC293" i="16" s="1"/>
  <c r="N293" i="16"/>
  <c r="M293" i="16" l="1"/>
  <c r="X293" i="16"/>
  <c r="Y293" i="16" s="1"/>
  <c r="Z293" i="16" s="1"/>
  <c r="T293" i="16"/>
  <c r="U293" i="16" s="1"/>
  <c r="V293" i="16" s="1"/>
  <c r="AI293" i="16"/>
  <c r="AJ293" i="16" s="1"/>
  <c r="AK293" i="16" s="1"/>
  <c r="K295" i="16"/>
  <c r="L294" i="16"/>
  <c r="AI294" i="16" s="1"/>
  <c r="AJ294" i="16" s="1"/>
  <c r="AK294" i="16" s="1"/>
  <c r="AA294" i="16" l="1"/>
  <c r="AB294" i="16" s="1"/>
  <c r="AC294" i="16" s="1"/>
  <c r="N294" i="16"/>
  <c r="S294" i="16"/>
  <c r="AP294" i="16"/>
  <c r="AQ294" i="16" s="1"/>
  <c r="AR294" i="16" s="1"/>
  <c r="T294" i="16"/>
  <c r="U294" i="16" s="1"/>
  <c r="V294" i="16" s="1"/>
  <c r="M294" i="16"/>
  <c r="X294" i="16"/>
  <c r="Y294" i="16" s="1"/>
  <c r="Z294" i="16" s="1"/>
  <c r="K296" i="16"/>
  <c r="L295" i="16"/>
  <c r="X295" i="16" s="1"/>
  <c r="Y295" i="16" s="1"/>
  <c r="Z295" i="16" s="1"/>
  <c r="S295" i="16" l="1"/>
  <c r="N295" i="16"/>
  <c r="AP295" i="16"/>
  <c r="AQ295" i="16" s="1"/>
  <c r="AR295" i="16" s="1"/>
  <c r="AA295" i="16"/>
  <c r="AB295" i="16" s="1"/>
  <c r="AC295" i="16" s="1"/>
  <c r="AI295" i="16"/>
  <c r="AJ295" i="16" s="1"/>
  <c r="AK295" i="16" s="1"/>
  <c r="T295" i="16"/>
  <c r="U295" i="16" s="1"/>
  <c r="V295" i="16" s="1"/>
  <c r="K297" i="16"/>
  <c r="L296" i="16"/>
  <c r="T296" i="16" s="1"/>
  <c r="U296" i="16" s="1"/>
  <c r="V296" i="16" s="1"/>
  <c r="M295" i="16"/>
  <c r="AI296" i="16" l="1"/>
  <c r="AJ296" i="16" s="1"/>
  <c r="AK296" i="16" s="1"/>
  <c r="X296" i="16"/>
  <c r="Y296" i="16" s="1"/>
  <c r="Z296" i="16" s="1"/>
  <c r="M296" i="16"/>
  <c r="N296" i="16"/>
  <c r="S296" i="16"/>
  <c r="AA296" i="16"/>
  <c r="AB296" i="16" s="1"/>
  <c r="AC296" i="16" s="1"/>
  <c r="AP296" i="16"/>
  <c r="AQ296" i="16" s="1"/>
  <c r="AR296" i="16" s="1"/>
  <c r="K298" i="16"/>
  <c r="L297" i="16"/>
  <c r="AI297" i="16" s="1"/>
  <c r="AJ297" i="16" s="1"/>
  <c r="AK297" i="16" s="1"/>
  <c r="N297" i="16" l="1"/>
  <c r="AP297" i="16"/>
  <c r="AQ297" i="16" s="1"/>
  <c r="AR297" i="16" s="1"/>
  <c r="X297" i="16"/>
  <c r="Y297" i="16" s="1"/>
  <c r="Z297" i="16" s="1"/>
  <c r="S297" i="16"/>
  <c r="AA297" i="16"/>
  <c r="AB297" i="16" s="1"/>
  <c r="AC297" i="16" s="1"/>
  <c r="M297" i="16"/>
  <c r="T297" i="16"/>
  <c r="U297" i="16" s="1"/>
  <c r="V297" i="16" s="1"/>
  <c r="K299" i="16"/>
  <c r="L298" i="16"/>
  <c r="T298" i="16" s="1"/>
  <c r="U298" i="16" s="1"/>
  <c r="V298" i="16" s="1"/>
  <c r="AI298" i="16" l="1"/>
  <c r="AJ298" i="16" s="1"/>
  <c r="AK298" i="16" s="1"/>
  <c r="X298" i="16"/>
  <c r="Y298" i="16" s="1"/>
  <c r="Z298" i="16" s="1"/>
  <c r="M298" i="16"/>
  <c r="N298" i="16"/>
  <c r="AA298" i="16"/>
  <c r="AB298" i="16" s="1"/>
  <c r="AC298" i="16" s="1"/>
  <c r="AP298" i="16"/>
  <c r="AQ298" i="16" s="1"/>
  <c r="AR298" i="16" s="1"/>
  <c r="S298" i="16"/>
  <c r="L299" i="16"/>
  <c r="AI299" i="16" s="1"/>
  <c r="AJ299" i="16" s="1"/>
  <c r="AK299" i="16" s="1"/>
  <c r="K300" i="16"/>
  <c r="S299" i="16" l="1"/>
  <c r="N299" i="16"/>
  <c r="AA299" i="16"/>
  <c r="AB299" i="16" s="1"/>
  <c r="AC299" i="16" s="1"/>
  <c r="AP299" i="16"/>
  <c r="AQ299" i="16" s="1"/>
  <c r="AR299" i="16" s="1"/>
  <c r="X299" i="16"/>
  <c r="Y299" i="16" s="1"/>
  <c r="Z299" i="16" s="1"/>
  <c r="M299" i="16"/>
  <c r="T299" i="16"/>
  <c r="U299" i="16" s="1"/>
  <c r="V299" i="16" s="1"/>
  <c r="K301" i="16"/>
  <c r="L300" i="16"/>
  <c r="AP300" i="16" s="1"/>
  <c r="AQ300" i="16" s="1"/>
  <c r="AR300" i="16" s="1"/>
  <c r="S300" i="16" l="1"/>
  <c r="M300" i="16"/>
  <c r="T300" i="16"/>
  <c r="U300" i="16" s="1"/>
  <c r="V300" i="16" s="1"/>
  <c r="AI300" i="16"/>
  <c r="AJ300" i="16" s="1"/>
  <c r="AK300" i="16" s="1"/>
  <c r="X300" i="16"/>
  <c r="Y300" i="16" s="1"/>
  <c r="Z300" i="16" s="1"/>
  <c r="N300" i="16"/>
  <c r="AA300" i="16"/>
  <c r="AB300" i="16" s="1"/>
  <c r="AC300" i="16" s="1"/>
  <c r="K302" i="16"/>
  <c r="L301" i="16"/>
  <c r="N301" i="16" s="1"/>
  <c r="AI301" i="16" l="1"/>
  <c r="AJ301" i="16" s="1"/>
  <c r="AK301" i="16" s="1"/>
  <c r="S301" i="16"/>
  <c r="T301" i="16"/>
  <c r="U301" i="16" s="1"/>
  <c r="V301" i="16" s="1"/>
  <c r="M301" i="16"/>
  <c r="X301" i="16"/>
  <c r="Y301" i="16" s="1"/>
  <c r="Z301" i="16" s="1"/>
  <c r="AA301" i="16"/>
  <c r="AB301" i="16" s="1"/>
  <c r="AC301" i="16" s="1"/>
  <c r="AP301" i="16"/>
  <c r="AQ301" i="16" s="1"/>
  <c r="AR301" i="16" s="1"/>
  <c r="L302" i="16"/>
  <c r="X302" i="16" s="1"/>
  <c r="Y302" i="16" s="1"/>
  <c r="Z302" i="16" s="1"/>
  <c r="K303" i="16"/>
  <c r="S302" i="16" l="1"/>
  <c r="AI302" i="16"/>
  <c r="AJ302" i="16" s="1"/>
  <c r="AK302" i="16" s="1"/>
  <c r="T302" i="16"/>
  <c r="U302" i="16" s="1"/>
  <c r="V302" i="16" s="1"/>
  <c r="M302" i="16"/>
  <c r="N302" i="16"/>
  <c r="AA302" i="16"/>
  <c r="AB302" i="16" s="1"/>
  <c r="AC302" i="16" s="1"/>
  <c r="AP302" i="16"/>
  <c r="AQ302" i="16" s="1"/>
  <c r="AR302" i="16" s="1"/>
  <c r="K304" i="16"/>
  <c r="L303" i="16"/>
  <c r="AP303" i="16" s="1"/>
  <c r="AQ303" i="16" s="1"/>
  <c r="AR303" i="16" s="1"/>
  <c r="S303" i="16" l="1"/>
  <c r="AI303" i="16"/>
  <c r="AJ303" i="16" s="1"/>
  <c r="AK303" i="16" s="1"/>
  <c r="N303" i="16"/>
  <c r="M303" i="16"/>
  <c r="X303" i="16"/>
  <c r="Y303" i="16" s="1"/>
  <c r="Z303" i="16" s="1"/>
  <c r="T303" i="16"/>
  <c r="U303" i="16" s="1"/>
  <c r="V303" i="16" s="1"/>
  <c r="AA303" i="16"/>
  <c r="AB303" i="16" s="1"/>
  <c r="AC303" i="16" s="1"/>
  <c r="L304" i="16"/>
  <c r="X304" i="16" s="1"/>
  <c r="Y304" i="16" s="1"/>
  <c r="Z304" i="16" s="1"/>
  <c r="K305" i="16"/>
  <c r="AI304" i="16" l="1"/>
  <c r="AJ304" i="16" s="1"/>
  <c r="AK304" i="16" s="1"/>
  <c r="T304" i="16"/>
  <c r="U304" i="16" s="1"/>
  <c r="V304" i="16" s="1"/>
  <c r="M304" i="16"/>
  <c r="AA304" i="16"/>
  <c r="AB304" i="16" s="1"/>
  <c r="AC304" i="16" s="1"/>
  <c r="N304" i="16"/>
  <c r="AP304" i="16"/>
  <c r="AQ304" i="16" s="1"/>
  <c r="AR304" i="16" s="1"/>
  <c r="S304" i="16"/>
  <c r="L305" i="16"/>
  <c r="AP305" i="16" s="1"/>
  <c r="AQ305" i="16" s="1"/>
  <c r="AR305" i="16" s="1"/>
  <c r="K306" i="16"/>
  <c r="AI305" i="16" l="1"/>
  <c r="AJ305" i="16" s="1"/>
  <c r="AK305" i="16" s="1"/>
  <c r="N305" i="16"/>
  <c r="M305" i="16"/>
  <c r="S305" i="16"/>
  <c r="X305" i="16"/>
  <c r="Y305" i="16" s="1"/>
  <c r="Z305" i="16" s="1"/>
  <c r="T305" i="16"/>
  <c r="U305" i="16" s="1"/>
  <c r="V305" i="16" s="1"/>
  <c r="AA305" i="16"/>
  <c r="AB305" i="16" s="1"/>
  <c r="AC305" i="16" s="1"/>
  <c r="K307" i="16"/>
  <c r="L306" i="16"/>
  <c r="M306" i="16" s="1"/>
  <c r="N306" i="16" l="1"/>
  <c r="AA306" i="16"/>
  <c r="AB306" i="16" s="1"/>
  <c r="AC306" i="16" s="1"/>
  <c r="T306" i="16"/>
  <c r="U306" i="16" s="1"/>
  <c r="V306" i="16" s="1"/>
  <c r="S306" i="16"/>
  <c r="AI306" i="16"/>
  <c r="AJ306" i="16" s="1"/>
  <c r="AK306" i="16" s="1"/>
  <c r="AP306" i="16"/>
  <c r="AQ306" i="16" s="1"/>
  <c r="AR306" i="16" s="1"/>
  <c r="X306" i="16"/>
  <c r="Y306" i="16" s="1"/>
  <c r="Z306" i="16" s="1"/>
  <c r="K308" i="16"/>
  <c r="L307" i="16"/>
  <c r="S307" i="16" s="1"/>
  <c r="M307" i="16" l="1"/>
  <c r="AI307" i="16"/>
  <c r="AJ307" i="16" s="1"/>
  <c r="AK307" i="16" s="1"/>
  <c r="X307" i="16"/>
  <c r="Y307" i="16" s="1"/>
  <c r="Z307" i="16" s="1"/>
  <c r="T307" i="16"/>
  <c r="U307" i="16" s="1"/>
  <c r="V307" i="16" s="1"/>
  <c r="AP307" i="16"/>
  <c r="AQ307" i="16" s="1"/>
  <c r="AR307" i="16" s="1"/>
  <c r="AA307" i="16"/>
  <c r="AB307" i="16" s="1"/>
  <c r="AC307" i="16" s="1"/>
  <c r="N307" i="16"/>
  <c r="L308" i="16"/>
  <c r="N308" i="16" s="1"/>
  <c r="K309" i="16"/>
  <c r="M308" i="16" l="1"/>
  <c r="AI308" i="16"/>
  <c r="AJ308" i="16" s="1"/>
  <c r="AK308" i="16" s="1"/>
  <c r="X308" i="16"/>
  <c r="Y308" i="16" s="1"/>
  <c r="Z308" i="16" s="1"/>
  <c r="AA308" i="16"/>
  <c r="AB308" i="16" s="1"/>
  <c r="AC308" i="16" s="1"/>
  <c r="AP308" i="16"/>
  <c r="AQ308" i="16" s="1"/>
  <c r="AR308" i="16" s="1"/>
  <c r="S308" i="16"/>
  <c r="T308" i="16"/>
  <c r="U308" i="16" s="1"/>
  <c r="V308" i="16" s="1"/>
  <c r="K310" i="16"/>
  <c r="L309" i="16"/>
  <c r="AA309" i="16" s="1"/>
  <c r="AB309" i="16" s="1"/>
  <c r="AC309" i="16" s="1"/>
  <c r="M309" i="16" l="1"/>
  <c r="T309" i="16"/>
  <c r="U309" i="16" s="1"/>
  <c r="V309" i="16" s="1"/>
  <c r="AI309" i="16"/>
  <c r="AJ309" i="16" s="1"/>
  <c r="AK309" i="16" s="1"/>
  <c r="S309" i="16"/>
  <c r="X309" i="16"/>
  <c r="Y309" i="16" s="1"/>
  <c r="Z309" i="16" s="1"/>
  <c r="AP309" i="16"/>
  <c r="AQ309" i="16" s="1"/>
  <c r="AR309" i="16" s="1"/>
  <c r="N309" i="16"/>
  <c r="L310" i="16"/>
  <c r="T310" i="16" s="1"/>
  <c r="U310" i="16" s="1"/>
  <c r="V310" i="16" s="1"/>
  <c r="K311" i="16"/>
  <c r="AI310" i="16" l="1"/>
  <c r="AJ310" i="16" s="1"/>
  <c r="AK310" i="16" s="1"/>
  <c r="X310" i="16"/>
  <c r="Y310" i="16" s="1"/>
  <c r="Z310" i="16" s="1"/>
  <c r="M310" i="16"/>
  <c r="N310" i="16"/>
  <c r="AA310" i="16"/>
  <c r="AB310" i="16" s="1"/>
  <c r="AC310" i="16" s="1"/>
  <c r="AP310" i="16"/>
  <c r="AQ310" i="16" s="1"/>
  <c r="AR310" i="16" s="1"/>
  <c r="S310" i="16"/>
  <c r="L311" i="16"/>
  <c r="AI311" i="16" s="1"/>
  <c r="AJ311" i="16" s="1"/>
  <c r="AK311" i="16" s="1"/>
  <c r="K312" i="16"/>
  <c r="S311" i="16" l="1"/>
  <c r="N311" i="16"/>
  <c r="AA311" i="16"/>
  <c r="AB311" i="16" s="1"/>
  <c r="AC311" i="16" s="1"/>
  <c r="AP311" i="16"/>
  <c r="AQ311" i="16" s="1"/>
  <c r="AR311" i="16" s="1"/>
  <c r="X311" i="16"/>
  <c r="Y311" i="16" s="1"/>
  <c r="Z311" i="16" s="1"/>
  <c r="M311" i="16"/>
  <c r="T311" i="16"/>
  <c r="U311" i="16" s="1"/>
  <c r="V311" i="16" s="1"/>
  <c r="K313" i="16"/>
  <c r="L312" i="16"/>
  <c r="AP312" i="16" s="1"/>
  <c r="AQ312" i="16" s="1"/>
  <c r="AR312" i="16" s="1"/>
  <c r="AA312" i="16" l="1"/>
  <c r="AB312" i="16" s="1"/>
  <c r="AC312" i="16" s="1"/>
  <c r="S312" i="16"/>
  <c r="N312" i="16"/>
  <c r="X312" i="16"/>
  <c r="Y312" i="16" s="1"/>
  <c r="Z312" i="16" s="1"/>
  <c r="T312" i="16"/>
  <c r="U312" i="16" s="1"/>
  <c r="V312" i="16" s="1"/>
  <c r="AI312" i="16"/>
  <c r="AJ312" i="16" s="1"/>
  <c r="AK312" i="16" s="1"/>
  <c r="M312" i="16"/>
  <c r="K314" i="16"/>
  <c r="L313" i="16"/>
  <c r="M313" i="16" s="1"/>
  <c r="T313" i="16" l="1"/>
  <c r="U313" i="16" s="1"/>
  <c r="V313" i="16" s="1"/>
  <c r="N313" i="16"/>
  <c r="AA313" i="16"/>
  <c r="AB313" i="16" s="1"/>
  <c r="AC313" i="16" s="1"/>
  <c r="S313" i="16"/>
  <c r="AI313" i="16"/>
  <c r="AJ313" i="16" s="1"/>
  <c r="AK313" i="16" s="1"/>
  <c r="AP313" i="16"/>
  <c r="AQ313" i="16" s="1"/>
  <c r="AR313" i="16" s="1"/>
  <c r="X313" i="16"/>
  <c r="Y313" i="16" s="1"/>
  <c r="Z313" i="16" s="1"/>
  <c r="L314" i="16"/>
  <c r="S314" i="16" s="1"/>
  <c r="K315" i="16"/>
  <c r="N314" i="16" l="1"/>
  <c r="X314" i="16"/>
  <c r="Y314" i="16" s="1"/>
  <c r="Z314" i="16" s="1"/>
  <c r="AA314" i="16"/>
  <c r="AB314" i="16" s="1"/>
  <c r="AC314" i="16" s="1"/>
  <c r="T314" i="16"/>
  <c r="U314" i="16" s="1"/>
  <c r="V314" i="16" s="1"/>
  <c r="AI314" i="16"/>
  <c r="AJ314" i="16" s="1"/>
  <c r="AK314" i="16" s="1"/>
  <c r="AP314" i="16"/>
  <c r="AQ314" i="16" s="1"/>
  <c r="AR314" i="16" s="1"/>
  <c r="M314" i="16"/>
  <c r="K316" i="16"/>
  <c r="L315" i="16"/>
  <c r="X315" i="16" s="1"/>
  <c r="Y315" i="16" s="1"/>
  <c r="Z315" i="16" s="1"/>
  <c r="AI315" i="16" l="1"/>
  <c r="AJ315" i="16" s="1"/>
  <c r="AK315" i="16" s="1"/>
  <c r="T315" i="16"/>
  <c r="U315" i="16" s="1"/>
  <c r="V315" i="16" s="1"/>
  <c r="M315" i="16"/>
  <c r="N315" i="16"/>
  <c r="AA315" i="16"/>
  <c r="AB315" i="16" s="1"/>
  <c r="AC315" i="16" s="1"/>
  <c r="AP315" i="16"/>
  <c r="AQ315" i="16" s="1"/>
  <c r="AR315" i="16" s="1"/>
  <c r="S315" i="16"/>
  <c r="L316" i="16"/>
  <c r="S316" i="16" s="1"/>
  <c r="K317" i="16"/>
  <c r="N316" i="16" l="1"/>
  <c r="AA316" i="16"/>
  <c r="AB316" i="16" s="1"/>
  <c r="AC316" i="16" s="1"/>
  <c r="AP316" i="16"/>
  <c r="AQ316" i="16" s="1"/>
  <c r="AR316" i="16" s="1"/>
  <c r="X316" i="16"/>
  <c r="Y316" i="16" s="1"/>
  <c r="Z316" i="16" s="1"/>
  <c r="M316" i="16"/>
  <c r="T316" i="16"/>
  <c r="U316" i="16" s="1"/>
  <c r="V316" i="16" s="1"/>
  <c r="AI316" i="16"/>
  <c r="AJ316" i="16" s="1"/>
  <c r="AK316" i="16" s="1"/>
  <c r="L317" i="16"/>
  <c r="AP317" i="16" s="1"/>
  <c r="AQ317" i="16" s="1"/>
  <c r="AR317" i="16" s="1"/>
  <c r="K318" i="16"/>
  <c r="S317" i="16" l="1"/>
  <c r="X317" i="16"/>
  <c r="Y317" i="16" s="1"/>
  <c r="Z317" i="16" s="1"/>
  <c r="N317" i="16"/>
  <c r="AI317" i="16"/>
  <c r="AJ317" i="16" s="1"/>
  <c r="AK317" i="16" s="1"/>
  <c r="T317" i="16"/>
  <c r="U317" i="16" s="1"/>
  <c r="V317" i="16" s="1"/>
  <c r="M317" i="16"/>
  <c r="AA317" i="16"/>
  <c r="AB317" i="16" s="1"/>
  <c r="AC317" i="16" s="1"/>
  <c r="K319" i="16"/>
  <c r="L318" i="16"/>
  <c r="AP318" i="16" s="1"/>
  <c r="AQ318" i="16" s="1"/>
  <c r="AR318" i="16" s="1"/>
  <c r="T318" i="16" l="1"/>
  <c r="U318" i="16" s="1"/>
  <c r="V318" i="16" s="1"/>
  <c r="AI318" i="16"/>
  <c r="AJ318" i="16" s="1"/>
  <c r="AK318" i="16" s="1"/>
  <c r="N318" i="16"/>
  <c r="S318" i="16"/>
  <c r="AA318" i="16"/>
  <c r="AB318" i="16" s="1"/>
  <c r="AC318" i="16" s="1"/>
  <c r="M318" i="16"/>
  <c r="X318" i="16"/>
  <c r="Y318" i="16" s="1"/>
  <c r="Z318" i="16" s="1"/>
  <c r="K320" i="16"/>
  <c r="L319" i="16"/>
  <c r="M319" i="16" s="1"/>
  <c r="S319" i="16" l="1"/>
  <c r="T319" i="16"/>
  <c r="U319" i="16" s="1"/>
  <c r="V319" i="16" s="1"/>
  <c r="AA319" i="16"/>
  <c r="AB319" i="16" s="1"/>
  <c r="AC319" i="16" s="1"/>
  <c r="AP319" i="16"/>
  <c r="AQ319" i="16" s="1"/>
  <c r="AR319" i="16" s="1"/>
  <c r="N319" i="16"/>
  <c r="X319" i="16"/>
  <c r="Y319" i="16" s="1"/>
  <c r="Z319" i="16" s="1"/>
  <c r="AI319" i="16"/>
  <c r="AJ319" i="16" s="1"/>
  <c r="AK319" i="16" s="1"/>
  <c r="L320" i="16"/>
  <c r="S320" i="16" s="1"/>
  <c r="K321" i="16"/>
  <c r="N320" i="16" l="1"/>
  <c r="AI320" i="16"/>
  <c r="AJ320" i="16" s="1"/>
  <c r="AK320" i="16" s="1"/>
  <c r="AA320" i="16"/>
  <c r="AB320" i="16" s="1"/>
  <c r="AC320" i="16" s="1"/>
  <c r="AP320" i="16"/>
  <c r="AQ320" i="16" s="1"/>
  <c r="AR320" i="16" s="1"/>
  <c r="M320" i="16"/>
  <c r="X320" i="16"/>
  <c r="Y320" i="16" s="1"/>
  <c r="Z320" i="16" s="1"/>
  <c r="T320" i="16"/>
  <c r="U320" i="16" s="1"/>
  <c r="V320" i="16" s="1"/>
  <c r="K322" i="16"/>
  <c r="L321" i="16"/>
  <c r="X321" i="16" s="1"/>
  <c r="Y321" i="16" s="1"/>
  <c r="Z321" i="16" s="1"/>
  <c r="S321" i="16" l="1"/>
  <c r="T321" i="16"/>
  <c r="U321" i="16" s="1"/>
  <c r="V321" i="16" s="1"/>
  <c r="AP321" i="16"/>
  <c r="AQ321" i="16" s="1"/>
  <c r="AR321" i="16" s="1"/>
  <c r="N321" i="16"/>
  <c r="AA321" i="16"/>
  <c r="AB321" i="16" s="1"/>
  <c r="AC321" i="16" s="1"/>
  <c r="AI321" i="16"/>
  <c r="AJ321" i="16" s="1"/>
  <c r="AK321" i="16" s="1"/>
  <c r="M321" i="16"/>
  <c r="K323" i="16"/>
  <c r="L322" i="16"/>
  <c r="M322" i="16" s="1"/>
  <c r="N322" i="16" l="1"/>
  <c r="AA322" i="16"/>
  <c r="AB322" i="16" s="1"/>
  <c r="AC322" i="16" s="1"/>
  <c r="AP322" i="16"/>
  <c r="AQ322" i="16" s="1"/>
  <c r="AR322" i="16" s="1"/>
  <c r="X322" i="16"/>
  <c r="Y322" i="16" s="1"/>
  <c r="Z322" i="16" s="1"/>
  <c r="T322" i="16"/>
  <c r="U322" i="16" s="1"/>
  <c r="V322" i="16" s="1"/>
  <c r="AI322" i="16"/>
  <c r="AJ322" i="16" s="1"/>
  <c r="AK322" i="16" s="1"/>
  <c r="S322" i="16"/>
  <c r="L323" i="16"/>
  <c r="AA323" i="16" s="1"/>
  <c r="AB323" i="16" s="1"/>
  <c r="AC323" i="16" s="1"/>
  <c r="K324" i="16"/>
  <c r="S323" i="16" l="1"/>
  <c r="X323" i="16"/>
  <c r="Y323" i="16" s="1"/>
  <c r="Z323" i="16" s="1"/>
  <c r="AI323" i="16"/>
  <c r="AJ323" i="16" s="1"/>
  <c r="AK323" i="16" s="1"/>
  <c r="M323" i="16"/>
  <c r="AP323" i="16"/>
  <c r="AQ323" i="16" s="1"/>
  <c r="AR323" i="16" s="1"/>
  <c r="T323" i="16"/>
  <c r="U323" i="16" s="1"/>
  <c r="V323" i="16" s="1"/>
  <c r="N323" i="16"/>
  <c r="K325" i="16"/>
  <c r="L324" i="16"/>
  <c r="S324" i="16" s="1"/>
  <c r="AA324" i="16" l="1"/>
  <c r="AB324" i="16" s="1"/>
  <c r="AC324" i="16" s="1"/>
  <c r="AP324" i="16"/>
  <c r="AQ324" i="16" s="1"/>
  <c r="AR324" i="16" s="1"/>
  <c r="X324" i="16"/>
  <c r="Y324" i="16" s="1"/>
  <c r="Z324" i="16" s="1"/>
  <c r="N324" i="16"/>
  <c r="M324" i="16"/>
  <c r="T324" i="16"/>
  <c r="U324" i="16" s="1"/>
  <c r="V324" i="16" s="1"/>
  <c r="AI324" i="16"/>
  <c r="AJ324" i="16" s="1"/>
  <c r="AK324" i="16" s="1"/>
  <c r="K326" i="16"/>
  <c r="L325" i="16"/>
  <c r="T325" i="16" s="1"/>
  <c r="U325" i="16" s="1"/>
  <c r="V325" i="16" s="1"/>
  <c r="AI325" i="16" l="1"/>
  <c r="AJ325" i="16" s="1"/>
  <c r="AK325" i="16" s="1"/>
  <c r="N325" i="16"/>
  <c r="AA325" i="16"/>
  <c r="AB325" i="16" s="1"/>
  <c r="AC325" i="16" s="1"/>
  <c r="X325" i="16"/>
  <c r="Y325" i="16" s="1"/>
  <c r="Z325" i="16" s="1"/>
  <c r="M325" i="16"/>
  <c r="AP325" i="16"/>
  <c r="AQ325" i="16" s="1"/>
  <c r="AR325" i="16" s="1"/>
  <c r="S325" i="16"/>
  <c r="K327" i="16"/>
  <c r="L326" i="16"/>
  <c r="AP326" i="16" s="1"/>
  <c r="AQ326" i="16" s="1"/>
  <c r="AR326" i="16" s="1"/>
  <c r="AA326" i="16" l="1"/>
  <c r="AB326" i="16" s="1"/>
  <c r="AC326" i="16" s="1"/>
  <c r="S326" i="16"/>
  <c r="AI326" i="16"/>
  <c r="AJ326" i="16" s="1"/>
  <c r="AK326" i="16" s="1"/>
  <c r="N326" i="16"/>
  <c r="M326" i="16"/>
  <c r="X326" i="16"/>
  <c r="Y326" i="16" s="1"/>
  <c r="Z326" i="16" s="1"/>
  <c r="T326" i="16"/>
  <c r="U326" i="16" s="1"/>
  <c r="V326" i="16" s="1"/>
  <c r="K328" i="16"/>
  <c r="L327" i="16"/>
  <c r="X327" i="16" s="1"/>
  <c r="Y327" i="16" s="1"/>
  <c r="Z327" i="16" s="1"/>
  <c r="AP327" i="16" l="1"/>
  <c r="AQ327" i="16" s="1"/>
  <c r="AR327" i="16" s="1"/>
  <c r="T327" i="16"/>
  <c r="U327" i="16" s="1"/>
  <c r="V327" i="16" s="1"/>
  <c r="S327" i="16"/>
  <c r="N327" i="16"/>
  <c r="AA327" i="16"/>
  <c r="AB327" i="16" s="1"/>
  <c r="AC327" i="16" s="1"/>
  <c r="AI327" i="16"/>
  <c r="AJ327" i="16" s="1"/>
  <c r="AK327" i="16" s="1"/>
  <c r="M327" i="16"/>
  <c r="K329" i="16"/>
  <c r="L328" i="16"/>
  <c r="M328" i="16" s="1"/>
  <c r="AI328" i="16" l="1"/>
  <c r="AJ328" i="16" s="1"/>
  <c r="AK328" i="16" s="1"/>
  <c r="AA328" i="16"/>
  <c r="AB328" i="16" s="1"/>
  <c r="AC328" i="16" s="1"/>
  <c r="S328" i="16"/>
  <c r="N328" i="16"/>
  <c r="X328" i="16"/>
  <c r="Y328" i="16" s="1"/>
  <c r="Z328" i="16" s="1"/>
  <c r="T328" i="16"/>
  <c r="U328" i="16" s="1"/>
  <c r="V328" i="16" s="1"/>
  <c r="AP328" i="16"/>
  <c r="AQ328" i="16" s="1"/>
  <c r="AR328" i="16" s="1"/>
  <c r="K330" i="16"/>
  <c r="L329" i="16"/>
  <c r="X329" i="16" s="1"/>
  <c r="Y329" i="16" s="1"/>
  <c r="Z329" i="16" s="1"/>
  <c r="T329" i="16" l="1"/>
  <c r="U329" i="16" s="1"/>
  <c r="V329" i="16" s="1"/>
  <c r="M329" i="16"/>
  <c r="N329" i="16"/>
  <c r="AI329" i="16"/>
  <c r="AJ329" i="16" s="1"/>
  <c r="AK329" i="16" s="1"/>
  <c r="AP329" i="16"/>
  <c r="AQ329" i="16" s="1"/>
  <c r="AR329" i="16" s="1"/>
  <c r="AA329" i="16"/>
  <c r="AB329" i="16" s="1"/>
  <c r="AC329" i="16" s="1"/>
  <c r="S329" i="16"/>
  <c r="K331" i="16"/>
  <c r="L330" i="16"/>
  <c r="AP330" i="16" s="1"/>
  <c r="AQ330" i="16" s="1"/>
  <c r="AR330" i="16" s="1"/>
  <c r="T330" i="16" l="1"/>
  <c r="U330" i="16" s="1"/>
  <c r="V330" i="16" s="1"/>
  <c r="AI330" i="16"/>
  <c r="AJ330" i="16" s="1"/>
  <c r="AK330" i="16" s="1"/>
  <c r="S330" i="16"/>
  <c r="M330" i="16"/>
  <c r="X330" i="16"/>
  <c r="Y330" i="16" s="1"/>
  <c r="Z330" i="16" s="1"/>
  <c r="N330" i="16"/>
  <c r="AA330" i="16"/>
  <c r="AB330" i="16" s="1"/>
  <c r="AC330" i="16" s="1"/>
  <c r="K332" i="16"/>
  <c r="L331" i="16"/>
  <c r="X331" i="16" s="1"/>
  <c r="Y331" i="16" s="1"/>
  <c r="Z331" i="16" s="1"/>
  <c r="T331" i="16" l="1"/>
  <c r="U331" i="16" s="1"/>
  <c r="V331" i="16" s="1"/>
  <c r="S331" i="16"/>
  <c r="AP331" i="16"/>
  <c r="AQ331" i="16" s="1"/>
  <c r="AR331" i="16" s="1"/>
  <c r="N331" i="16"/>
  <c r="AA331" i="16"/>
  <c r="AB331" i="16" s="1"/>
  <c r="AC331" i="16" s="1"/>
  <c r="M331" i="16"/>
  <c r="AI331" i="16"/>
  <c r="AJ331" i="16" s="1"/>
  <c r="AK331" i="16" s="1"/>
  <c r="K333" i="16"/>
  <c r="L332" i="16"/>
  <c r="AP332" i="16" s="1"/>
  <c r="AQ332" i="16" s="1"/>
  <c r="AR332" i="16" s="1"/>
  <c r="T332" i="16" l="1"/>
  <c r="U332" i="16" s="1"/>
  <c r="V332" i="16" s="1"/>
  <c r="AI332" i="16"/>
  <c r="AJ332" i="16" s="1"/>
  <c r="AK332" i="16" s="1"/>
  <c r="M332" i="16"/>
  <c r="S332" i="16"/>
  <c r="X332" i="16"/>
  <c r="Y332" i="16" s="1"/>
  <c r="Z332" i="16" s="1"/>
  <c r="AA332" i="16"/>
  <c r="AB332" i="16" s="1"/>
  <c r="AC332" i="16" s="1"/>
  <c r="N332" i="16"/>
  <c r="K334" i="16"/>
  <c r="L333" i="16"/>
  <c r="M333" i="16" s="1"/>
  <c r="T333" i="16" l="1"/>
  <c r="U333" i="16" s="1"/>
  <c r="V333" i="16" s="1"/>
  <c r="AI333" i="16"/>
  <c r="AJ333" i="16" s="1"/>
  <c r="AK333" i="16" s="1"/>
  <c r="X333" i="16"/>
  <c r="Y333" i="16" s="1"/>
  <c r="Z333" i="16" s="1"/>
  <c r="N333" i="16"/>
  <c r="AA333" i="16"/>
  <c r="AB333" i="16" s="1"/>
  <c r="AC333" i="16" s="1"/>
  <c r="AP333" i="16"/>
  <c r="AQ333" i="16" s="1"/>
  <c r="AR333" i="16" s="1"/>
  <c r="S333" i="16"/>
  <c r="K335" i="16"/>
  <c r="L334" i="16"/>
  <c r="N334" i="16" s="1"/>
  <c r="AP334" i="16" l="1"/>
  <c r="AQ334" i="16" s="1"/>
  <c r="AR334" i="16" s="1"/>
  <c r="M334" i="16"/>
  <c r="S334" i="16"/>
  <c r="X334" i="16"/>
  <c r="Y334" i="16" s="1"/>
  <c r="Z334" i="16" s="1"/>
  <c r="T334" i="16"/>
  <c r="U334" i="16" s="1"/>
  <c r="V334" i="16" s="1"/>
  <c r="AA334" i="16"/>
  <c r="AB334" i="16" s="1"/>
  <c r="AC334" i="16" s="1"/>
  <c r="AI334" i="16"/>
  <c r="AJ334" i="16" s="1"/>
  <c r="AK334" i="16" s="1"/>
  <c r="K336" i="16"/>
  <c r="L335" i="16"/>
  <c r="S335" i="16" s="1"/>
  <c r="T335" i="16" l="1"/>
  <c r="U335" i="16" s="1"/>
  <c r="V335" i="16" s="1"/>
  <c r="AA335" i="16"/>
  <c r="AB335" i="16" s="1"/>
  <c r="AC335" i="16" s="1"/>
  <c r="M335" i="16"/>
  <c r="X335" i="16"/>
  <c r="Y335" i="16" s="1"/>
  <c r="Z335" i="16" s="1"/>
  <c r="AI335" i="16"/>
  <c r="AJ335" i="16" s="1"/>
  <c r="AK335" i="16" s="1"/>
  <c r="N335" i="16"/>
  <c r="AP335" i="16"/>
  <c r="AQ335" i="16" s="1"/>
  <c r="AR335" i="16" s="1"/>
  <c r="K337" i="16"/>
  <c r="L336" i="16"/>
  <c r="T336" i="16" s="1"/>
  <c r="U336" i="16" s="1"/>
  <c r="V336" i="16" s="1"/>
  <c r="M336" i="16" l="1"/>
  <c r="AI336" i="16"/>
  <c r="AJ336" i="16" s="1"/>
  <c r="AK336" i="16" s="1"/>
  <c r="X336" i="16"/>
  <c r="Y336" i="16" s="1"/>
  <c r="Z336" i="16" s="1"/>
  <c r="N336" i="16"/>
  <c r="AP336" i="16"/>
  <c r="AQ336" i="16" s="1"/>
  <c r="AR336" i="16" s="1"/>
  <c r="AA336" i="16"/>
  <c r="AB336" i="16" s="1"/>
  <c r="AC336" i="16" s="1"/>
  <c r="S336" i="16"/>
  <c r="K338" i="16"/>
  <c r="L337" i="16"/>
  <c r="X337" i="16" s="1"/>
  <c r="Y337" i="16" s="1"/>
  <c r="Z337" i="16" s="1"/>
  <c r="S337" i="16" l="1"/>
  <c r="AI337" i="16"/>
  <c r="AJ337" i="16" s="1"/>
  <c r="AK337" i="16" s="1"/>
  <c r="N337" i="16"/>
  <c r="T337" i="16"/>
  <c r="U337" i="16" s="1"/>
  <c r="V337" i="16" s="1"/>
  <c r="AA337" i="16"/>
  <c r="AB337" i="16" s="1"/>
  <c r="AC337" i="16" s="1"/>
  <c r="AP337" i="16"/>
  <c r="AQ337" i="16" s="1"/>
  <c r="AR337" i="16" s="1"/>
  <c r="M337" i="16"/>
  <c r="K339" i="16"/>
  <c r="L338" i="16"/>
  <c r="X338" i="16" s="1"/>
  <c r="Y338" i="16" s="1"/>
  <c r="Z338" i="16" s="1"/>
  <c r="AA338" i="16" l="1"/>
  <c r="AB338" i="16" s="1"/>
  <c r="AC338" i="16" s="1"/>
  <c r="N338" i="16"/>
  <c r="T338" i="16"/>
  <c r="U338" i="16" s="1"/>
  <c r="V338" i="16" s="1"/>
  <c r="AP338" i="16"/>
  <c r="AQ338" i="16" s="1"/>
  <c r="AR338" i="16" s="1"/>
  <c r="S338" i="16"/>
  <c r="M338" i="16"/>
  <c r="AI338" i="16"/>
  <c r="AJ338" i="16" s="1"/>
  <c r="AK338" i="16" s="1"/>
  <c r="K340" i="16"/>
  <c r="L339" i="16"/>
  <c r="AA339" i="16" s="1"/>
  <c r="AB339" i="16" s="1"/>
  <c r="AC339" i="16" s="1"/>
  <c r="X339" i="16" l="1"/>
  <c r="Y339" i="16" s="1"/>
  <c r="Z339" i="16" s="1"/>
  <c r="M339" i="16"/>
  <c r="T339" i="16"/>
  <c r="U339" i="16" s="1"/>
  <c r="V339" i="16" s="1"/>
  <c r="S339" i="16"/>
  <c r="AI339" i="16"/>
  <c r="AJ339" i="16" s="1"/>
  <c r="AK339" i="16" s="1"/>
  <c r="N339" i="16"/>
  <c r="AP339" i="16"/>
  <c r="AQ339" i="16" s="1"/>
  <c r="AR339" i="16" s="1"/>
  <c r="K341" i="16"/>
  <c r="L340" i="16"/>
  <c r="AA340" i="16" s="1"/>
  <c r="AB340" i="16" s="1"/>
  <c r="AC340" i="16" s="1"/>
  <c r="S340" i="16" l="1"/>
  <c r="T340" i="16"/>
  <c r="U340" i="16" s="1"/>
  <c r="V340" i="16" s="1"/>
  <c r="AP340" i="16"/>
  <c r="AQ340" i="16" s="1"/>
  <c r="AR340" i="16" s="1"/>
  <c r="AI340" i="16"/>
  <c r="AJ340" i="16" s="1"/>
  <c r="AK340" i="16" s="1"/>
  <c r="M340" i="16"/>
  <c r="K342" i="16"/>
  <c r="L341" i="16"/>
  <c r="T341" i="16" s="1"/>
  <c r="U341" i="16" s="1"/>
  <c r="V341" i="16" s="1"/>
  <c r="X340" i="16"/>
  <c r="Y340" i="16" s="1"/>
  <c r="Z340" i="16" s="1"/>
  <c r="N340" i="16"/>
  <c r="AA341" i="16" l="1"/>
  <c r="AB341" i="16" s="1"/>
  <c r="AC341" i="16" s="1"/>
  <c r="N341" i="16"/>
  <c r="AP341" i="16"/>
  <c r="AQ341" i="16" s="1"/>
  <c r="AR341" i="16" s="1"/>
  <c r="X341" i="16"/>
  <c r="Y341" i="16" s="1"/>
  <c r="Z341" i="16" s="1"/>
  <c r="M341" i="16"/>
  <c r="AI341" i="16"/>
  <c r="AJ341" i="16" s="1"/>
  <c r="AK341" i="16" s="1"/>
  <c r="S341" i="16"/>
  <c r="K343" i="16"/>
  <c r="L342" i="16"/>
  <c r="X342" i="16" s="1"/>
  <c r="Y342" i="16" s="1"/>
  <c r="Z342" i="16" s="1"/>
  <c r="AP342" i="16" l="1"/>
  <c r="AQ342" i="16" s="1"/>
  <c r="AR342" i="16" s="1"/>
  <c r="N342" i="16"/>
  <c r="S342" i="16"/>
  <c r="T342" i="16"/>
  <c r="U342" i="16" s="1"/>
  <c r="V342" i="16" s="1"/>
  <c r="AA342" i="16"/>
  <c r="AB342" i="16" s="1"/>
  <c r="AC342" i="16" s="1"/>
  <c r="AI342" i="16"/>
  <c r="AJ342" i="16" s="1"/>
  <c r="AK342" i="16" s="1"/>
  <c r="M342" i="16"/>
  <c r="K344" i="16"/>
  <c r="L343" i="16"/>
  <c r="X343" i="16" s="1"/>
  <c r="Y343" i="16" s="1"/>
  <c r="Z343" i="16" s="1"/>
  <c r="S343" i="16" l="1"/>
  <c r="AI343" i="16"/>
  <c r="AJ343" i="16" s="1"/>
  <c r="AK343" i="16" s="1"/>
  <c r="AA343" i="16"/>
  <c r="AB343" i="16" s="1"/>
  <c r="AC343" i="16" s="1"/>
  <c r="N343" i="16"/>
  <c r="T343" i="16"/>
  <c r="U343" i="16" s="1"/>
  <c r="V343" i="16" s="1"/>
  <c r="AP343" i="16"/>
  <c r="AQ343" i="16" s="1"/>
  <c r="AR343" i="16" s="1"/>
  <c r="L344" i="16"/>
  <c r="T344" i="16" s="1"/>
  <c r="U344" i="16" s="1"/>
  <c r="V344" i="16" s="1"/>
  <c r="K345" i="16"/>
  <c r="M343" i="16"/>
  <c r="M344" i="16" l="1"/>
  <c r="N344" i="16"/>
  <c r="AA344" i="16"/>
  <c r="AB344" i="16" s="1"/>
  <c r="AC344" i="16" s="1"/>
  <c r="X344" i="16"/>
  <c r="Y344" i="16" s="1"/>
  <c r="Z344" i="16" s="1"/>
  <c r="AP344" i="16"/>
  <c r="AQ344" i="16" s="1"/>
  <c r="AR344" i="16" s="1"/>
  <c r="AI344" i="16"/>
  <c r="AJ344" i="16" s="1"/>
  <c r="AK344" i="16" s="1"/>
  <c r="S344" i="16"/>
  <c r="K346" i="16"/>
  <c r="L345" i="16"/>
  <c r="AP345" i="16" s="1"/>
  <c r="AQ345" i="16" s="1"/>
  <c r="AR345" i="16" s="1"/>
  <c r="S345" i="16" l="1"/>
  <c r="N345" i="16"/>
  <c r="AA345" i="16"/>
  <c r="AB345" i="16" s="1"/>
  <c r="AC345" i="16" s="1"/>
  <c r="M345" i="16"/>
  <c r="T345" i="16"/>
  <c r="U345" i="16" s="1"/>
  <c r="V345" i="16" s="1"/>
  <c r="X345" i="16"/>
  <c r="Y345" i="16" s="1"/>
  <c r="Z345" i="16" s="1"/>
  <c r="AI345" i="16"/>
  <c r="AJ345" i="16" s="1"/>
  <c r="AK345" i="16" s="1"/>
  <c r="K347" i="16"/>
  <c r="L346" i="16"/>
  <c r="AP346" i="16" s="1"/>
  <c r="AQ346" i="16" s="1"/>
  <c r="AR346" i="16" s="1"/>
  <c r="M346" i="16" l="1"/>
  <c r="S346" i="16"/>
  <c r="AI346" i="16"/>
  <c r="AJ346" i="16" s="1"/>
  <c r="AK346" i="16" s="1"/>
  <c r="X346" i="16"/>
  <c r="Y346" i="16" s="1"/>
  <c r="Z346" i="16" s="1"/>
  <c r="T346" i="16"/>
  <c r="U346" i="16" s="1"/>
  <c r="V346" i="16" s="1"/>
  <c r="N346" i="16"/>
  <c r="AA346" i="16"/>
  <c r="AB346" i="16" s="1"/>
  <c r="AC346" i="16" s="1"/>
  <c r="K348" i="16"/>
  <c r="L347" i="16"/>
  <c r="M347" i="16" s="1"/>
  <c r="X347" i="16" l="1"/>
  <c r="Y347" i="16" s="1"/>
  <c r="Z347" i="16" s="1"/>
  <c r="T347" i="16"/>
  <c r="U347" i="16" s="1"/>
  <c r="V347" i="16" s="1"/>
  <c r="AI347" i="16"/>
  <c r="AJ347" i="16" s="1"/>
  <c r="AK347" i="16" s="1"/>
  <c r="N347" i="16"/>
  <c r="AP347" i="16"/>
  <c r="AQ347" i="16" s="1"/>
  <c r="AR347" i="16" s="1"/>
  <c r="S347" i="16"/>
  <c r="AA347" i="16"/>
  <c r="AB347" i="16" s="1"/>
  <c r="AC347" i="16" s="1"/>
  <c r="L348" i="16"/>
  <c r="T348" i="16" s="1"/>
  <c r="U348" i="16" s="1"/>
  <c r="V348" i="16" s="1"/>
  <c r="K349" i="16"/>
  <c r="M348" i="16" l="1"/>
  <c r="N348" i="16"/>
  <c r="AA348" i="16"/>
  <c r="AB348" i="16" s="1"/>
  <c r="AC348" i="16" s="1"/>
  <c r="X348" i="16"/>
  <c r="Y348" i="16" s="1"/>
  <c r="Z348" i="16" s="1"/>
  <c r="AP348" i="16"/>
  <c r="AQ348" i="16" s="1"/>
  <c r="AR348" i="16" s="1"/>
  <c r="S348" i="16"/>
  <c r="AI348" i="16"/>
  <c r="AJ348" i="16" s="1"/>
  <c r="AK348" i="16" s="1"/>
  <c r="K350" i="16"/>
  <c r="L349" i="16"/>
  <c r="S349" i="16" s="1"/>
  <c r="N349" i="16" l="1"/>
  <c r="AA349" i="16"/>
  <c r="AB349" i="16" s="1"/>
  <c r="AC349" i="16" s="1"/>
  <c r="AP349" i="16"/>
  <c r="AQ349" i="16" s="1"/>
  <c r="AR349" i="16" s="1"/>
  <c r="M349" i="16"/>
  <c r="AI349" i="16"/>
  <c r="AJ349" i="16" s="1"/>
  <c r="AK349" i="16" s="1"/>
  <c r="X349" i="16"/>
  <c r="Y349" i="16" s="1"/>
  <c r="Z349" i="16" s="1"/>
  <c r="T349" i="16"/>
  <c r="U349" i="16" s="1"/>
  <c r="V349" i="16" s="1"/>
  <c r="K351" i="16"/>
  <c r="L350" i="16"/>
  <c r="M350" i="16" s="1"/>
  <c r="X350" i="16" l="1"/>
  <c r="Y350" i="16" s="1"/>
  <c r="Z350" i="16" s="1"/>
  <c r="S350" i="16"/>
  <c r="AI350" i="16"/>
  <c r="AJ350" i="16" s="1"/>
  <c r="AK350" i="16" s="1"/>
  <c r="N350" i="16"/>
  <c r="AA350" i="16"/>
  <c r="AB350" i="16" s="1"/>
  <c r="AC350" i="16" s="1"/>
  <c r="AP350" i="16"/>
  <c r="AQ350" i="16" s="1"/>
  <c r="AR350" i="16" s="1"/>
  <c r="T350" i="16"/>
  <c r="U350" i="16" s="1"/>
  <c r="V350" i="16" s="1"/>
  <c r="K352" i="16"/>
  <c r="L351" i="16"/>
  <c r="S351" i="16" s="1"/>
  <c r="AP351" i="16" l="1"/>
  <c r="AQ351" i="16" s="1"/>
  <c r="N351" i="16"/>
  <c r="AA351" i="16"/>
  <c r="AB351" i="16" s="1"/>
  <c r="AC351" i="16" s="1"/>
  <c r="M351" i="16"/>
  <c r="X351" i="16"/>
  <c r="Y351" i="16" s="1"/>
  <c r="Z351" i="16" s="1"/>
  <c r="T351" i="16"/>
  <c r="U351" i="16" s="1"/>
  <c r="V351" i="16" s="1"/>
  <c r="AI351" i="16"/>
  <c r="AJ351" i="16" s="1"/>
  <c r="AK351" i="16" s="1"/>
  <c r="K353" i="16"/>
  <c r="L352" i="16"/>
  <c r="AI352" i="16" s="1"/>
  <c r="AJ352" i="16" s="1"/>
  <c r="AK352" i="16" s="1"/>
  <c r="AR351" i="16"/>
  <c r="N352" i="16" l="1"/>
  <c r="S352" i="16"/>
  <c r="T352" i="16"/>
  <c r="U352" i="16" s="1"/>
  <c r="V352" i="16" s="1"/>
  <c r="M352" i="16"/>
  <c r="X352" i="16"/>
  <c r="Y352" i="16" s="1"/>
  <c r="Z352" i="16" s="1"/>
  <c r="AA352" i="16"/>
  <c r="AB352" i="16" s="1"/>
  <c r="AC352" i="16" s="1"/>
  <c r="AP352" i="16"/>
  <c r="AQ352" i="16" s="1"/>
  <c r="AR352" i="16" s="1"/>
  <c r="K354" i="16"/>
  <c r="L353" i="16"/>
  <c r="S353" i="16" s="1"/>
  <c r="N353" i="16" l="1"/>
  <c r="AP353" i="16"/>
  <c r="AQ353" i="16" s="1"/>
  <c r="AR353" i="16" s="1"/>
  <c r="AA353" i="16"/>
  <c r="AB353" i="16" s="1"/>
  <c r="AC353" i="16" s="1"/>
  <c r="T353" i="16"/>
  <c r="U353" i="16" s="1"/>
  <c r="V353" i="16" s="1"/>
  <c r="AI353" i="16"/>
  <c r="AJ353" i="16" s="1"/>
  <c r="AK353" i="16" s="1"/>
  <c r="M353" i="16"/>
  <c r="X353" i="16"/>
  <c r="Y353" i="16" s="1"/>
  <c r="Z353" i="16" s="1"/>
  <c r="K355" i="16"/>
  <c r="L354" i="16"/>
  <c r="M354" i="16" s="1"/>
  <c r="AI354" i="16" l="1"/>
  <c r="AJ354" i="16" s="1"/>
  <c r="AK354" i="16" s="1"/>
  <c r="X354" i="16"/>
  <c r="Y354" i="16" s="1"/>
  <c r="Z354" i="16" s="1"/>
  <c r="AP354" i="16"/>
  <c r="AQ354" i="16" s="1"/>
  <c r="AR354" i="16" s="1"/>
  <c r="N354" i="16"/>
  <c r="AA354" i="16"/>
  <c r="AB354" i="16" s="1"/>
  <c r="AC354" i="16" s="1"/>
  <c r="S354" i="16"/>
  <c r="T354" i="16"/>
  <c r="U354" i="16" s="1"/>
  <c r="V354" i="16" s="1"/>
  <c r="K356" i="16"/>
  <c r="L355" i="16"/>
  <c r="M355" i="16" s="1"/>
  <c r="N355" i="16" l="1"/>
  <c r="AP355" i="16"/>
  <c r="AQ355" i="16" s="1"/>
  <c r="AR355" i="16" s="1"/>
  <c r="X355" i="16"/>
  <c r="Y355" i="16" s="1"/>
  <c r="Z355" i="16" s="1"/>
  <c r="AA355" i="16"/>
  <c r="AB355" i="16" s="1"/>
  <c r="AC355" i="16" s="1"/>
  <c r="T355" i="16"/>
  <c r="U355" i="16" s="1"/>
  <c r="V355" i="16" s="1"/>
  <c r="AI355" i="16"/>
  <c r="AJ355" i="16" s="1"/>
  <c r="AK355" i="16" s="1"/>
  <c r="S355" i="16"/>
  <c r="K357" i="16"/>
  <c r="L356" i="16"/>
  <c r="AP356" i="16" s="1"/>
  <c r="AQ356" i="16" s="1"/>
  <c r="AR356" i="16" s="1"/>
  <c r="K358" i="16" l="1"/>
  <c r="L357" i="16"/>
  <c r="T357" i="16" s="1"/>
  <c r="U357" i="16" s="1"/>
  <c r="V357" i="16" s="1"/>
  <c r="X356" i="16"/>
  <c r="Y356" i="16" s="1"/>
  <c r="Z356" i="16" s="1"/>
  <c r="M356" i="16"/>
  <c r="N356" i="16"/>
  <c r="T356" i="16"/>
  <c r="U356" i="16" s="1"/>
  <c r="V356" i="16" s="1"/>
  <c r="S356" i="16"/>
  <c r="AA356" i="16"/>
  <c r="AB356" i="16" s="1"/>
  <c r="AC356" i="16" s="1"/>
  <c r="AI356" i="16"/>
  <c r="AJ356" i="16" s="1"/>
  <c r="AK356" i="16" s="1"/>
  <c r="AI357" i="16" l="1"/>
  <c r="AJ357" i="16" s="1"/>
  <c r="AK357" i="16" s="1"/>
  <c r="M357" i="16"/>
  <c r="X357" i="16"/>
  <c r="Y357" i="16" s="1"/>
  <c r="Z357" i="16" s="1"/>
  <c r="N357" i="16"/>
  <c r="AA357" i="16"/>
  <c r="AB357" i="16" s="1"/>
  <c r="AC357" i="16" s="1"/>
  <c r="AP357" i="16"/>
  <c r="AQ357" i="16" s="1"/>
  <c r="AR357" i="16" s="1"/>
  <c r="S357" i="16"/>
  <c r="K359" i="16"/>
  <c r="L358" i="16"/>
  <c r="AP358" i="16" s="1"/>
  <c r="AQ358" i="16" s="1"/>
  <c r="AR358" i="16" s="1"/>
  <c r="M358" i="16" l="1"/>
  <c r="X358" i="16"/>
  <c r="Y358" i="16" s="1"/>
  <c r="Z358" i="16" s="1"/>
  <c r="S358" i="16"/>
  <c r="T358" i="16"/>
  <c r="U358" i="16" s="1"/>
  <c r="V358" i="16" s="1"/>
  <c r="AI358" i="16"/>
  <c r="AJ358" i="16" s="1"/>
  <c r="AK358" i="16" s="1"/>
  <c r="N358" i="16"/>
  <c r="AA358" i="16"/>
  <c r="AB358" i="16" s="1"/>
  <c r="AC358" i="16" s="1"/>
  <c r="K360" i="16"/>
  <c r="L359" i="16"/>
  <c r="AA359" i="16" s="1"/>
  <c r="AB359" i="16" s="1"/>
  <c r="AC359" i="16" s="1"/>
  <c r="AI359" i="16" l="1"/>
  <c r="AJ359" i="16" s="1"/>
  <c r="AK359" i="16" s="1"/>
  <c r="N359" i="16"/>
  <c r="S359" i="16"/>
  <c r="T359" i="16"/>
  <c r="U359" i="16" s="1"/>
  <c r="V359" i="16" s="1"/>
  <c r="M359" i="16"/>
  <c r="AP359" i="16"/>
  <c r="AQ359" i="16" s="1"/>
  <c r="AR359" i="16" s="1"/>
  <c r="X359" i="16"/>
  <c r="Y359" i="16" s="1"/>
  <c r="Z359" i="16" s="1"/>
  <c r="K361" i="16"/>
  <c r="L360" i="16"/>
  <c r="S360" i="16" s="1"/>
  <c r="AI360" i="16" l="1"/>
  <c r="AJ360" i="16" s="1"/>
  <c r="AK360" i="16" s="1"/>
  <c r="AA360" i="16"/>
  <c r="AB360" i="16" s="1"/>
  <c r="AC360" i="16" s="1"/>
  <c r="AP360" i="16"/>
  <c r="AQ360" i="16" s="1"/>
  <c r="AR360" i="16" s="1"/>
  <c r="X360" i="16"/>
  <c r="Y360" i="16" s="1"/>
  <c r="Z360" i="16" s="1"/>
  <c r="T360" i="16"/>
  <c r="U360" i="16" s="1"/>
  <c r="V360" i="16" s="1"/>
  <c r="M360" i="16"/>
  <c r="N360" i="16"/>
  <c r="K362" i="16"/>
  <c r="L361" i="16"/>
  <c r="M361" i="16" s="1"/>
  <c r="E82" i="8"/>
  <c r="Y82" i="8" s="1"/>
  <c r="E77" i="8"/>
  <c r="Y77" i="8" s="1"/>
  <c r="S361" i="16" l="1"/>
  <c r="X361" i="16"/>
  <c r="Y361" i="16" s="1"/>
  <c r="Z361" i="16" s="1"/>
  <c r="N361" i="16"/>
  <c r="AP361" i="16"/>
  <c r="AQ361" i="16" s="1"/>
  <c r="AR361" i="16" s="1"/>
  <c r="T361" i="16"/>
  <c r="U361" i="16" s="1"/>
  <c r="V361" i="16" s="1"/>
  <c r="AA361" i="16"/>
  <c r="AI361" i="16"/>
  <c r="AJ361" i="16" s="1"/>
  <c r="AK361" i="16" s="1"/>
  <c r="K363" i="16"/>
  <c r="L362" i="16"/>
  <c r="S362" i="16" s="1"/>
  <c r="E79" i="8"/>
  <c r="Y79" i="8" s="1"/>
  <c r="E85" i="8"/>
  <c r="Y85" i="8" s="1"/>
  <c r="E80" i="8"/>
  <c r="Y80" i="8" s="1"/>
  <c r="E76" i="8"/>
  <c r="Y76" i="8" s="1"/>
  <c r="E83" i="8"/>
  <c r="Y83" i="8" s="1"/>
  <c r="E81" i="8"/>
  <c r="Y81" i="8" s="1"/>
  <c r="E78" i="8"/>
  <c r="Y78" i="8" s="1"/>
  <c r="E84" i="8"/>
  <c r="Y84" i="8" s="1"/>
  <c r="U74" i="8"/>
  <c r="U81" i="8"/>
  <c r="U75" i="8"/>
  <c r="U79" i="8"/>
  <c r="U78" i="8"/>
  <c r="U77" i="8"/>
  <c r="U85" i="8"/>
  <c r="U84" i="8"/>
  <c r="U82" i="8"/>
  <c r="U76" i="8"/>
  <c r="U83" i="8"/>
  <c r="U80" i="8"/>
  <c r="M362" i="16"/>
  <c r="AP362" i="16"/>
  <c r="AQ362" i="16" s="1"/>
  <c r="AR362" i="16" s="1"/>
  <c r="N362" i="16"/>
  <c r="E67" i="8"/>
  <c r="Y67" i="8" s="1"/>
  <c r="E68" i="8"/>
  <c r="Y68" i="8" s="1"/>
  <c r="E70" i="8"/>
  <c r="Y70" i="8" s="1"/>
  <c r="E69" i="8"/>
  <c r="Y69" i="8" s="1"/>
  <c r="E73" i="8"/>
  <c r="Y73" i="8" s="1"/>
  <c r="E72" i="8"/>
  <c r="Y72" i="8" s="1"/>
  <c r="E71" i="8"/>
  <c r="Y71" i="8" s="1"/>
  <c r="E74" i="8"/>
  <c r="Y74" i="8" s="1"/>
  <c r="E75" i="8"/>
  <c r="Y75" i="8" s="1"/>
  <c r="AB361" i="16"/>
  <c r="AC361" i="16" s="1"/>
  <c r="AA362" i="16" l="1"/>
  <c r="AB362" i="16" s="1"/>
  <c r="AC362" i="16" s="1"/>
  <c r="X362" i="16"/>
  <c r="Y362" i="16" s="1"/>
  <c r="Z362" i="16" s="1"/>
  <c r="T362" i="16"/>
  <c r="U362" i="16" s="1"/>
  <c r="V362" i="16" s="1"/>
  <c r="AI362" i="16"/>
  <c r="AJ362" i="16" s="1"/>
  <c r="AK362" i="16" s="1"/>
  <c r="K364" i="16"/>
  <c r="L363" i="16"/>
  <c r="X363" i="16" s="1"/>
  <c r="Y363" i="16" s="1"/>
  <c r="Z363" i="16" s="1"/>
  <c r="Y9" i="16"/>
  <c r="L38" i="8" s="1"/>
  <c r="E51" i="8" s="1"/>
  <c r="U69" i="8"/>
  <c r="U67" i="8"/>
  <c r="U70" i="8"/>
  <c r="U68" i="8"/>
  <c r="U71" i="8"/>
  <c r="U73" i="8"/>
  <c r="U72" i="8"/>
  <c r="AI363" i="16" l="1"/>
  <c r="AJ363" i="16" s="1"/>
  <c r="M363" i="16"/>
  <c r="M9" i="16" s="1"/>
  <c r="L37" i="8" s="1"/>
  <c r="K37" i="8" s="1"/>
  <c r="S363" i="16"/>
  <c r="AA363" i="16"/>
  <c r="AB363" i="16" s="1"/>
  <c r="AC363" i="16" s="1"/>
  <c r="N363" i="16"/>
  <c r="AP363" i="16"/>
  <c r="AQ363" i="16" s="1"/>
  <c r="AR363" i="16" s="1"/>
  <c r="T363" i="16"/>
  <c r="U363" i="16" s="1"/>
  <c r="V363" i="16" s="1"/>
  <c r="K365" i="16"/>
  <c r="L364" i="16"/>
  <c r="AK363" i="16"/>
  <c r="Q8" i="16"/>
  <c r="AQ9" i="16"/>
  <c r="AJ9" i="16"/>
  <c r="L39" i="8" s="1"/>
  <c r="U9" i="16"/>
  <c r="Q7" i="16"/>
  <c r="E49" i="8" l="1"/>
  <c r="S364" i="16"/>
  <c r="M364" i="16"/>
  <c r="N364" i="16"/>
  <c r="X364" i="16"/>
  <c r="Y364" i="16" s="1"/>
  <c r="Z364" i="16" s="1"/>
  <c r="AI364" i="16"/>
  <c r="AJ364" i="16" s="1"/>
  <c r="AK364" i="16" s="1"/>
  <c r="AP364" i="16"/>
  <c r="AQ364" i="16" s="1"/>
  <c r="AR364" i="16" s="1"/>
  <c r="T364" i="16"/>
  <c r="U364" i="16" s="1"/>
  <c r="V364" i="16" s="1"/>
  <c r="AA364" i="16"/>
  <c r="AB364" i="16" s="1"/>
  <c r="AC364" i="16" s="1"/>
  <c r="K366" i="16"/>
  <c r="L365" i="16"/>
  <c r="E50" i="8"/>
  <c r="U108" i="8"/>
  <c r="AB9" i="16"/>
  <c r="N365" i="16" l="1"/>
  <c r="AI365" i="16"/>
  <c r="AJ365" i="16" s="1"/>
  <c r="AK365" i="16" s="1"/>
  <c r="AA365" i="16"/>
  <c r="AB365" i="16" s="1"/>
  <c r="AC365" i="16" s="1"/>
  <c r="S365" i="16"/>
  <c r="M365" i="16"/>
  <c r="T365" i="16"/>
  <c r="U365" i="16" s="1"/>
  <c r="V365" i="16" s="1"/>
  <c r="AP365" i="16"/>
  <c r="AQ365" i="16" s="1"/>
  <c r="AR365" i="16" s="1"/>
  <c r="X365" i="16"/>
  <c r="Y365" i="16" s="1"/>
  <c r="Z365" i="16" s="1"/>
  <c r="K367" i="16"/>
  <c r="L366" i="16"/>
  <c r="AA366" i="16" l="1"/>
  <c r="AI366" i="16"/>
  <c r="AJ366" i="16" s="1"/>
  <c r="M366" i="16"/>
  <c r="S366" i="16"/>
  <c r="T366" i="16"/>
  <c r="U366" i="16" s="1"/>
  <c r="AP366" i="16"/>
  <c r="AQ366" i="16" s="1"/>
  <c r="X366" i="16"/>
  <c r="Y366" i="16" s="1"/>
  <c r="N366" i="16"/>
  <c r="L367" i="16"/>
  <c r="K368" i="16"/>
  <c r="L368" i="16" s="1"/>
  <c r="AR150" i="16" l="1"/>
  <c r="Z29" i="16"/>
  <c r="N368" i="16"/>
  <c r="AP368" i="16"/>
  <c r="AQ368" i="16" s="1"/>
  <c r="AI368" i="16"/>
  <c r="AJ368" i="16" s="1"/>
  <c r="M368" i="16"/>
  <c r="X368" i="16"/>
  <c r="Y368" i="16" s="1"/>
  <c r="S368" i="16"/>
  <c r="AA368" i="16"/>
  <c r="AB368" i="16" s="1"/>
  <c r="T368" i="16"/>
  <c r="U368" i="16" s="1"/>
  <c r="AA367" i="16"/>
  <c r="AB367" i="16" s="1"/>
  <c r="AC367" i="16" s="1"/>
  <c r="N367" i="16"/>
  <c r="P7" i="16" s="1"/>
  <c r="AI367" i="16"/>
  <c r="AJ367" i="16" s="1"/>
  <c r="AK367" i="16" s="1"/>
  <c r="AP367" i="16"/>
  <c r="AQ367" i="16" s="1"/>
  <c r="AR367" i="16" s="1"/>
  <c r="M367" i="16"/>
  <c r="X367" i="16"/>
  <c r="Y367" i="16" s="1"/>
  <c r="Z367" i="16" s="1"/>
  <c r="T367" i="16"/>
  <c r="U367" i="16" s="1"/>
  <c r="V367" i="16" s="1"/>
  <c r="S367" i="16"/>
  <c r="Z366" i="16"/>
  <c r="Z116" i="16"/>
  <c r="Z102" i="16"/>
  <c r="Z108" i="16"/>
  <c r="Z113" i="16"/>
  <c r="Z53" i="16"/>
  <c r="Z56" i="16"/>
  <c r="Z91" i="16"/>
  <c r="Z60" i="16"/>
  <c r="Z130" i="16"/>
  <c r="Z28" i="16"/>
  <c r="AR366" i="16"/>
  <c r="V366" i="16"/>
  <c r="V108" i="16"/>
  <c r="V156" i="16"/>
  <c r="V65" i="16"/>
  <c r="V64" i="16"/>
  <c r="V136" i="16"/>
  <c r="V177" i="16"/>
  <c r="V144" i="16"/>
  <c r="V34" i="16"/>
  <c r="V59" i="16"/>
  <c r="V104" i="16"/>
  <c r="V148" i="16"/>
  <c r="V16" i="16"/>
  <c r="AK366" i="16"/>
  <c r="AL12" i="16"/>
  <c r="AB366" i="16"/>
  <c r="G120" i="8"/>
  <c r="G121" i="8"/>
  <c r="G119" i="8"/>
  <c r="AK16" i="16" l="1"/>
  <c r="AK21" i="16"/>
  <c r="AK68" i="16"/>
  <c r="AK127" i="16"/>
  <c r="AK138" i="16"/>
  <c r="AK180" i="16"/>
  <c r="AR100" i="16"/>
  <c r="AR185" i="16"/>
  <c r="V102" i="16"/>
  <c r="V117" i="16"/>
  <c r="V162" i="16"/>
  <c r="V186" i="16"/>
  <c r="V190" i="16"/>
  <c r="AC117" i="16"/>
  <c r="AC167" i="16"/>
  <c r="AC186" i="16"/>
  <c r="Z59" i="16"/>
  <c r="Z126" i="16"/>
  <c r="Z155" i="16"/>
  <c r="Z160" i="16"/>
  <c r="Z186" i="16"/>
  <c r="AK22" i="16"/>
  <c r="AK104" i="16"/>
  <c r="AK137" i="16"/>
  <c r="AR34" i="16"/>
  <c r="AR130" i="16"/>
  <c r="V54" i="16"/>
  <c r="V72" i="16"/>
  <c r="V125" i="16"/>
  <c r="AC55" i="16"/>
  <c r="AC114" i="16"/>
  <c r="AC196" i="16"/>
  <c r="V56" i="16"/>
  <c r="Z50" i="16"/>
  <c r="Z55" i="16"/>
  <c r="Z68" i="16"/>
  <c r="Z114" i="16"/>
  <c r="Z128" i="16"/>
  <c r="Z196" i="16"/>
  <c r="V137" i="16"/>
  <c r="V68" i="16"/>
  <c r="AK53" i="16"/>
  <c r="AK66" i="16"/>
  <c r="AK125" i="16"/>
  <c r="V57" i="16"/>
  <c r="AR79" i="16"/>
  <c r="AR139" i="16"/>
  <c r="V53" i="16"/>
  <c r="V28" i="16"/>
  <c r="AK46" i="16"/>
  <c r="AK67" i="16"/>
  <c r="AK85" i="16"/>
  <c r="AK108" i="16"/>
  <c r="AR22" i="16"/>
  <c r="AR61" i="16"/>
  <c r="AR87" i="16"/>
  <c r="V91" i="16"/>
  <c r="V17" i="16"/>
  <c r="V165" i="16"/>
  <c r="V199" i="16"/>
  <c r="AC17" i="16"/>
  <c r="AC50" i="16"/>
  <c r="AC100" i="16"/>
  <c r="Z64" i="16"/>
  <c r="Z96" i="16"/>
  <c r="Z152" i="16"/>
  <c r="Z165" i="16"/>
  <c r="Z164" i="16"/>
  <c r="Z199" i="16"/>
  <c r="AK15" i="16"/>
  <c r="AK75" i="16"/>
  <c r="AK112" i="16"/>
  <c r="AR20" i="16"/>
  <c r="AR116" i="16"/>
  <c r="V41" i="16"/>
  <c r="AC112" i="16"/>
  <c r="AC154" i="16"/>
  <c r="AC153" i="16"/>
  <c r="AC152" i="16"/>
  <c r="AC164" i="16"/>
  <c r="AC201" i="16"/>
  <c r="AC206" i="16"/>
  <c r="V116" i="16"/>
  <c r="Z12" i="16"/>
  <c r="Z14" i="16"/>
  <c r="Z19" i="16"/>
  <c r="Z37" i="16"/>
  <c r="Z88" i="16"/>
  <c r="Z97" i="16"/>
  <c r="Z112" i="16"/>
  <c r="Z154" i="16"/>
  <c r="Z159" i="16"/>
  <c r="V14" i="16"/>
  <c r="V87" i="16"/>
  <c r="V152" i="16"/>
  <c r="V167" i="16"/>
  <c r="V188" i="16"/>
  <c r="V15" i="16"/>
  <c r="AK29" i="16"/>
  <c r="AK41" i="16"/>
  <c r="AK86" i="16"/>
  <c r="AK120" i="16"/>
  <c r="V101" i="16"/>
  <c r="AR52" i="16"/>
  <c r="AR86" i="16"/>
  <c r="AR144" i="16"/>
  <c r="AR156" i="16"/>
  <c r="AR160" i="16"/>
  <c r="AR209" i="16"/>
  <c r="V115" i="16"/>
  <c r="V183" i="16"/>
  <c r="V84" i="16"/>
  <c r="V106" i="16"/>
  <c r="V154" i="16"/>
  <c r="AC99" i="16"/>
  <c r="AC187" i="16"/>
  <c r="V78" i="16"/>
  <c r="V187" i="16"/>
  <c r="V60" i="16"/>
  <c r="Z36" i="16"/>
  <c r="Z43" i="16"/>
  <c r="Z78" i="16"/>
  <c r="Z80" i="16"/>
  <c r="Z99" i="16"/>
  <c r="Z105" i="16"/>
  <c r="Z132" i="16"/>
  <c r="Z166" i="16"/>
  <c r="Z178" i="16"/>
  <c r="Z184" i="16"/>
  <c r="Z191" i="16"/>
  <c r="AK37" i="16"/>
  <c r="AK129" i="16"/>
  <c r="AK134" i="16"/>
  <c r="AK168" i="16"/>
  <c r="AR12" i="16"/>
  <c r="AR21" i="16"/>
  <c r="AR55" i="16"/>
  <c r="AR71" i="16"/>
  <c r="AR123" i="16"/>
  <c r="AR182" i="16"/>
  <c r="AR200" i="16"/>
  <c r="AR198" i="16"/>
  <c r="V113" i="16"/>
  <c r="V119" i="16"/>
  <c r="V127" i="16"/>
  <c r="V130" i="16"/>
  <c r="V25" i="16"/>
  <c r="V49" i="16"/>
  <c r="V134" i="16"/>
  <c r="V161" i="16"/>
  <c r="V166" i="16"/>
  <c r="V170" i="16"/>
  <c r="V191" i="16"/>
  <c r="V201" i="16"/>
  <c r="V209" i="16"/>
  <c r="AC13" i="16"/>
  <c r="AC49" i="16"/>
  <c r="AC78" i="16"/>
  <c r="AC125" i="16"/>
  <c r="AC132" i="16"/>
  <c r="AC161" i="16"/>
  <c r="AC190" i="16"/>
  <c r="AC199" i="16"/>
  <c r="AC209" i="16"/>
  <c r="Z13" i="16"/>
  <c r="Z21" i="16"/>
  <c r="Z25" i="16"/>
  <c r="Z47" i="16"/>
  <c r="Z49" i="16"/>
  <c r="Z67" i="16"/>
  <c r="Z74" i="16"/>
  <c r="Z82" i="16"/>
  <c r="Z121" i="16"/>
  <c r="Z134" i="16"/>
  <c r="Z138" i="16"/>
  <c r="Z168" i="16"/>
  <c r="Z190" i="16"/>
  <c r="Z209" i="16"/>
  <c r="AK38" i="16"/>
  <c r="AK50" i="16"/>
  <c r="AK136" i="16"/>
  <c r="AK166" i="16"/>
  <c r="AR63" i="16"/>
  <c r="AR66" i="16"/>
  <c r="AR96" i="16"/>
  <c r="AR104" i="16"/>
  <c r="AR118" i="16"/>
  <c r="AR136" i="16"/>
  <c r="AR153" i="16"/>
  <c r="AR171" i="16"/>
  <c r="AR186" i="16"/>
  <c r="AR188" i="16"/>
  <c r="Z16" i="16"/>
  <c r="Z26" i="16"/>
  <c r="Z30" i="16"/>
  <c r="Z27" i="16"/>
  <c r="Z38" i="16"/>
  <c r="Z46" i="16"/>
  <c r="Z58" i="16"/>
  <c r="Z85" i="16"/>
  <c r="Z90" i="16"/>
  <c r="Z107" i="16"/>
  <c r="Z110" i="16"/>
  <c r="Z141" i="16"/>
  <c r="Z144" i="16"/>
  <c r="Z149" i="16"/>
  <c r="Z174" i="16"/>
  <c r="Z176" i="16"/>
  <c r="Z175" i="16"/>
  <c r="Z179" i="16"/>
  <c r="Z182" i="16"/>
  <c r="Z192" i="16"/>
  <c r="AK124" i="16"/>
  <c r="AK126" i="16"/>
  <c r="AK132" i="16"/>
  <c r="AK142" i="16"/>
  <c r="AK151" i="16"/>
  <c r="AR13" i="16"/>
  <c r="AR16" i="16"/>
  <c r="AR37" i="16"/>
  <c r="AR54" i="16"/>
  <c r="AR53" i="16"/>
  <c r="AR62" i="16"/>
  <c r="AR73" i="16"/>
  <c r="AR74" i="16"/>
  <c r="AR83" i="16"/>
  <c r="AR88" i="16"/>
  <c r="AR91" i="16"/>
  <c r="AR94" i="16"/>
  <c r="AR97" i="16"/>
  <c r="AR108" i="16"/>
  <c r="AR112" i="16"/>
  <c r="AR119" i="16"/>
  <c r="AR128" i="16"/>
  <c r="AR137" i="16"/>
  <c r="AR151" i="16"/>
  <c r="AR162" i="16"/>
  <c r="V207" i="16"/>
  <c r="V19" i="16"/>
  <c r="V27" i="16"/>
  <c r="V33" i="16"/>
  <c r="V58" i="16"/>
  <c r="V83" i="16"/>
  <c r="V98" i="16"/>
  <c r="V107" i="16"/>
  <c r="V110" i="16"/>
  <c r="V141" i="16"/>
  <c r="V149" i="16"/>
  <c r="V151" i="16"/>
  <c r="V160" i="16"/>
  <c r="V159" i="16"/>
  <c r="V176" i="16"/>
  <c r="V179" i="16"/>
  <c r="V178" i="16"/>
  <c r="V192" i="16"/>
  <c r="V211" i="16"/>
  <c r="AC26" i="16"/>
  <c r="AC27" i="16"/>
  <c r="AC30" i="16"/>
  <c r="AC58" i="16"/>
  <c r="AC107" i="16"/>
  <c r="AC110" i="16"/>
  <c r="AC141" i="16"/>
  <c r="AC144" i="16"/>
  <c r="AC149" i="16"/>
  <c r="AC151" i="16"/>
  <c r="AC160" i="16"/>
  <c r="AC165" i="16"/>
  <c r="AC175" i="16"/>
  <c r="AC176" i="16"/>
  <c r="AC179" i="16"/>
  <c r="AC192" i="16"/>
  <c r="AC211" i="16"/>
  <c r="V50" i="16"/>
  <c r="AK103" i="16"/>
  <c r="AK106" i="16"/>
  <c r="AK121" i="16"/>
  <c r="AK152" i="16"/>
  <c r="AK176" i="16"/>
  <c r="AR15" i="16"/>
  <c r="AR19" i="16"/>
  <c r="AR18" i="16"/>
  <c r="AR26" i="16"/>
  <c r="AR27" i="16"/>
  <c r="AR28" i="16"/>
  <c r="AR36" i="16"/>
  <c r="AR38" i="16"/>
  <c r="AR41" i="16"/>
  <c r="AR39" i="16"/>
  <c r="AR46" i="16"/>
  <c r="AR49" i="16"/>
  <c r="AR48" i="16"/>
  <c r="AR50" i="16"/>
  <c r="AR59" i="16"/>
  <c r="AR64" i="16"/>
  <c r="AR67" i="16"/>
  <c r="AR78" i="16"/>
  <c r="AR82" i="16"/>
  <c r="AR106" i="16"/>
  <c r="AR111" i="16"/>
  <c r="AR121" i="16"/>
  <c r="AR122" i="16"/>
  <c r="AR124" i="16"/>
  <c r="AR125" i="16"/>
  <c r="AR131" i="16"/>
  <c r="AR165" i="16"/>
  <c r="AR164" i="16"/>
  <c r="AR168" i="16"/>
  <c r="Z94" i="16"/>
  <c r="AK42" i="16"/>
  <c r="V88" i="16"/>
  <c r="V208" i="16"/>
  <c r="AR157" i="16"/>
  <c r="Z23" i="16"/>
  <c r="AC180" i="16"/>
  <c r="AC156" i="16"/>
  <c r="AC207" i="16"/>
  <c r="AC87" i="16"/>
  <c r="AC174" i="16"/>
  <c r="AC23" i="16"/>
  <c r="AC182" i="16"/>
  <c r="AC133" i="16"/>
  <c r="AC194" i="16"/>
  <c r="AC86" i="16"/>
  <c r="AC138" i="16"/>
  <c r="AC204" i="16"/>
  <c r="AC168" i="16"/>
  <c r="AC94" i="16"/>
  <c r="AC82" i="16"/>
  <c r="AC33" i="16"/>
  <c r="AC115" i="16"/>
  <c r="AC37" i="16"/>
  <c r="AC127" i="16"/>
  <c r="AC92" i="16"/>
  <c r="AC126" i="16"/>
  <c r="AC21" i="16"/>
  <c r="AC120" i="16"/>
  <c r="AC59" i="16"/>
  <c r="AC67" i="16"/>
  <c r="AC134" i="16"/>
  <c r="AC135" i="16"/>
  <c r="AC121" i="16"/>
  <c r="V120" i="16"/>
  <c r="V74" i="16"/>
  <c r="V30" i="16"/>
  <c r="AR133" i="16"/>
  <c r="Z180" i="16"/>
  <c r="V23" i="16"/>
  <c r="V142" i="16"/>
  <c r="AR134" i="16"/>
  <c r="Z62" i="16"/>
  <c r="Z104" i="16"/>
  <c r="V198" i="16"/>
  <c r="V55" i="16"/>
  <c r="AR132" i="16"/>
  <c r="Z133" i="16"/>
  <c r="Z87" i="16"/>
  <c r="Z31" i="16"/>
  <c r="V94" i="16"/>
  <c r="V138" i="16"/>
  <c r="AR76" i="16"/>
  <c r="Z135" i="16"/>
  <c r="Z92" i="16"/>
  <c r="V21" i="16"/>
  <c r="V133" i="16"/>
  <c r="AR60" i="16"/>
  <c r="Z54" i="16"/>
  <c r="Z207" i="16"/>
  <c r="Z75" i="16"/>
  <c r="V196" i="16"/>
  <c r="V135" i="16"/>
  <c r="AR42" i="16"/>
  <c r="Z127" i="16"/>
  <c r="Z86" i="16"/>
  <c r="AK178" i="16"/>
  <c r="V92" i="16"/>
  <c r="V42" i="16"/>
  <c r="AR211" i="16"/>
  <c r="Z148" i="16"/>
  <c r="Z183" i="16"/>
  <c r="AK150" i="16"/>
  <c r="V180" i="16"/>
  <c r="V206" i="16"/>
  <c r="AR210" i="16"/>
  <c r="Z42" i="16"/>
  <c r="Z79" i="16"/>
  <c r="AK101" i="16"/>
  <c r="V86" i="16"/>
  <c r="V126" i="16"/>
  <c r="AR161" i="16"/>
  <c r="Z120" i="16"/>
  <c r="Z70" i="16"/>
  <c r="AK60" i="16"/>
  <c r="V174" i="16"/>
  <c r="V37" i="16"/>
  <c r="AR158" i="16"/>
  <c r="Z34" i="16"/>
  <c r="Z66" i="16"/>
  <c r="AS12" i="16"/>
  <c r="AS13" i="16" s="1"/>
  <c r="Z22" i="16"/>
  <c r="P10" i="16"/>
  <c r="Q367" i="16" s="1"/>
  <c r="Q10" i="16"/>
  <c r="R367" i="16" s="1"/>
  <c r="Z73" i="16"/>
  <c r="O10" i="16"/>
  <c r="P367" i="16" s="1"/>
  <c r="Z63" i="16"/>
  <c r="Z18" i="16"/>
  <c r="Z41" i="16"/>
  <c r="Z40" i="16"/>
  <c r="Z39" i="16"/>
  <c r="Z51" i="16"/>
  <c r="Z61" i="16"/>
  <c r="Z69" i="16"/>
  <c r="Z83" i="16"/>
  <c r="Z89" i="16"/>
  <c r="Z93" i="16"/>
  <c r="Z111" i="16"/>
  <c r="Z119" i="16"/>
  <c r="Z123" i="16"/>
  <c r="Z124" i="16"/>
  <c r="Z131" i="16"/>
  <c r="Z139" i="16"/>
  <c r="Z140" i="16"/>
  <c r="Z146" i="16"/>
  <c r="Z147" i="16"/>
  <c r="Z163" i="16"/>
  <c r="Z181" i="16"/>
  <c r="Z193" i="16"/>
  <c r="Z195" i="16"/>
  <c r="Z197" i="16"/>
  <c r="Z103" i="16"/>
  <c r="Z98" i="16"/>
  <c r="AK35" i="16"/>
  <c r="AK40" i="16"/>
  <c r="AK77" i="16"/>
  <c r="AK81" i="16"/>
  <c r="AK146" i="16"/>
  <c r="AK167" i="16"/>
  <c r="Z136" i="16"/>
  <c r="AR65" i="16"/>
  <c r="AR105" i="16"/>
  <c r="AR135" i="16"/>
  <c r="AR142" i="16"/>
  <c r="AR184" i="16"/>
  <c r="AR204" i="16"/>
  <c r="AR207" i="16"/>
  <c r="Z173" i="16"/>
  <c r="Z35" i="16"/>
  <c r="V75" i="16"/>
  <c r="V103" i="16"/>
  <c r="V18" i="16"/>
  <c r="V43" i="16"/>
  <c r="V51" i="16"/>
  <c r="V69" i="16"/>
  <c r="V71" i="16"/>
  <c r="V89" i="16"/>
  <c r="V97" i="16"/>
  <c r="V99" i="16"/>
  <c r="V111" i="16"/>
  <c r="V112" i="16"/>
  <c r="V123" i="16"/>
  <c r="V140" i="16"/>
  <c r="V155" i="16"/>
  <c r="V153" i="16"/>
  <c r="V168" i="16"/>
  <c r="V175" i="16"/>
  <c r="V185" i="16"/>
  <c r="V193" i="16"/>
  <c r="V195" i="16"/>
  <c r="V197" i="16"/>
  <c r="V203" i="16"/>
  <c r="V205" i="16"/>
  <c r="V210" i="16"/>
  <c r="V173" i="16"/>
  <c r="V67" i="16"/>
  <c r="AC11" i="16"/>
  <c r="AC18" i="16"/>
  <c r="AC40" i="16"/>
  <c r="AC43" i="16"/>
  <c r="AC41" i="16"/>
  <c r="AC46" i="16"/>
  <c r="AC51" i="16"/>
  <c r="AC83" i="16"/>
  <c r="AC89" i="16"/>
  <c r="AC90" i="16"/>
  <c r="AC97" i="16"/>
  <c r="AC124" i="16"/>
  <c r="AC140" i="16"/>
  <c r="AC142" i="16"/>
  <c r="AC150" i="16"/>
  <c r="AC155" i="16"/>
  <c r="AC178" i="16"/>
  <c r="AC181" i="16"/>
  <c r="AC185" i="16"/>
  <c r="AC193" i="16"/>
  <c r="AC197" i="16"/>
  <c r="AC203" i="16"/>
  <c r="AC205" i="16"/>
  <c r="AC210" i="16"/>
  <c r="V124" i="16"/>
  <c r="V31" i="16"/>
  <c r="V163" i="16"/>
  <c r="V139" i="16"/>
  <c r="V79" i="16"/>
  <c r="V96" i="16"/>
  <c r="V40" i="16"/>
  <c r="V66" i="16"/>
  <c r="AK32" i="16"/>
  <c r="AK43" i="16"/>
  <c r="AK93" i="16"/>
  <c r="AK114" i="16"/>
  <c r="AK117" i="16"/>
  <c r="AK147" i="16"/>
  <c r="AK193" i="16"/>
  <c r="V121" i="16"/>
  <c r="V29" i="16"/>
  <c r="AR14" i="16"/>
  <c r="AR24" i="16"/>
  <c r="AR25" i="16"/>
  <c r="AR30" i="16"/>
  <c r="AR32" i="16"/>
  <c r="AR47" i="16"/>
  <c r="AR58" i="16"/>
  <c r="AR70" i="16"/>
  <c r="AR85" i="16"/>
  <c r="AR89" i="16"/>
  <c r="AR93" i="16"/>
  <c r="AR107" i="16"/>
  <c r="AR110" i="16"/>
  <c r="AR114" i="16"/>
  <c r="AR117" i="16"/>
  <c r="AR120" i="16"/>
  <c r="AR126" i="16"/>
  <c r="AR129" i="16"/>
  <c r="AR145" i="16"/>
  <c r="AR147" i="16"/>
  <c r="AR166" i="16"/>
  <c r="AR179" i="16"/>
  <c r="AR181" i="16"/>
  <c r="AR183" i="16"/>
  <c r="AR193" i="16"/>
  <c r="AR192" i="16"/>
  <c r="AR194" i="16"/>
  <c r="AR197" i="16"/>
  <c r="AR195" i="16"/>
  <c r="AR199" i="16"/>
  <c r="AR208" i="16"/>
  <c r="V73" i="16"/>
  <c r="V63" i="16"/>
  <c r="AC208" i="16"/>
  <c r="AC139" i="16"/>
  <c r="AC183" i="16"/>
  <c r="AC195" i="16"/>
  <c r="AC66" i="16"/>
  <c r="AC103" i="16"/>
  <c r="AC96" i="16"/>
  <c r="AC73" i="16"/>
  <c r="AC22" i="16"/>
  <c r="AC29" i="16"/>
  <c r="AC35" i="16"/>
  <c r="AC163" i="16"/>
  <c r="AC69" i="16"/>
  <c r="AC173" i="16"/>
  <c r="AC98" i="16"/>
  <c r="AC62" i="16"/>
  <c r="AC75" i="16"/>
  <c r="AC31" i="16"/>
  <c r="AC54" i="16"/>
  <c r="AC63" i="16"/>
  <c r="AC16" i="16"/>
  <c r="AC74" i="16"/>
  <c r="AC61" i="16"/>
  <c r="AC70" i="16"/>
  <c r="AC119" i="16"/>
  <c r="AC88" i="16"/>
  <c r="AC128" i="16"/>
  <c r="V35" i="16"/>
  <c r="V90" i="16"/>
  <c r="V61" i="16"/>
  <c r="V146" i="16"/>
  <c r="V62" i="16"/>
  <c r="V22" i="16"/>
  <c r="V114" i="16"/>
  <c r="AR101" i="16"/>
  <c r="V128" i="16"/>
  <c r="V70" i="16"/>
  <c r="AR202" i="16"/>
  <c r="AK44" i="16"/>
  <c r="AK84" i="16"/>
  <c r="AK115" i="16"/>
  <c r="AK169" i="16"/>
  <c r="AR11" i="16"/>
  <c r="AR17" i="16"/>
  <c r="AR23" i="16"/>
  <c r="AR29" i="16"/>
  <c r="AR31" i="16"/>
  <c r="AR33" i="16"/>
  <c r="AR35" i="16"/>
  <c r="AR44" i="16"/>
  <c r="AR43" i="16"/>
  <c r="AR51" i="16"/>
  <c r="AR68" i="16"/>
  <c r="AR69" i="16"/>
  <c r="AR72" i="16"/>
  <c r="AR75" i="16"/>
  <c r="AR80" i="16"/>
  <c r="AR77" i="16"/>
  <c r="AR84" i="16"/>
  <c r="AR90" i="16"/>
  <c r="AR95" i="16"/>
  <c r="AR98" i="16"/>
  <c r="AR102" i="16"/>
  <c r="AR103" i="16"/>
  <c r="AR115" i="16"/>
  <c r="AR127" i="16"/>
  <c r="AR138" i="16"/>
  <c r="AR141" i="16"/>
  <c r="AR146" i="16"/>
  <c r="AR148" i="16"/>
  <c r="AR163" i="16"/>
  <c r="AR167" i="16"/>
  <c r="AR169" i="16"/>
  <c r="AR176" i="16"/>
  <c r="AR177" i="16"/>
  <c r="AR191" i="16"/>
  <c r="AR201" i="16"/>
  <c r="AK173" i="16"/>
  <c r="AR178" i="16"/>
  <c r="AR173" i="16"/>
  <c r="AR143" i="16"/>
  <c r="AR81" i="16"/>
  <c r="Z84" i="16"/>
  <c r="Z115" i="16"/>
  <c r="Z101" i="16"/>
  <c r="O367" i="16"/>
  <c r="AC366" i="16"/>
  <c r="AC113" i="16"/>
  <c r="AC38" i="16"/>
  <c r="AC15" i="16"/>
  <c r="AC108" i="16"/>
  <c r="AC65" i="16"/>
  <c r="AC60" i="16"/>
  <c r="AC28" i="16"/>
  <c r="AC169" i="16"/>
  <c r="AC148" i="16"/>
  <c r="AC42" i="16"/>
  <c r="AC130" i="16"/>
  <c r="AC104" i="16"/>
  <c r="AC101" i="16"/>
  <c r="AC136" i="16"/>
  <c r="AC79" i="16"/>
  <c r="AC116" i="16"/>
  <c r="AC56" i="16"/>
  <c r="AC91" i="16"/>
  <c r="AC32" i="16"/>
  <c r="AC53" i="16"/>
  <c r="AC105" i="16"/>
  <c r="AC84" i="16"/>
  <c r="AC102" i="16"/>
  <c r="AC137" i="16"/>
  <c r="AC34" i="16"/>
  <c r="V12" i="16"/>
  <c r="V11" i="16"/>
  <c r="V13" i="16"/>
  <c r="V20" i="16"/>
  <c r="V24" i="16"/>
  <c r="V26" i="16"/>
  <c r="V32" i="16"/>
  <c r="V36" i="16"/>
  <c r="V39" i="16"/>
  <c r="V38" i="16"/>
  <c r="V44" i="16"/>
  <c r="V45" i="16"/>
  <c r="V48" i="16"/>
  <c r="V46" i="16"/>
  <c r="V47" i="16"/>
  <c r="V52" i="16"/>
  <c r="V77" i="16"/>
  <c r="V76" i="16"/>
  <c r="V80" i="16"/>
  <c r="V81" i="16"/>
  <c r="V82" i="16"/>
  <c r="V85" i="16"/>
  <c r="V93" i="16"/>
  <c r="V95" i="16"/>
  <c r="V100" i="16"/>
  <c r="V105" i="16"/>
  <c r="V109" i="16"/>
  <c r="V118" i="16"/>
  <c r="V122" i="16"/>
  <c r="V129" i="16"/>
  <c r="V131" i="16"/>
  <c r="V132" i="16"/>
  <c r="V143" i="16"/>
  <c r="V145" i="16"/>
  <c r="V147" i="16"/>
  <c r="V150" i="16"/>
  <c r="V158" i="16"/>
  <c r="V157" i="16"/>
  <c r="V164" i="16"/>
  <c r="V169" i="16"/>
  <c r="V171" i="16"/>
  <c r="V172" i="16"/>
  <c r="V181" i="16"/>
  <c r="V184" i="16"/>
  <c r="V189" i="16"/>
  <c r="V200" i="16"/>
  <c r="V202" i="16"/>
  <c r="V368" i="16"/>
  <c r="R255" i="16"/>
  <c r="R77" i="16"/>
  <c r="R193" i="16"/>
  <c r="R300" i="16"/>
  <c r="R58" i="16"/>
  <c r="AC32" i="8"/>
  <c r="R67" i="16"/>
  <c r="R219" i="16"/>
  <c r="R223" i="16"/>
  <c r="R249" i="16"/>
  <c r="R51" i="16"/>
  <c r="R214" i="16"/>
  <c r="R239" i="16"/>
  <c r="R177" i="16"/>
  <c r="R339" i="16"/>
  <c r="R278" i="16"/>
  <c r="R124" i="16"/>
  <c r="R106" i="16"/>
  <c r="R90" i="16"/>
  <c r="R74" i="16"/>
  <c r="R32" i="16"/>
  <c r="R123" i="16"/>
  <c r="R303" i="16"/>
  <c r="R220" i="16"/>
  <c r="R348" i="16"/>
  <c r="R44" i="16"/>
  <c r="R315" i="16"/>
  <c r="R149" i="16"/>
  <c r="R55" i="16"/>
  <c r="R138" i="16"/>
  <c r="R275" i="16"/>
  <c r="R361" i="16"/>
  <c r="R345" i="16"/>
  <c r="R102" i="16"/>
  <c r="R181" i="16"/>
  <c r="R287" i="16"/>
  <c r="R109" i="16"/>
  <c r="R39" i="16"/>
  <c r="R247" i="16"/>
  <c r="R269" i="16"/>
  <c r="R363" i="16"/>
  <c r="R68" i="16"/>
  <c r="R76" i="16"/>
  <c r="R20" i="16"/>
  <c r="R112" i="16"/>
  <c r="R94" i="16"/>
  <c r="R351" i="16"/>
  <c r="R354" i="16"/>
  <c r="R248" i="16"/>
  <c r="R350" i="16"/>
  <c r="R92" i="16"/>
  <c r="R209" i="16"/>
  <c r="R53" i="16"/>
  <c r="R266" i="16"/>
  <c r="R42" i="16"/>
  <c r="R323" i="16"/>
  <c r="R129" i="16"/>
  <c r="R268" i="16"/>
  <c r="R122" i="16"/>
  <c r="R117" i="16"/>
  <c r="R335" i="16"/>
  <c r="R13" i="16"/>
  <c r="R113" i="16"/>
  <c r="R295" i="16"/>
  <c r="R15" i="16"/>
  <c r="R150" i="16"/>
  <c r="R132" i="16"/>
  <c r="R169" i="16"/>
  <c r="R84" i="16"/>
  <c r="R301" i="16"/>
  <c r="R54" i="16"/>
  <c r="R135" i="16"/>
  <c r="R277" i="16"/>
  <c r="R296" i="16"/>
  <c r="R254" i="16"/>
  <c r="R140" i="16"/>
  <c r="R190" i="16"/>
  <c r="R208" i="16"/>
  <c r="R78" i="16"/>
  <c r="R52" i="16"/>
  <c r="R225" i="16"/>
  <c r="R306" i="16"/>
  <c r="R316" i="16"/>
  <c r="R26" i="16"/>
  <c r="R21" i="16"/>
  <c r="R126" i="16"/>
  <c r="R366" i="16"/>
  <c r="R273" i="16"/>
  <c r="R343" i="16"/>
  <c r="R165" i="16"/>
  <c r="R192" i="16"/>
  <c r="R189" i="16"/>
  <c r="R176" i="16"/>
  <c r="R294" i="16"/>
  <c r="R232" i="16"/>
  <c r="R18" i="16"/>
  <c r="R179" i="16"/>
  <c r="R46" i="16"/>
  <c r="R344" i="16"/>
  <c r="R207" i="16"/>
  <c r="R298" i="16"/>
  <c r="R215" i="16"/>
  <c r="R160" i="16"/>
  <c r="R31" i="16"/>
  <c r="R100" i="16"/>
  <c r="R222" i="16"/>
  <c r="R63" i="16"/>
  <c r="R318" i="16"/>
  <c r="R12" i="16"/>
  <c r="R365" i="16"/>
  <c r="R81" i="16"/>
  <c r="R119" i="16"/>
  <c r="R221" i="16"/>
  <c r="R71" i="16"/>
  <c r="R85" i="16"/>
  <c r="R107" i="16"/>
  <c r="R184" i="16"/>
  <c r="R43" i="16"/>
  <c r="R101" i="16"/>
  <c r="R28" i="16"/>
  <c r="R131" i="16"/>
  <c r="R40" i="16"/>
  <c r="R297" i="16"/>
  <c r="R162" i="16"/>
  <c r="R358" i="16"/>
  <c r="R153" i="16"/>
  <c r="R245" i="16"/>
  <c r="R321" i="16"/>
  <c r="R75" i="16"/>
  <c r="R186" i="16"/>
  <c r="R334" i="16"/>
  <c r="R166" i="16"/>
  <c r="R241" i="16"/>
  <c r="R202" i="16"/>
  <c r="R349" i="16"/>
  <c r="R60" i="16"/>
  <c r="R229" i="16"/>
  <c r="R265" i="16"/>
  <c r="R314" i="16"/>
  <c r="R280" i="16"/>
  <c r="R145" i="16"/>
  <c r="R347" i="16"/>
  <c r="R224" i="16"/>
  <c r="R22" i="16"/>
  <c r="R91" i="16"/>
  <c r="R82" i="16"/>
  <c r="R168" i="16"/>
  <c r="R118" i="16"/>
  <c r="R120" i="16"/>
  <c r="R244" i="16"/>
  <c r="R57" i="16"/>
  <c r="R262" i="16"/>
  <c r="R311" i="16"/>
  <c r="R61" i="16"/>
  <c r="R330" i="16"/>
  <c r="R256" i="16"/>
  <c r="R30" i="16"/>
  <c r="R105" i="16"/>
  <c r="R322" i="16"/>
  <c r="R337" i="16"/>
  <c r="R137" i="16"/>
  <c r="R33" i="16"/>
  <c r="R108" i="16"/>
  <c r="R257" i="16"/>
  <c r="R293" i="16"/>
  <c r="R205" i="16"/>
  <c r="R325" i="16"/>
  <c r="R328" i="16"/>
  <c r="R281" i="16"/>
  <c r="R97" i="16"/>
  <c r="R114" i="16"/>
  <c r="R98" i="16"/>
  <c r="R16" i="16"/>
  <c r="R23" i="16"/>
  <c r="R213" i="16"/>
  <c r="R70" i="16"/>
  <c r="R341" i="16"/>
  <c r="R292" i="16"/>
  <c r="R195" i="16"/>
  <c r="R237" i="16"/>
  <c r="R212" i="16"/>
  <c r="R230" i="16"/>
  <c r="R304" i="16"/>
  <c r="R146" i="16"/>
  <c r="R211" i="16"/>
  <c r="R155" i="16"/>
  <c r="R309" i="16"/>
  <c r="R264" i="16"/>
  <c r="R227" i="16"/>
  <c r="R185" i="16"/>
  <c r="R353" i="16"/>
  <c r="R276" i="16"/>
  <c r="R111" i="16"/>
  <c r="R236" i="16"/>
  <c r="R163" i="16"/>
  <c r="R200" i="16"/>
  <c r="R64" i="16"/>
  <c r="R72" i="16"/>
  <c r="R80" i="16"/>
  <c r="R66" i="16"/>
  <c r="R37" i="16"/>
  <c r="R27" i="16"/>
  <c r="R340" i="16"/>
  <c r="R259" i="16"/>
  <c r="R157" i="16"/>
  <c r="R174" i="16"/>
  <c r="R164" i="16"/>
  <c r="R142" i="16"/>
  <c r="R352" i="16"/>
  <c r="R50" i="16"/>
  <c r="R271" i="16"/>
  <c r="R141" i="16"/>
  <c r="R338" i="16"/>
  <c r="R279" i="16"/>
  <c r="R125" i="16"/>
  <c r="R290" i="16"/>
  <c r="R272" i="16"/>
  <c r="R242" i="16"/>
  <c r="R324" i="16"/>
  <c r="R226" i="16"/>
  <c r="R282" i="16"/>
  <c r="R284" i="16"/>
  <c r="R289" i="16"/>
  <c r="R115" i="16"/>
  <c r="R136" i="16"/>
  <c r="R326" i="16"/>
  <c r="R24" i="16"/>
  <c r="R139" i="16"/>
  <c r="R36" i="16"/>
  <c r="R154" i="16"/>
  <c r="R270" i="16"/>
  <c r="R307" i="16"/>
  <c r="R69" i="16"/>
  <c r="R201" i="16"/>
  <c r="R83" i="16"/>
  <c r="R342" i="16"/>
  <c r="R48" i="16"/>
  <c r="R319" i="16"/>
  <c r="R45" i="16"/>
  <c r="R47" i="16"/>
  <c r="R360" i="16"/>
  <c r="R327" i="16"/>
  <c r="R29" i="16"/>
  <c r="R274" i="16"/>
  <c r="R320" i="16"/>
  <c r="R95" i="16"/>
  <c r="R167" i="16"/>
  <c r="R261" i="16"/>
  <c r="R332" i="16"/>
  <c r="R240" i="16"/>
  <c r="R38" i="16"/>
  <c r="R87" i="16"/>
  <c r="R173" i="16"/>
  <c r="R133" i="16"/>
  <c r="R88" i="16"/>
  <c r="R134" i="16"/>
  <c r="R116" i="16"/>
  <c r="R253" i="16"/>
  <c r="R355" i="16"/>
  <c r="R216" i="16"/>
  <c r="R313" i="16"/>
  <c r="R62" i="16"/>
  <c r="R89" i="16"/>
  <c r="R246" i="16"/>
  <c r="R96" i="16"/>
  <c r="R217" i="16"/>
  <c r="R204" i="16"/>
  <c r="R194" i="16"/>
  <c r="R233" i="16"/>
  <c r="R196" i="16"/>
  <c r="R79" i="16"/>
  <c r="R310" i="16"/>
  <c r="R218" i="16"/>
  <c r="R317" i="16"/>
  <c r="R243" i="16"/>
  <c r="R127" i="16"/>
  <c r="R250" i="16"/>
  <c r="R288" i="16"/>
  <c r="R130" i="16"/>
  <c r="R180" i="16"/>
  <c r="R172" i="16"/>
  <c r="R362" i="16"/>
  <c r="R86" i="16"/>
  <c r="R285" i="16"/>
  <c r="R191" i="16"/>
  <c r="R161" i="16"/>
  <c r="R158" i="16"/>
  <c r="R258" i="16"/>
  <c r="R252" i="16"/>
  <c r="R11" i="16"/>
  <c r="R187" i="16"/>
  <c r="R144" i="16"/>
  <c r="R206" i="16"/>
  <c r="R156" i="16"/>
  <c r="R121" i="16"/>
  <c r="R357" i="16"/>
  <c r="R17" i="16"/>
  <c r="R147" i="16"/>
  <c r="R210" i="16"/>
  <c r="R333" i="16"/>
  <c r="R159" i="16"/>
  <c r="R291" i="16"/>
  <c r="R234" i="16"/>
  <c r="R171" i="16"/>
  <c r="R336" i="16"/>
  <c r="R56" i="16"/>
  <c r="R99" i="16"/>
  <c r="R59" i="16"/>
  <c r="R35" i="16"/>
  <c r="R286" i="16"/>
  <c r="R19" i="16"/>
  <c r="R228" i="16"/>
  <c r="AC12" i="16"/>
  <c r="AC14" i="16"/>
  <c r="AC19" i="16"/>
  <c r="AC20" i="16"/>
  <c r="AC24" i="16"/>
  <c r="AC25" i="16"/>
  <c r="AC36" i="16"/>
  <c r="AC39" i="16"/>
  <c r="AC44" i="16"/>
  <c r="AC45" i="16"/>
  <c r="AC47" i="16"/>
  <c r="AC48" i="16"/>
  <c r="AC52" i="16"/>
  <c r="AC57" i="16"/>
  <c r="AC64" i="16"/>
  <c r="AC68" i="16"/>
  <c r="AC71" i="16"/>
  <c r="AC72" i="16"/>
  <c r="AC77" i="16"/>
  <c r="AC76" i="16"/>
  <c r="AC80" i="16"/>
  <c r="AC81" i="16"/>
  <c r="AC85" i="16"/>
  <c r="AC93" i="16"/>
  <c r="AC95" i="16"/>
  <c r="AC106" i="16"/>
  <c r="AC111" i="16"/>
  <c r="AC109" i="16"/>
  <c r="AC118" i="16"/>
  <c r="AC122" i="16"/>
  <c r="AC123" i="16"/>
  <c r="AC129" i="16"/>
  <c r="AC131" i="16"/>
  <c r="AC143" i="16"/>
  <c r="AC145" i="16"/>
  <c r="AC146" i="16"/>
  <c r="AC147" i="16"/>
  <c r="AC157" i="16"/>
  <c r="AC158" i="16"/>
  <c r="AC159" i="16"/>
  <c r="AC162" i="16"/>
  <c r="AC166" i="16"/>
  <c r="AC171" i="16"/>
  <c r="AC170" i="16"/>
  <c r="AC172" i="16"/>
  <c r="AC177" i="16"/>
  <c r="AC184" i="16"/>
  <c r="AC191" i="16"/>
  <c r="AC200" i="16"/>
  <c r="AC202" i="16"/>
  <c r="AC368" i="16"/>
  <c r="O361" i="16"/>
  <c r="O217" i="16"/>
  <c r="O324" i="16"/>
  <c r="O294" i="16"/>
  <c r="O225" i="16"/>
  <c r="O212" i="16"/>
  <c r="O362" i="16"/>
  <c r="O358" i="16"/>
  <c r="O272" i="16"/>
  <c r="O247" i="16"/>
  <c r="O291" i="16"/>
  <c r="O329" i="16"/>
  <c r="O244" i="16"/>
  <c r="O332" i="16"/>
  <c r="O320" i="16"/>
  <c r="O233" i="16"/>
  <c r="O273" i="16"/>
  <c r="O227" i="16"/>
  <c r="O215" i="16"/>
  <c r="O218" i="16"/>
  <c r="O359" i="16"/>
  <c r="O260" i="16"/>
  <c r="O258" i="16"/>
  <c r="O245" i="16"/>
  <c r="O322" i="16"/>
  <c r="O347" i="16"/>
  <c r="O325" i="16"/>
  <c r="O292" i="16"/>
  <c r="O365" i="16"/>
  <c r="O309" i="16"/>
  <c r="O328" i="16"/>
  <c r="O211" i="16"/>
  <c r="O263" i="16"/>
  <c r="O210" i="16"/>
  <c r="O269" i="16"/>
  <c r="O308" i="16"/>
  <c r="O216" i="16"/>
  <c r="O254" i="16"/>
  <c r="O313" i="16"/>
  <c r="O240" i="16"/>
  <c r="O346" i="16"/>
  <c r="O213" i="16"/>
  <c r="O301" i="16"/>
  <c r="O226" i="16"/>
  <c r="O337" i="16"/>
  <c r="O363" i="16"/>
  <c r="O259" i="16"/>
  <c r="O357" i="16"/>
  <c r="O311" i="16"/>
  <c r="O256" i="16"/>
  <c r="O336" i="16"/>
  <c r="O333" i="16"/>
  <c r="O288" i="16"/>
  <c r="O205" i="16"/>
  <c r="O338" i="16"/>
  <c r="O307" i="16"/>
  <c r="O250" i="16"/>
  <c r="O355" i="16"/>
  <c r="O304" i="16"/>
  <c r="O261" i="16"/>
  <c r="O323" i="16"/>
  <c r="O231" i="16"/>
  <c r="O246" i="16"/>
  <c r="O306" i="16"/>
  <c r="O228" i="16"/>
  <c r="O326" i="16"/>
  <c r="O232" i="16"/>
  <c r="O360" i="16"/>
  <c r="O356" i="16"/>
  <c r="O302" i="16"/>
  <c r="O281" i="16"/>
  <c r="O282" i="16"/>
  <c r="O208" i="16"/>
  <c r="O219" i="16"/>
  <c r="O285" i="16"/>
  <c r="O270" i="16"/>
  <c r="O257" i="16"/>
  <c r="O279" i="16"/>
  <c r="O249" i="16"/>
  <c r="O276" i="16"/>
  <c r="O265" i="16"/>
  <c r="O280" i="16"/>
  <c r="O297" i="16"/>
  <c r="O236" i="16"/>
  <c r="O206" i="16"/>
  <c r="O266" i="16"/>
  <c r="O366" i="16"/>
  <c r="O353" i="16"/>
  <c r="O350" i="16"/>
  <c r="O204" i="16"/>
  <c r="O271" i="16"/>
  <c r="O267" i="16"/>
  <c r="O223" i="16"/>
  <c r="O298" i="16"/>
  <c r="O251" i="16"/>
  <c r="O235" i="16"/>
  <c r="O237" i="16"/>
  <c r="O330" i="16"/>
  <c r="O229" i="16"/>
  <c r="O340" i="16"/>
  <c r="O341" i="16"/>
  <c r="O284" i="16"/>
  <c r="O310" i="16"/>
  <c r="O241" i="16"/>
  <c r="O354" i="16"/>
  <c r="O277" i="16"/>
  <c r="O351" i="16"/>
  <c r="O252" i="16"/>
  <c r="O264" i="16"/>
  <c r="O327" i="16"/>
  <c r="O262" i="16"/>
  <c r="O209" i="16"/>
  <c r="O283" i="16"/>
  <c r="O221" i="16"/>
  <c r="O344" i="16"/>
  <c r="O345" i="16"/>
  <c r="O248" i="16"/>
  <c r="O315" i="16"/>
  <c r="O293" i="16"/>
  <c r="O300" i="16"/>
  <c r="O278" i="16"/>
  <c r="O321" i="16"/>
  <c r="O343" i="16"/>
  <c r="O274" i="16"/>
  <c r="O234" i="16"/>
  <c r="O331" i="16"/>
  <c r="O352" i="16"/>
  <c r="O334" i="16"/>
  <c r="O299" i="16"/>
  <c r="O303" i="16"/>
  <c r="O305" i="16"/>
  <c r="O317" i="16"/>
  <c r="O296" i="16"/>
  <c r="O275" i="16"/>
  <c r="O289" i="16"/>
  <c r="O220" i="16"/>
  <c r="O239" i="16"/>
  <c r="O238" i="16"/>
  <c r="O230" i="16"/>
  <c r="O319" i="16"/>
  <c r="O203" i="16"/>
  <c r="O342" i="16"/>
  <c r="O268" i="16"/>
  <c r="O290" i="16"/>
  <c r="O335" i="16"/>
  <c r="O222" i="16"/>
  <c r="O295" i="16"/>
  <c r="O364" i="16"/>
  <c r="O312" i="16"/>
  <c r="O286" i="16"/>
  <c r="O349" i="16"/>
  <c r="O242" i="16"/>
  <c r="O253" i="16"/>
  <c r="O316" i="16"/>
  <c r="O224" i="16"/>
  <c r="O339" i="16"/>
  <c r="O287" i="16"/>
  <c r="O243" i="16"/>
  <c r="O318" i="16"/>
  <c r="O207" i="16"/>
  <c r="O348" i="16"/>
  <c r="O255" i="16"/>
  <c r="O214" i="16"/>
  <c r="O314" i="16"/>
  <c r="Z15" i="16"/>
  <c r="Z20" i="16"/>
  <c r="Z24" i="16"/>
  <c r="Z32" i="16"/>
  <c r="Z44" i="16"/>
  <c r="Z45" i="16"/>
  <c r="Z48" i="16"/>
  <c r="Z52" i="16"/>
  <c r="Z57" i="16"/>
  <c r="Z65" i="16"/>
  <c r="Z72" i="16"/>
  <c r="Z71" i="16"/>
  <c r="Z76" i="16"/>
  <c r="Z77" i="16"/>
  <c r="Z81" i="16"/>
  <c r="Z95" i="16"/>
  <c r="Z106" i="16"/>
  <c r="Z109" i="16"/>
  <c r="Z118" i="16"/>
  <c r="Z122" i="16"/>
  <c r="Z129" i="16"/>
  <c r="Z137" i="16"/>
  <c r="Z143" i="16"/>
  <c r="Z145" i="16"/>
  <c r="Z157" i="16"/>
  <c r="Z158" i="16"/>
  <c r="Z169" i="16"/>
  <c r="Z171" i="16"/>
  <c r="Z172" i="16"/>
  <c r="Z177" i="16"/>
  <c r="Z202" i="16"/>
  <c r="Z368" i="16"/>
  <c r="AL13" i="16"/>
  <c r="B93" i="8"/>
  <c r="AK45" i="16"/>
  <c r="AK57" i="16"/>
  <c r="AK92" i="16"/>
  <c r="AK109" i="16"/>
  <c r="AK113" i="16"/>
  <c r="Q39" i="8" s="1"/>
  <c r="K39" i="8" s="1"/>
  <c r="AK154" i="16"/>
  <c r="AK368" i="16"/>
  <c r="AR40" i="16"/>
  <c r="AR45" i="16"/>
  <c r="AR57" i="16"/>
  <c r="AR56" i="16"/>
  <c r="AR92" i="16"/>
  <c r="AR99" i="16"/>
  <c r="AR109" i="16"/>
  <c r="AR113" i="16"/>
  <c r="AR140" i="16"/>
  <c r="AR152" i="16"/>
  <c r="AR155" i="16"/>
  <c r="AR154" i="16"/>
  <c r="AR170" i="16"/>
  <c r="AR174" i="16"/>
  <c r="AR180" i="16"/>
  <c r="AR187" i="16"/>
  <c r="AR190" i="16"/>
  <c r="AR196" i="16"/>
  <c r="AR368" i="16"/>
  <c r="O368" i="16"/>
  <c r="R368" i="16"/>
  <c r="R182" i="16" l="1"/>
  <c r="R203" i="16"/>
  <c r="R188" i="16"/>
  <c r="R364" i="16"/>
  <c r="R41" i="16"/>
  <c r="R302" i="16"/>
  <c r="R178" i="16"/>
  <c r="R128" i="16"/>
  <c r="R312" i="16"/>
  <c r="R198" i="16"/>
  <c r="R346" i="16"/>
  <c r="R359" i="16"/>
  <c r="R103" i="16"/>
  <c r="R238" i="16"/>
  <c r="R104" i="16"/>
  <c r="R49" i="16"/>
  <c r="R263" i="16"/>
  <c r="R299" i="16"/>
  <c r="R356" i="16"/>
  <c r="R34" i="16"/>
  <c r="R331" i="16"/>
  <c r="R73" i="16"/>
  <c r="R183" i="16"/>
  <c r="R260" i="16"/>
  <c r="R152" i="16"/>
  <c r="R235" i="16"/>
  <c r="R110" i="16"/>
  <c r="R143" i="16"/>
  <c r="R231" i="16"/>
  <c r="R305" i="16"/>
  <c r="R175" i="16"/>
  <c r="R65" i="16"/>
  <c r="R267" i="16"/>
  <c r="R14" i="16"/>
  <c r="R199" i="16"/>
  <c r="R251" i="16"/>
  <c r="R308" i="16"/>
  <c r="R148" i="16"/>
  <c r="R283" i="16"/>
  <c r="R170" i="16"/>
  <c r="R25" i="16"/>
  <c r="R329" i="16"/>
  <c r="R93" i="16"/>
  <c r="R151" i="16"/>
  <c r="R197" i="16"/>
  <c r="P16" i="16"/>
  <c r="O56" i="16"/>
  <c r="O22" i="16"/>
  <c r="O73" i="16"/>
  <c r="O49" i="16"/>
  <c r="O191" i="16"/>
  <c r="O143" i="16"/>
  <c r="O181" i="16"/>
  <c r="O124" i="16"/>
  <c r="O105" i="16"/>
  <c r="O127" i="16"/>
  <c r="O62" i="16"/>
  <c r="O82" i="16"/>
  <c r="O137" i="16"/>
  <c r="O189" i="16"/>
  <c r="O11" i="16"/>
  <c r="O74" i="16"/>
  <c r="O133" i="16"/>
  <c r="O177" i="16"/>
  <c r="P132" i="16"/>
  <c r="P241" i="16"/>
  <c r="P35" i="16"/>
  <c r="P229" i="16"/>
  <c r="P231" i="16"/>
  <c r="P237" i="16"/>
  <c r="P252" i="16"/>
  <c r="P18" i="16"/>
  <c r="P287" i="16"/>
  <c r="P329" i="16"/>
  <c r="P238" i="16"/>
  <c r="P239" i="16"/>
  <c r="P311" i="16"/>
  <c r="P348" i="16"/>
  <c r="P331" i="16"/>
  <c r="P306" i="16"/>
  <c r="P28" i="16"/>
  <c r="P213" i="16"/>
  <c r="Q38" i="8"/>
  <c r="K38" i="8" s="1"/>
  <c r="O196" i="16"/>
  <c r="O86" i="16"/>
  <c r="O52" i="16"/>
  <c r="O200" i="16"/>
  <c r="O21" i="16"/>
  <c r="O88" i="16"/>
  <c r="O39" i="16"/>
  <c r="P187" i="16"/>
  <c r="P40" i="16"/>
  <c r="P328" i="16"/>
  <c r="P59" i="16"/>
  <c r="P17" i="16"/>
  <c r="O96" i="16"/>
  <c r="O72" i="16"/>
  <c r="O26" i="16"/>
  <c r="O142" i="16"/>
  <c r="O71" i="16"/>
  <c r="O23" i="16"/>
  <c r="O118" i="16"/>
  <c r="O166" i="16"/>
  <c r="O202" i="16"/>
  <c r="O18" i="16"/>
  <c r="O121" i="16"/>
  <c r="O89" i="16"/>
  <c r="O180" i="16"/>
  <c r="O34" i="16"/>
  <c r="O84" i="16"/>
  <c r="O144" i="16"/>
  <c r="O120" i="16"/>
  <c r="P301" i="16"/>
  <c r="P335" i="16"/>
  <c r="P24" i="16"/>
  <c r="P39" i="16"/>
  <c r="P245" i="16"/>
  <c r="P222" i="16"/>
  <c r="P56" i="16"/>
  <c r="P230" i="16"/>
  <c r="P262" i="16"/>
  <c r="P336" i="16"/>
  <c r="P264" i="16"/>
  <c r="P358" i="16"/>
  <c r="P317" i="16"/>
  <c r="P366" i="16"/>
  <c r="P25" i="16"/>
  <c r="P296" i="16"/>
  <c r="P12" i="16"/>
  <c r="P341" i="16"/>
  <c r="O134" i="16"/>
  <c r="O112" i="16"/>
  <c r="P362" i="16"/>
  <c r="P21" i="16"/>
  <c r="P19" i="16"/>
  <c r="P249" i="16"/>
  <c r="P50" i="16"/>
  <c r="P52" i="16"/>
  <c r="O27" i="16"/>
  <c r="O60" i="16"/>
  <c r="O169" i="16"/>
  <c r="O145" i="16"/>
  <c r="O41" i="16"/>
  <c r="P284" i="16"/>
  <c r="P61" i="16"/>
  <c r="P361" i="16"/>
  <c r="P283" i="16"/>
  <c r="P333" i="16"/>
  <c r="P217" i="16"/>
  <c r="P251" i="16"/>
  <c r="P258" i="16"/>
  <c r="P279" i="16"/>
  <c r="P299" i="16"/>
  <c r="O126" i="16"/>
  <c r="O25" i="16"/>
  <c r="O175" i="16"/>
  <c r="O20" i="16"/>
  <c r="O79" i="16"/>
  <c r="O91" i="16"/>
  <c r="P290" i="16"/>
  <c r="P291" i="16"/>
  <c r="P15" i="16"/>
  <c r="P339" i="16"/>
  <c r="P365" i="16"/>
  <c r="P271" i="16"/>
  <c r="O164" i="16"/>
  <c r="O176" i="16"/>
  <c r="O128" i="16"/>
  <c r="O93" i="16"/>
  <c r="O161" i="16"/>
  <c r="O152" i="16"/>
  <c r="O188" i="16"/>
  <c r="O117" i="16"/>
  <c r="O92" i="16"/>
  <c r="O30" i="16"/>
  <c r="P320" i="16"/>
  <c r="P31" i="16"/>
  <c r="P295" i="16"/>
  <c r="P261" i="16"/>
  <c r="P55" i="16"/>
  <c r="P269" i="16"/>
  <c r="P234" i="16"/>
  <c r="P307" i="16"/>
  <c r="P20" i="16"/>
  <c r="P302" i="16"/>
  <c r="P11" i="16"/>
  <c r="P228" i="16"/>
  <c r="P338" i="16"/>
  <c r="O19" i="16"/>
  <c r="O50" i="16"/>
  <c r="O99" i="16"/>
  <c r="O78" i="16"/>
  <c r="O81" i="16"/>
  <c r="O76" i="16"/>
  <c r="O146" i="16"/>
  <c r="O45" i="16"/>
  <c r="O113" i="16"/>
  <c r="O13" i="16"/>
  <c r="O42" i="16"/>
  <c r="O163" i="16"/>
  <c r="O153" i="16"/>
  <c r="P354" i="16"/>
  <c r="P275" i="16"/>
  <c r="P60" i="16"/>
  <c r="P266" i="16"/>
  <c r="P337" i="16"/>
  <c r="P312" i="16"/>
  <c r="P243" i="16"/>
  <c r="P355" i="16"/>
  <c r="P272" i="16"/>
  <c r="P286" i="16"/>
  <c r="P22" i="16"/>
  <c r="P268" i="16"/>
  <c r="P300" i="16"/>
  <c r="P357" i="16"/>
  <c r="P340" i="16"/>
  <c r="P26" i="16"/>
  <c r="P244" i="16"/>
  <c r="P242" i="16"/>
  <c r="O155" i="16"/>
  <c r="O172" i="16"/>
  <c r="O15" i="16"/>
  <c r="P304" i="16"/>
  <c r="O103" i="16"/>
  <c r="O165" i="16"/>
  <c r="O197" i="16"/>
  <c r="P288" i="16"/>
  <c r="O38" i="16"/>
  <c r="O148" i="16"/>
  <c r="O173" i="16"/>
  <c r="O83" i="16"/>
  <c r="O183" i="16"/>
  <c r="O136" i="16"/>
  <c r="O87" i="16"/>
  <c r="O198" i="16"/>
  <c r="O40" i="16"/>
  <c r="O64" i="16"/>
  <c r="P83" i="16"/>
  <c r="P273" i="16"/>
  <c r="P327" i="16"/>
  <c r="P23" i="16"/>
  <c r="P350" i="16"/>
  <c r="P30" i="16"/>
  <c r="P303" i="16"/>
  <c r="P313" i="16"/>
  <c r="P223" i="16"/>
  <c r="P346" i="16"/>
  <c r="P54" i="16"/>
  <c r="P34" i="16"/>
  <c r="P216" i="16"/>
  <c r="P316" i="16"/>
  <c r="P285" i="16"/>
  <c r="P254" i="16"/>
  <c r="P57" i="16"/>
  <c r="P293" i="16"/>
  <c r="O58" i="16"/>
  <c r="O55" i="16"/>
  <c r="O54" i="16"/>
  <c r="O75" i="16"/>
  <c r="O66" i="16"/>
  <c r="O114" i="16"/>
  <c r="P274" i="16"/>
  <c r="O16" i="16"/>
  <c r="O51" i="16"/>
  <c r="O107" i="16"/>
  <c r="O156" i="16"/>
  <c r="O63" i="16"/>
  <c r="O160" i="16"/>
  <c r="P359" i="16"/>
  <c r="P368" i="16"/>
  <c r="O130" i="16"/>
  <c r="O138" i="16"/>
  <c r="O185" i="16"/>
  <c r="O95" i="16"/>
  <c r="O131" i="16"/>
  <c r="O101" i="16"/>
  <c r="O53" i="16"/>
  <c r="O37" i="16"/>
  <c r="O187" i="16"/>
  <c r="O194" i="16"/>
  <c r="O77" i="16"/>
  <c r="O158" i="16"/>
  <c r="O106" i="16"/>
  <c r="O29" i="16"/>
  <c r="O151" i="16"/>
  <c r="P263" i="16"/>
  <c r="P256" i="16"/>
  <c r="P47" i="16"/>
  <c r="P42" i="16"/>
  <c r="P294" i="16"/>
  <c r="P221" i="16"/>
  <c r="P255" i="16"/>
  <c r="P151" i="16"/>
  <c r="P175" i="16"/>
  <c r="P84" i="16"/>
  <c r="P14" i="16"/>
  <c r="P310" i="16"/>
  <c r="P33" i="16"/>
  <c r="P253" i="16"/>
  <c r="P298" i="16"/>
  <c r="P46" i="16"/>
  <c r="P260" i="16"/>
  <c r="P232" i="16"/>
  <c r="P240" i="16"/>
  <c r="O178" i="16"/>
  <c r="O94" i="16"/>
  <c r="O159" i="16"/>
  <c r="O46" i="16"/>
  <c r="O119" i="16"/>
  <c r="O48" i="16"/>
  <c r="O24" i="16"/>
  <c r="O90" i="16"/>
  <c r="O70" i="16"/>
  <c r="O97" i="16"/>
  <c r="O47" i="16"/>
  <c r="O150" i="16"/>
  <c r="O123" i="16"/>
  <c r="O35" i="16"/>
  <c r="O132" i="16"/>
  <c r="O192" i="16"/>
  <c r="O168" i="16"/>
  <c r="O33" i="16"/>
  <c r="O36" i="16"/>
  <c r="O167" i="16"/>
  <c r="P309" i="16"/>
  <c r="P351" i="16"/>
  <c r="P344" i="16"/>
  <c r="P212" i="16"/>
  <c r="P270" i="16"/>
  <c r="P342" i="16"/>
  <c r="P88" i="16"/>
  <c r="P297" i="16"/>
  <c r="P352" i="16"/>
  <c r="P41" i="16"/>
  <c r="P289" i="16"/>
  <c r="P53" i="16"/>
  <c r="P265" i="16"/>
  <c r="P330" i="16"/>
  <c r="P248" i="16"/>
  <c r="P37" i="16"/>
  <c r="P51" i="16"/>
  <c r="P235" i="16"/>
  <c r="O182" i="16"/>
  <c r="O85" i="16"/>
  <c r="O135" i="16"/>
  <c r="P326" i="16"/>
  <c r="P281" i="16"/>
  <c r="O111" i="16"/>
  <c r="O65" i="16"/>
  <c r="O122" i="16"/>
  <c r="O129" i="16"/>
  <c r="O109" i="16"/>
  <c r="O174" i="16"/>
  <c r="O104" i="16"/>
  <c r="O108" i="16"/>
  <c r="O170" i="16"/>
  <c r="O12" i="16"/>
  <c r="O57" i="16"/>
  <c r="O190" i="16"/>
  <c r="P292" i="16"/>
  <c r="P233" i="16"/>
  <c r="P38" i="16"/>
  <c r="P199" i="16"/>
  <c r="P198" i="16"/>
  <c r="P155" i="16"/>
  <c r="P276" i="16"/>
  <c r="P36" i="16"/>
  <c r="P215" i="16"/>
  <c r="P267" i="16"/>
  <c r="K32" i="8"/>
  <c r="P13" i="16"/>
  <c r="P224" i="16"/>
  <c r="P314" i="16"/>
  <c r="P214" i="16"/>
  <c r="P32" i="16"/>
  <c r="P277" i="16"/>
  <c r="P58" i="16"/>
  <c r="P360" i="16"/>
  <c r="P246" i="16"/>
  <c r="P227" i="16"/>
  <c r="O17" i="16"/>
  <c r="O110" i="16"/>
  <c r="O100" i="16"/>
  <c r="O116" i="16"/>
  <c r="O162" i="16"/>
  <c r="O68" i="16"/>
  <c r="O154" i="16"/>
  <c r="O80" i="16"/>
  <c r="O28" i="16"/>
  <c r="O139" i="16"/>
  <c r="O140" i="16"/>
  <c r="O31" i="16"/>
  <c r="O43" i="16"/>
  <c r="O199" i="16"/>
  <c r="O44" i="16"/>
  <c r="O179" i="16"/>
  <c r="P323" i="16"/>
  <c r="P29" i="16"/>
  <c r="P364" i="16"/>
  <c r="P280" i="16"/>
  <c r="P259" i="16"/>
  <c r="P349" i="16"/>
  <c r="P45" i="16"/>
  <c r="P219" i="16"/>
  <c r="P250" i="16"/>
  <c r="P44" i="16"/>
  <c r="P343" i="16"/>
  <c r="P322" i="16"/>
  <c r="P225" i="16"/>
  <c r="P278" i="16"/>
  <c r="P318" i="16"/>
  <c r="P356" i="16"/>
  <c r="P49" i="16"/>
  <c r="P43" i="16"/>
  <c r="O69" i="16"/>
  <c r="O141" i="16"/>
  <c r="O184" i="16"/>
  <c r="O102" i="16"/>
  <c r="P48" i="16"/>
  <c r="P321" i="16"/>
  <c r="P27" i="16"/>
  <c r="P308" i="16"/>
  <c r="O61" i="16"/>
  <c r="O14" i="16"/>
  <c r="O201" i="16"/>
  <c r="O67" i="16"/>
  <c r="O195" i="16"/>
  <c r="O186" i="16"/>
  <c r="O147" i="16"/>
  <c r="O193" i="16"/>
  <c r="O32" i="16"/>
  <c r="O171" i="16"/>
  <c r="O157" i="16"/>
  <c r="O59" i="16"/>
  <c r="O98" i="16"/>
  <c r="O149" i="16"/>
  <c r="O125" i="16"/>
  <c r="O115" i="16"/>
  <c r="P347" i="16"/>
  <c r="P363" i="16"/>
  <c r="P220" i="16"/>
  <c r="P334" i="16"/>
  <c r="P319" i="16"/>
  <c r="P282" i="16"/>
  <c r="P236" i="16"/>
  <c r="P218" i="16"/>
  <c r="P305" i="16"/>
  <c r="P324" i="16"/>
  <c r="P226" i="16"/>
  <c r="P315" i="16"/>
  <c r="P353" i="16"/>
  <c r="P247" i="16"/>
  <c r="P325" i="16"/>
  <c r="P257" i="16"/>
  <c r="P345" i="16"/>
  <c r="P332" i="16"/>
  <c r="AT11" i="16"/>
  <c r="AU11" i="16" s="1"/>
  <c r="Q368" i="16"/>
  <c r="P76" i="16"/>
  <c r="P105" i="16"/>
  <c r="P210" i="16"/>
  <c r="P200" i="16"/>
  <c r="P162" i="16"/>
  <c r="P166" i="16"/>
  <c r="P104" i="16"/>
  <c r="P107" i="16"/>
  <c r="P64" i="16"/>
  <c r="P179" i="16"/>
  <c r="P126" i="16"/>
  <c r="P153" i="16"/>
  <c r="P190" i="16"/>
  <c r="P112" i="16"/>
  <c r="P131" i="16"/>
  <c r="P135" i="16"/>
  <c r="Q292" i="16"/>
  <c r="Q108" i="16"/>
  <c r="Q60" i="16"/>
  <c r="Q155" i="16"/>
  <c r="Q145" i="16"/>
  <c r="Q106" i="16"/>
  <c r="Q85" i="16"/>
  <c r="Q342" i="16"/>
  <c r="Q301" i="16"/>
  <c r="Q233" i="16"/>
  <c r="Q294" i="16"/>
  <c r="Q188" i="16"/>
  <c r="Q147" i="16"/>
  <c r="Q315" i="16"/>
  <c r="Q353" i="16"/>
  <c r="Q360" i="16"/>
  <c r="Q28" i="16"/>
  <c r="Q195" i="16"/>
  <c r="Q211" i="16"/>
  <c r="Q359" i="16"/>
  <c r="Q181" i="16"/>
  <c r="Q363" i="16"/>
  <c r="Q126" i="16"/>
  <c r="Q236" i="16"/>
  <c r="Q142" i="16"/>
  <c r="Q245" i="16"/>
  <c r="Q65" i="16"/>
  <c r="Q166" i="16"/>
  <c r="Q336" i="16"/>
  <c r="Q15" i="16"/>
  <c r="P128" i="16"/>
  <c r="P168" i="16"/>
  <c r="P103" i="16"/>
  <c r="P62" i="16"/>
  <c r="P75" i="16"/>
  <c r="P144" i="16"/>
  <c r="P109" i="16"/>
  <c r="Q203" i="16"/>
  <c r="Q170" i="16"/>
  <c r="Q130" i="16"/>
  <c r="Q144" i="16"/>
  <c r="Q349" i="16"/>
  <c r="Q312" i="16"/>
  <c r="Q185" i="16"/>
  <c r="Q24" i="16"/>
  <c r="Q230" i="16"/>
  <c r="Q344" i="16"/>
  <c r="Q101" i="16"/>
  <c r="Q167" i="16"/>
  <c r="Q157" i="16"/>
  <c r="Q321" i="16"/>
  <c r="Q202" i="16"/>
  <c r="Q149" i="16"/>
  <c r="Q207" i="16"/>
  <c r="Q34" i="16"/>
  <c r="Q68" i="16"/>
  <c r="Q40" i="16"/>
  <c r="Q96" i="16"/>
  <c r="Q273" i="16"/>
  <c r="Q189" i="16"/>
  <c r="Q240" i="16"/>
  <c r="Q100" i="16"/>
  <c r="Q278" i="16"/>
  <c r="Q48" i="16"/>
  <c r="Q212" i="16"/>
  <c r="Q125" i="16"/>
  <c r="Q69" i="16"/>
  <c r="P114" i="16"/>
  <c r="P181" i="16"/>
  <c r="P92" i="16"/>
  <c r="P188" i="16"/>
  <c r="P133" i="16"/>
  <c r="P63" i="16"/>
  <c r="P154" i="16"/>
  <c r="P80" i="16"/>
  <c r="P156" i="16"/>
  <c r="P102" i="16"/>
  <c r="P189" i="16"/>
  <c r="R8" i="16"/>
  <c r="B36" i="8" s="1"/>
  <c r="P86" i="16"/>
  <c r="P127" i="16"/>
  <c r="P81" i="16"/>
  <c r="P78" i="16"/>
  <c r="P209" i="16"/>
  <c r="P191" i="16"/>
  <c r="P206" i="16"/>
  <c r="P204" i="16"/>
  <c r="P160" i="16"/>
  <c r="P193" i="16"/>
  <c r="P205" i="16"/>
  <c r="P120" i="16"/>
  <c r="Q83" i="16"/>
  <c r="Q208" i="16"/>
  <c r="Q72" i="16"/>
  <c r="Q87" i="16"/>
  <c r="Q272" i="16"/>
  <c r="Q97" i="16"/>
  <c r="Q302" i="16"/>
  <c r="Q137" i="16"/>
  <c r="Q352" i="16"/>
  <c r="Q156" i="16"/>
  <c r="Q262" i="16"/>
  <c r="Q160" i="16"/>
  <c r="Q98" i="16"/>
  <c r="Q248" i="16"/>
  <c r="Q50" i="16"/>
  <c r="Q77" i="16"/>
  <c r="Q140" i="16"/>
  <c r="Q27" i="16"/>
  <c r="Q124" i="16"/>
  <c r="Q250" i="16"/>
  <c r="Q20" i="16"/>
  <c r="Q179" i="16"/>
  <c r="Q298" i="16"/>
  <c r="Q67" i="16"/>
  <c r="Q354" i="16"/>
  <c r="Q162" i="16"/>
  <c r="Q171" i="16"/>
  <c r="Q14" i="16"/>
  <c r="Q26" i="16"/>
  <c r="Q286" i="16"/>
  <c r="Q263" i="16"/>
  <c r="P100" i="16"/>
  <c r="P110" i="16"/>
  <c r="P167" i="16"/>
  <c r="Q269" i="16"/>
  <c r="Q296" i="16"/>
  <c r="Q84" i="16"/>
  <c r="Q289" i="16"/>
  <c r="Q327" i="16"/>
  <c r="Q79" i="16"/>
  <c r="Q351" i="16"/>
  <c r="Q89" i="16"/>
  <c r="Q216" i="16"/>
  <c r="Q334" i="16"/>
  <c r="Q266" i="16"/>
  <c r="Q11" i="16"/>
  <c r="Q282" i="16"/>
  <c r="Q235" i="16"/>
  <c r="Q297" i="16"/>
  <c r="Q116" i="16"/>
  <c r="Q51" i="16"/>
  <c r="Q36" i="16"/>
  <c r="Q309" i="16"/>
  <c r="Q217" i="16"/>
  <c r="Q42" i="16"/>
  <c r="Q239" i="16"/>
  <c r="Q366" i="16"/>
  <c r="Q134" i="16"/>
  <c r="Q163" i="16"/>
  <c r="Q32" i="16"/>
  <c r="Q178" i="16"/>
  <c r="Q172" i="16"/>
  <c r="Q303" i="16"/>
  <c r="Q268" i="16"/>
  <c r="P136" i="16"/>
  <c r="P176" i="16"/>
  <c r="P90" i="16"/>
  <c r="P158" i="16"/>
  <c r="P141" i="16"/>
  <c r="P183" i="16"/>
  <c r="P185" i="16"/>
  <c r="P106" i="16"/>
  <c r="P96" i="16"/>
  <c r="P108" i="16"/>
  <c r="P197" i="16"/>
  <c r="P129" i="16"/>
  <c r="P71" i="16"/>
  <c r="P72" i="16"/>
  <c r="Q328" i="16"/>
  <c r="Q182" i="16"/>
  <c r="Q335" i="16"/>
  <c r="Q324" i="16"/>
  <c r="Q283" i="16"/>
  <c r="Q193" i="16"/>
  <c r="Q19" i="16"/>
  <c r="Q350" i="16"/>
  <c r="Q320" i="16"/>
  <c r="Q183" i="16"/>
  <c r="Q219" i="16"/>
  <c r="Q358" i="16"/>
  <c r="Q123" i="16"/>
  <c r="Q120" i="16"/>
  <c r="Q45" i="16"/>
  <c r="Q161" i="16"/>
  <c r="Q218" i="16"/>
  <c r="Q341" i="16"/>
  <c r="Q276" i="16"/>
  <c r="Q348" i="16"/>
  <c r="Q35" i="16"/>
  <c r="Q226" i="16"/>
  <c r="Q105" i="16"/>
  <c r="Q210" i="16"/>
  <c r="Q365" i="16"/>
  <c r="Q237" i="16"/>
  <c r="Q295" i="16"/>
  <c r="Q73" i="16"/>
  <c r="Q191" i="16"/>
  <c r="Q214" i="16"/>
  <c r="Q71" i="16"/>
  <c r="Q132" i="16"/>
  <c r="Q325" i="16"/>
  <c r="P149" i="16"/>
  <c r="P152" i="16"/>
  <c r="P163" i="16"/>
  <c r="P65" i="16"/>
  <c r="P82" i="16"/>
  <c r="P165" i="16"/>
  <c r="P195" i="16"/>
  <c r="P139" i="16"/>
  <c r="P196" i="16"/>
  <c r="Q339" i="16"/>
  <c r="Q113" i="16"/>
  <c r="Q131" i="16"/>
  <c r="Q198" i="16"/>
  <c r="Q200" i="16"/>
  <c r="Q246" i="16"/>
  <c r="Q256" i="16"/>
  <c r="Q308" i="16"/>
  <c r="Q47" i="16"/>
  <c r="Q86" i="16"/>
  <c r="Q128" i="16"/>
  <c r="Q343" i="16"/>
  <c r="Q80" i="16"/>
  <c r="Q91" i="16"/>
  <c r="Q322" i="16"/>
  <c r="Q242" i="16"/>
  <c r="Q255" i="16"/>
  <c r="Q54" i="16"/>
  <c r="Q222" i="16"/>
  <c r="Q257" i="16"/>
  <c r="Q224" i="16"/>
  <c r="Q284" i="16"/>
  <c r="Q228" i="16"/>
  <c r="Q190" i="16"/>
  <c r="Q173" i="16"/>
  <c r="Q70" i="16"/>
  <c r="Q265" i="16"/>
  <c r="Q196" i="16"/>
  <c r="Q148" i="16"/>
  <c r="Q177" i="16"/>
  <c r="Q304" i="16"/>
  <c r="Q306" i="16"/>
  <c r="P121" i="16"/>
  <c r="P123" i="16"/>
  <c r="P146" i="16"/>
  <c r="P138" i="16"/>
  <c r="Q206" i="16"/>
  <c r="Q74" i="16"/>
  <c r="Q332" i="16"/>
  <c r="Q136" i="16"/>
  <c r="Q64" i="16"/>
  <c r="Q221" i="16"/>
  <c r="Q318" i="16"/>
  <c r="Q150" i="16"/>
  <c r="Q205" i="16"/>
  <c r="Q57" i="16"/>
  <c r="Q76" i="16"/>
  <c r="Q253" i="16"/>
  <c r="Q197" i="16"/>
  <c r="Q313" i="16"/>
  <c r="Q220" i="16"/>
  <c r="Q81" i="16"/>
  <c r="Q127" i="16"/>
  <c r="Q291" i="16"/>
  <c r="Q17" i="16"/>
  <c r="Q121" i="16"/>
  <c r="Q55" i="16"/>
  <c r="Q231" i="16"/>
  <c r="Q209" i="16"/>
  <c r="Q16" i="16"/>
  <c r="Q18" i="16"/>
  <c r="Q238" i="16"/>
  <c r="T32" i="8"/>
  <c r="Q280" i="16"/>
  <c r="Q31" i="16"/>
  <c r="P150" i="16"/>
  <c r="P124" i="16"/>
  <c r="P143" i="16"/>
  <c r="Q323" i="16"/>
  <c r="Q199" i="16"/>
  <c r="Q300" i="16"/>
  <c r="Q264" i="16"/>
  <c r="Q75" i="16"/>
  <c r="Q249" i="16"/>
  <c r="Q133" i="16"/>
  <c r="P159" i="16"/>
  <c r="P113" i="16"/>
  <c r="P69" i="16"/>
  <c r="P74" i="16"/>
  <c r="P95" i="16"/>
  <c r="P201" i="16"/>
  <c r="P137" i="16"/>
  <c r="P89" i="16"/>
  <c r="P171" i="16"/>
  <c r="P93" i="16"/>
  <c r="P66" i="16"/>
  <c r="P85" i="16"/>
  <c r="P169" i="16"/>
  <c r="P140" i="16"/>
  <c r="P184" i="16"/>
  <c r="P157" i="16"/>
  <c r="Q104" i="16"/>
  <c r="Q337" i="16"/>
  <c r="Q21" i="16"/>
  <c r="Q59" i="16"/>
  <c r="Q241" i="16"/>
  <c r="Q254" i="16"/>
  <c r="Q192" i="16"/>
  <c r="Q129" i="16"/>
  <c r="Q61" i="16"/>
  <c r="Q102" i="16"/>
  <c r="Q204" i="16"/>
  <c r="Q37" i="16"/>
  <c r="Q78" i="16"/>
  <c r="Q247" i="16"/>
  <c r="Q111" i="16"/>
  <c r="Q347" i="16"/>
  <c r="Q180" i="16"/>
  <c r="Q122" i="16"/>
  <c r="Q187" i="16"/>
  <c r="Q338" i="16"/>
  <c r="Q307" i="16"/>
  <c r="Q39" i="16"/>
  <c r="Q152" i="16"/>
  <c r="Q141" i="16"/>
  <c r="Q146" i="16"/>
  <c r="Q138" i="16"/>
  <c r="Q66" i="16"/>
  <c r="Q159" i="16"/>
  <c r="Q186" i="16"/>
  <c r="P207" i="16"/>
  <c r="Q364" i="16"/>
  <c r="Q281" i="16"/>
  <c r="Q38" i="16"/>
  <c r="Q362" i="16"/>
  <c r="Q30" i="16"/>
  <c r="Q110" i="16"/>
  <c r="Q316" i="16"/>
  <c r="Q290" i="16"/>
  <c r="Q314" i="16"/>
  <c r="Q223" i="16"/>
  <c r="Q285" i="16"/>
  <c r="Q82" i="16"/>
  <c r="Q43" i="16"/>
  <c r="Q158" i="16"/>
  <c r="Q201" i="16"/>
  <c r="P186" i="16"/>
  <c r="P202" i="16"/>
  <c r="P173" i="16"/>
  <c r="P182" i="16"/>
  <c r="P73" i="16"/>
  <c r="P170" i="16"/>
  <c r="P97" i="16"/>
  <c r="P192" i="16"/>
  <c r="P70" i="16"/>
  <c r="P145" i="16"/>
  <c r="P116" i="16"/>
  <c r="P161" i="16"/>
  <c r="P77" i="16"/>
  <c r="P101" i="16"/>
  <c r="P79" i="16"/>
  <c r="P148" i="16"/>
  <c r="P87" i="16"/>
  <c r="P111" i="16"/>
  <c r="P98" i="16"/>
  <c r="P211" i="16"/>
  <c r="Q317" i="16"/>
  <c r="Q261" i="16"/>
  <c r="Q260" i="16"/>
  <c r="Q234" i="16"/>
  <c r="Q329" i="16"/>
  <c r="Q62" i="16"/>
  <c r="Q213" i="16"/>
  <c r="Q135" i="16"/>
  <c r="Q12" i="16"/>
  <c r="Q232" i="16"/>
  <c r="Q63" i="16"/>
  <c r="Q114" i="16"/>
  <c r="Q345" i="16"/>
  <c r="Q227" i="16"/>
  <c r="Q251" i="16"/>
  <c r="Q109" i="16"/>
  <c r="Q305" i="16"/>
  <c r="Q33" i="16"/>
  <c r="Q90" i="16"/>
  <c r="Q41" i="16"/>
  <c r="Q56" i="16"/>
  <c r="Q139" i="16"/>
  <c r="Q258" i="16"/>
  <c r="Q165" i="16"/>
  <c r="Q93" i="16"/>
  <c r="Q174" i="16"/>
  <c r="Q25" i="16"/>
  <c r="Q361" i="16"/>
  <c r="Q164" i="16"/>
  <c r="Q44" i="16"/>
  <c r="P94" i="16"/>
  <c r="P134" i="16"/>
  <c r="P68" i="16"/>
  <c r="P142" i="16"/>
  <c r="P117" i="16"/>
  <c r="P174" i="16"/>
  <c r="P125" i="16"/>
  <c r="P119" i="16"/>
  <c r="P115" i="16"/>
  <c r="P91" i="16"/>
  <c r="P194" i="16"/>
  <c r="Q151" i="16"/>
  <c r="Q22" i="16"/>
  <c r="Q119" i="16"/>
  <c r="Q279" i="16"/>
  <c r="Q319" i="16"/>
  <c r="Q299" i="16"/>
  <c r="Q355" i="16"/>
  <c r="Q176" i="16"/>
  <c r="Q310" i="16"/>
  <c r="Q252" i="16"/>
  <c r="Q271" i="16"/>
  <c r="Q168" i="16"/>
  <c r="Q46" i="16"/>
  <c r="Q175" i="16"/>
  <c r="Q112" i="16"/>
  <c r="Q52" i="16"/>
  <c r="Q29" i="16"/>
  <c r="Q277" i="16"/>
  <c r="Q333" i="16"/>
  <c r="Q331" i="16"/>
  <c r="Q94" i="16"/>
  <c r="Q244" i="16"/>
  <c r="Q103" i="16"/>
  <c r="Q293" i="16"/>
  <c r="Q346" i="16"/>
  <c r="Q117" i="16"/>
  <c r="Q143" i="16"/>
  <c r="Q225" i="16"/>
  <c r="Q99" i="16"/>
  <c r="Q326" i="16"/>
  <c r="P177" i="16"/>
  <c r="P180" i="16"/>
  <c r="P67" i="16"/>
  <c r="P178" i="16"/>
  <c r="P130" i="16"/>
  <c r="P99" i="16"/>
  <c r="P118" i="16"/>
  <c r="P172" i="16"/>
  <c r="P122" i="16"/>
  <c r="P164" i="16"/>
  <c r="P147" i="16"/>
  <c r="P203" i="16"/>
  <c r="P208" i="16"/>
  <c r="Q229" i="16"/>
  <c r="Q259" i="16"/>
  <c r="Q184" i="16"/>
  <c r="Q270" i="16"/>
  <c r="Q275" i="16"/>
  <c r="Q154" i="16"/>
  <c r="Q267" i="16"/>
  <c r="Q49" i="16"/>
  <c r="Q215" i="16"/>
  <c r="Q23" i="16"/>
  <c r="Q118" i="16"/>
  <c r="Q92" i="16"/>
  <c r="Q274" i="16"/>
  <c r="Q95" i="16"/>
  <c r="Q107" i="16"/>
  <c r="Q330" i="16"/>
  <c r="Q169" i="16"/>
  <c r="Q356" i="16"/>
  <c r="Q288" i="16"/>
  <c r="Q13" i="16"/>
  <c r="Q311" i="16"/>
  <c r="Q153" i="16"/>
  <c r="Q194" i="16"/>
  <c r="Q53" i="16"/>
  <c r="Q115" i="16"/>
  <c r="Q58" i="16"/>
  <c r="Q243" i="16"/>
  <c r="Q287" i="16"/>
  <c r="Q357" i="16"/>
  <c r="Q340" i="16"/>
  <c r="Q88" i="16"/>
  <c r="AM11" i="16"/>
  <c r="AN11" i="16" s="1"/>
  <c r="U92" i="8" s="1"/>
  <c r="AM12" i="16"/>
  <c r="AN12" i="16" s="1"/>
  <c r="U93" i="8" s="1"/>
  <c r="B94" i="8"/>
  <c r="AL14" i="16"/>
  <c r="AM13" i="16"/>
  <c r="AN13" i="16" s="1"/>
  <c r="AT12" i="16"/>
  <c r="AU12" i="16" s="1"/>
  <c r="M50" i="8"/>
  <c r="M49" i="8"/>
  <c r="M48" i="8"/>
  <c r="M51" i="8"/>
  <c r="AS14" i="16"/>
  <c r="AT13" i="16"/>
  <c r="AU13" i="16" s="1"/>
  <c r="O50" i="8"/>
  <c r="O49" i="8"/>
  <c r="O51" i="8"/>
  <c r="O48" i="8"/>
  <c r="V38" i="8"/>
  <c r="V39" i="8"/>
  <c r="K49" i="8"/>
  <c r="K48" i="8"/>
  <c r="K51" i="8"/>
  <c r="K50" i="8"/>
  <c r="E92" i="8" l="1"/>
  <c r="Y92" i="8" s="1"/>
  <c r="E93" i="8"/>
  <c r="Y93" i="8" s="1"/>
  <c r="AS15" i="16"/>
  <c r="AT14" i="16"/>
  <c r="AU14" i="16" s="1"/>
  <c r="M120" i="8"/>
  <c r="M118" i="8"/>
  <c r="M121" i="8"/>
  <c r="M119" i="8"/>
  <c r="O120" i="8"/>
  <c r="O119" i="8"/>
  <c r="O121" i="8"/>
  <c r="O118" i="8"/>
  <c r="AM14" i="16"/>
  <c r="AN14" i="16" s="1"/>
  <c r="AL15" i="16"/>
  <c r="B95" i="8"/>
  <c r="Q121" i="8"/>
  <c r="Q119" i="8"/>
  <c r="Q120" i="8"/>
  <c r="Q118" i="8"/>
  <c r="E94" i="8"/>
  <c r="Y94" i="8" s="1"/>
  <c r="U94" i="8"/>
  <c r="AL16" i="16" l="1"/>
  <c r="AM15" i="16"/>
  <c r="AN15" i="16" s="1"/>
  <c r="B96" i="8"/>
  <c r="U95" i="8"/>
  <c r="E95" i="8"/>
  <c r="Y95" i="8" s="1"/>
  <c r="AT15" i="16"/>
  <c r="AU15" i="16" s="1"/>
  <c r="AS16" i="16"/>
  <c r="AT16" i="16" l="1"/>
  <c r="AU16" i="16" s="1"/>
  <c r="AS17" i="16"/>
  <c r="E96" i="8"/>
  <c r="Y96" i="8" s="1"/>
  <c r="U96" i="8"/>
  <c r="AL17" i="16"/>
  <c r="AM16" i="16"/>
  <c r="AN16" i="16" s="1"/>
  <c r="B97" i="8"/>
  <c r="E97" i="8" l="1"/>
  <c r="Y97" i="8" s="1"/>
  <c r="U97" i="8"/>
  <c r="AL18" i="16"/>
  <c r="B98" i="8"/>
  <c r="AM17" i="16"/>
  <c r="AN17" i="16" s="1"/>
  <c r="AT17" i="16"/>
  <c r="AU17" i="16" s="1"/>
  <c r="AS18" i="16"/>
  <c r="AS19" i="16" l="1"/>
  <c r="AT18" i="16"/>
  <c r="AU18" i="16" s="1"/>
  <c r="E98" i="8"/>
  <c r="Y98" i="8" s="1"/>
  <c r="U98" i="8"/>
  <c r="B99" i="8"/>
  <c r="AM18" i="16"/>
  <c r="AN18" i="16" s="1"/>
  <c r="AL19" i="16"/>
  <c r="E99" i="8" l="1"/>
  <c r="Y99" i="8" s="1"/>
  <c r="U99" i="8"/>
  <c r="B100" i="8"/>
  <c r="AM19" i="16"/>
  <c r="AN19" i="16" s="1"/>
  <c r="AL20" i="16"/>
  <c r="AS20" i="16"/>
  <c r="AT19" i="16"/>
  <c r="AU19" i="16" s="1"/>
  <c r="AS21" i="16" l="1"/>
  <c r="AT20" i="16"/>
  <c r="AU20" i="16" s="1"/>
  <c r="B101" i="8"/>
  <c r="AL21" i="16"/>
  <c r="AM20" i="16"/>
  <c r="AN20" i="16" s="1"/>
  <c r="E100" i="8"/>
  <c r="Y100" i="8" s="1"/>
  <c r="U100" i="8"/>
  <c r="AM21" i="16" l="1"/>
  <c r="AN21" i="16" s="1"/>
  <c r="AL22" i="16"/>
  <c r="B102" i="8"/>
  <c r="E101" i="8"/>
  <c r="Y101" i="8" s="1"/>
  <c r="U101" i="8"/>
  <c r="AS22" i="16"/>
  <c r="AT21" i="16"/>
  <c r="AU21" i="16" s="1"/>
  <c r="AT22" i="16" l="1"/>
  <c r="AU22" i="16" s="1"/>
  <c r="AS23" i="16"/>
  <c r="E102" i="8"/>
  <c r="Y102" i="8" s="1"/>
  <c r="U102" i="8"/>
  <c r="AM22" i="16"/>
  <c r="AN22" i="16" s="1"/>
  <c r="AL23" i="16"/>
  <c r="B103" i="8"/>
  <c r="W109" i="8"/>
  <c r="E103" i="8" l="1"/>
  <c r="Y103" i="8" s="1"/>
  <c r="U103" i="8"/>
  <c r="AL24" i="16"/>
  <c r="B104" i="8"/>
  <c r="AM23" i="16"/>
  <c r="AN23" i="16" s="1"/>
  <c r="AS24" i="16"/>
  <c r="AT23" i="16"/>
  <c r="AU23" i="16" s="1"/>
  <c r="AS25" i="16" l="1"/>
  <c r="AT24" i="16"/>
  <c r="AU24" i="16" s="1"/>
  <c r="E104" i="8"/>
  <c r="Y104" i="8" s="1"/>
  <c r="U104" i="8"/>
  <c r="B105" i="8"/>
  <c r="AM24" i="16"/>
  <c r="AN24" i="16" s="1"/>
  <c r="AL25" i="16"/>
  <c r="AM25" i="16" l="1"/>
  <c r="AN25" i="16" s="1"/>
  <c r="AL26" i="16"/>
  <c r="B106" i="8"/>
  <c r="E105" i="8"/>
  <c r="Y105" i="8" s="1"/>
  <c r="U105" i="8"/>
  <c r="AT25" i="16"/>
  <c r="AU25" i="16" s="1"/>
  <c r="AS26" i="16"/>
  <c r="U106" i="8" l="1"/>
  <c r="E106" i="8"/>
  <c r="Y106" i="8" s="1"/>
  <c r="AS27" i="16"/>
  <c r="AT26" i="16"/>
  <c r="AU26" i="16" s="1"/>
  <c r="AL27" i="16"/>
  <c r="AM26" i="16"/>
  <c r="AN26" i="16" s="1"/>
  <c r="B107" i="8"/>
  <c r="U107" i="8" l="1"/>
  <c r="E107" i="8"/>
  <c r="Y107" i="8" s="1"/>
  <c r="AM27" i="16"/>
  <c r="AN27" i="16" s="1"/>
  <c r="AL28" i="16"/>
  <c r="AT27" i="16"/>
  <c r="AU27" i="16" s="1"/>
  <c r="AS28" i="16"/>
  <c r="AS29" i="16" l="1"/>
  <c r="AT28" i="16"/>
  <c r="AU28" i="16" s="1"/>
  <c r="AM28" i="16"/>
  <c r="AN28" i="16" s="1"/>
  <c r="AL29" i="16"/>
  <c r="AL30" i="16" l="1"/>
  <c r="AM29" i="16"/>
  <c r="AN29" i="16" s="1"/>
  <c r="AS30" i="16"/>
  <c r="AT29" i="16"/>
  <c r="AU29" i="16" s="1"/>
  <c r="AT30" i="16" l="1"/>
  <c r="AU30" i="16" s="1"/>
  <c r="AS31" i="16"/>
  <c r="AL31" i="16"/>
  <c r="AM30" i="16"/>
  <c r="AN30" i="16" s="1"/>
  <c r="AL32" i="16" l="1"/>
  <c r="AM31" i="16"/>
  <c r="AN31" i="16" s="1"/>
  <c r="AT31" i="16"/>
  <c r="AU31" i="16" s="1"/>
  <c r="AS32" i="16"/>
  <c r="AT32" i="16" l="1"/>
  <c r="AU32" i="16" s="1"/>
  <c r="AS33" i="16"/>
  <c r="AL33" i="16"/>
  <c r="AM32" i="16"/>
  <c r="AN32" i="16" s="1"/>
  <c r="AL34" i="16" l="1"/>
  <c r="AM33" i="16"/>
  <c r="AN33" i="16" s="1"/>
  <c r="AS34" i="16"/>
  <c r="AT33" i="16"/>
  <c r="AU33" i="16" s="1"/>
  <c r="AT34" i="16" l="1"/>
  <c r="AU34" i="16" s="1"/>
  <c r="AS35" i="16"/>
  <c r="AL35" i="16"/>
  <c r="AM34" i="16"/>
  <c r="AN34" i="16" s="1"/>
  <c r="AM35" i="16" l="1"/>
  <c r="AN35" i="16" s="1"/>
  <c r="AL36" i="16"/>
  <c r="AT35" i="16"/>
  <c r="AU35" i="16" s="1"/>
  <c r="AS36" i="16"/>
  <c r="AT36" i="16" l="1"/>
  <c r="AU36" i="16" s="1"/>
  <c r="AS37" i="16"/>
  <c r="AM36" i="16"/>
  <c r="AN36" i="16" s="1"/>
  <c r="AL37" i="16"/>
  <c r="AL38" i="16" l="1"/>
  <c r="AM37" i="16"/>
  <c r="AN37" i="16" s="1"/>
  <c r="AS38" i="16"/>
  <c r="AT37" i="16"/>
  <c r="AU37" i="16" s="1"/>
  <c r="AT38" i="16" l="1"/>
  <c r="AU38" i="16" s="1"/>
  <c r="AS39" i="16"/>
  <c r="AL39" i="16"/>
  <c r="AM38" i="16"/>
  <c r="AN38" i="16" s="1"/>
  <c r="AM39" i="16" l="1"/>
  <c r="AN39" i="16" s="1"/>
  <c r="AL40" i="16"/>
  <c r="AS40" i="16"/>
  <c r="AT39" i="16"/>
  <c r="AU39" i="16" s="1"/>
  <c r="AS41" i="16" l="1"/>
  <c r="AT40" i="16"/>
  <c r="AU40" i="16" s="1"/>
  <c r="AL41" i="16"/>
  <c r="AM40" i="16"/>
  <c r="AN40" i="16" s="1"/>
  <c r="AL42" i="16" l="1"/>
  <c r="AM41" i="16"/>
  <c r="AN41" i="16" s="1"/>
  <c r="AT41" i="16"/>
  <c r="AU41" i="16" s="1"/>
  <c r="AS42" i="16"/>
  <c r="AS43" i="16" l="1"/>
  <c r="AT42" i="16"/>
  <c r="AU42" i="16" s="1"/>
  <c r="AL43" i="16"/>
  <c r="AM42" i="16"/>
  <c r="AN42" i="16" s="1"/>
  <c r="AL44" i="16" l="1"/>
  <c r="AM43" i="16"/>
  <c r="AN43" i="16" s="1"/>
  <c r="AT43" i="16"/>
  <c r="AU43" i="16" s="1"/>
  <c r="AS44" i="16"/>
  <c r="AS45" i="16" l="1"/>
  <c r="AT44" i="16"/>
  <c r="AU44" i="16" s="1"/>
  <c r="AM44" i="16"/>
  <c r="AN44" i="16" s="1"/>
  <c r="AL45" i="16"/>
  <c r="AL46" i="16" l="1"/>
  <c r="AM45" i="16"/>
  <c r="AN45" i="16" s="1"/>
  <c r="AT45" i="16"/>
  <c r="AU45" i="16" s="1"/>
  <c r="AS46" i="16"/>
  <c r="AS47" i="16" l="1"/>
  <c r="AT46" i="16"/>
  <c r="AU46" i="16" s="1"/>
  <c r="AM46" i="16"/>
  <c r="AN46" i="16" s="1"/>
  <c r="AL47" i="16"/>
  <c r="AL48" i="16" l="1"/>
  <c r="AM47" i="16"/>
  <c r="AN47" i="16" s="1"/>
  <c r="AT47" i="16"/>
  <c r="AU47" i="16" s="1"/>
  <c r="AS48" i="16"/>
  <c r="AS49" i="16" l="1"/>
  <c r="AT48" i="16"/>
  <c r="AU48" i="16" s="1"/>
  <c r="AL49" i="16"/>
  <c r="AM48" i="16"/>
  <c r="AN48" i="16" s="1"/>
  <c r="AL50" i="16" l="1"/>
  <c r="AM49" i="16"/>
  <c r="AN49" i="16" s="1"/>
  <c r="AT49" i="16"/>
  <c r="AU49" i="16" s="1"/>
  <c r="AS50" i="16"/>
  <c r="AT50" i="16" l="1"/>
  <c r="AU50" i="16" s="1"/>
  <c r="AS51" i="16"/>
  <c r="AL51" i="16"/>
  <c r="AM50" i="16"/>
  <c r="AN50" i="16" s="1"/>
  <c r="AM51" i="16" l="1"/>
  <c r="AN51" i="16" s="1"/>
  <c r="AL52" i="16"/>
  <c r="AS52" i="16"/>
  <c r="AT51" i="16"/>
  <c r="AU51" i="16" s="1"/>
  <c r="AS53" i="16" l="1"/>
  <c r="AT52" i="16"/>
  <c r="AU52" i="16" s="1"/>
  <c r="AM52" i="16"/>
  <c r="AN52" i="16" s="1"/>
  <c r="AL53" i="16"/>
  <c r="AM53" i="16" l="1"/>
  <c r="AN53" i="16" s="1"/>
  <c r="AL54" i="16"/>
  <c r="AT53" i="16"/>
  <c r="AU53" i="16" s="1"/>
  <c r="AS54" i="16"/>
  <c r="AT54" i="16" l="1"/>
  <c r="AU54" i="16" s="1"/>
  <c r="AS55" i="16"/>
  <c r="AL55" i="16"/>
  <c r="AM54" i="16"/>
  <c r="AN54" i="16" s="1"/>
  <c r="AL56" i="16" l="1"/>
  <c r="AM55" i="16"/>
  <c r="AN55" i="16" s="1"/>
  <c r="AT55" i="16"/>
  <c r="AU55" i="16" s="1"/>
  <c r="AS56" i="16"/>
  <c r="AT56" i="16" l="1"/>
  <c r="AU56" i="16" s="1"/>
  <c r="AS57" i="16"/>
  <c r="AL57" i="16"/>
  <c r="AM56" i="16"/>
  <c r="AN56" i="16" s="1"/>
  <c r="AL58" i="16" l="1"/>
  <c r="AM57" i="16"/>
  <c r="AN57" i="16" s="1"/>
  <c r="AT57" i="16"/>
  <c r="AU57" i="16" s="1"/>
  <c r="AS58" i="16"/>
  <c r="AS59" i="16" l="1"/>
  <c r="AT58" i="16"/>
  <c r="AU58" i="16" s="1"/>
  <c r="AM58" i="16"/>
  <c r="AN58" i="16" s="1"/>
  <c r="AL59" i="16"/>
  <c r="AL60" i="16" l="1"/>
  <c r="AM59" i="16"/>
  <c r="AN59" i="16" s="1"/>
  <c r="AS60" i="16"/>
  <c r="AT59" i="16"/>
  <c r="AU59" i="16" s="1"/>
  <c r="AS61" i="16" l="1"/>
  <c r="AT60" i="16"/>
  <c r="AU60" i="16" s="1"/>
  <c r="AL61" i="16"/>
  <c r="AM60" i="16"/>
  <c r="AN60" i="16" s="1"/>
  <c r="AL62" i="16" l="1"/>
  <c r="AM61" i="16"/>
  <c r="AN61" i="16" s="1"/>
  <c r="AT61" i="16"/>
  <c r="AU61" i="16" s="1"/>
  <c r="AS62" i="16"/>
  <c r="AT62" i="16" l="1"/>
  <c r="AU62" i="16" s="1"/>
  <c r="AS63" i="16"/>
  <c r="AL63" i="16"/>
  <c r="AM62" i="16"/>
  <c r="AN62" i="16" s="1"/>
  <c r="AL64" i="16" l="1"/>
  <c r="AM63" i="16"/>
  <c r="AN63" i="16" s="1"/>
  <c r="AS64" i="16"/>
  <c r="AT63" i="16"/>
  <c r="AU63" i="16" s="1"/>
  <c r="AS65" i="16" l="1"/>
  <c r="AT64" i="16"/>
  <c r="AU64" i="16" s="1"/>
  <c r="AL65" i="16"/>
  <c r="AM64" i="16"/>
  <c r="AN64" i="16" s="1"/>
  <c r="AM65" i="16" l="1"/>
  <c r="AN65" i="16" s="1"/>
  <c r="AL66" i="16"/>
  <c r="AS66" i="16"/>
  <c r="AT65" i="16"/>
  <c r="AU65" i="16" s="1"/>
  <c r="AS67" i="16" l="1"/>
  <c r="AT66" i="16"/>
  <c r="AU66" i="16" s="1"/>
  <c r="AL67" i="16"/>
  <c r="AM66" i="16"/>
  <c r="AN66" i="16" s="1"/>
  <c r="AM67" i="16" l="1"/>
  <c r="AN67" i="16" s="1"/>
  <c r="AL68" i="16"/>
  <c r="AS68" i="16"/>
  <c r="AT67" i="16"/>
  <c r="AU67" i="16" s="1"/>
  <c r="AT68" i="16" l="1"/>
  <c r="AU68" i="16" s="1"/>
  <c r="AS69" i="16"/>
  <c r="AL69" i="16"/>
  <c r="AM68" i="16"/>
  <c r="AN68" i="16" s="1"/>
  <c r="AM69" i="16" l="1"/>
  <c r="AN69" i="16" s="1"/>
  <c r="AL70" i="16"/>
  <c r="AT69" i="16"/>
  <c r="AU69" i="16" s="1"/>
  <c r="AS70" i="16"/>
  <c r="AS71" i="16" l="1"/>
  <c r="AT70" i="16"/>
  <c r="AU70" i="16" s="1"/>
  <c r="AM70" i="16"/>
  <c r="AN70" i="16" s="1"/>
  <c r="AL71" i="16"/>
  <c r="AM71" i="16" l="1"/>
  <c r="AN71" i="16" s="1"/>
  <c r="AL72" i="16"/>
  <c r="AT71" i="16"/>
  <c r="AU71" i="16" s="1"/>
  <c r="AS72" i="16"/>
  <c r="AT72" i="16" l="1"/>
  <c r="AU72" i="16" s="1"/>
  <c r="AS73" i="16"/>
  <c r="AM72" i="16"/>
  <c r="AN72" i="16" s="1"/>
  <c r="AL73" i="16"/>
  <c r="AM73" i="16" l="1"/>
  <c r="AN73" i="16" s="1"/>
  <c r="AL74" i="16"/>
  <c r="AS74" i="16"/>
  <c r="AT73" i="16"/>
  <c r="AU73" i="16" s="1"/>
  <c r="AT74" i="16" l="1"/>
  <c r="AU74" i="16" s="1"/>
  <c r="AS75" i="16"/>
  <c r="AL75" i="16"/>
  <c r="AM74" i="16"/>
  <c r="AN74" i="16" s="1"/>
  <c r="AM75" i="16" l="1"/>
  <c r="AN75" i="16" s="1"/>
  <c r="AL76" i="16"/>
  <c r="AS76" i="16"/>
  <c r="AT75" i="16"/>
  <c r="AU75" i="16" s="1"/>
  <c r="AM76" i="16" l="1"/>
  <c r="AN76" i="16" s="1"/>
  <c r="AL77" i="16"/>
  <c r="AT76" i="16"/>
  <c r="AU76" i="16" s="1"/>
  <c r="AS77" i="16"/>
  <c r="AS78" i="16" l="1"/>
  <c r="AT77" i="16"/>
  <c r="AU77" i="16" s="1"/>
  <c r="AL78" i="16"/>
  <c r="AM77" i="16"/>
  <c r="AN77" i="16" s="1"/>
  <c r="AM78" i="16" l="1"/>
  <c r="AN78" i="16" s="1"/>
  <c r="AL79" i="16"/>
  <c r="AS79" i="16"/>
  <c r="AT78" i="16"/>
  <c r="AU78" i="16" s="1"/>
  <c r="AS80" i="16" l="1"/>
  <c r="AT79" i="16"/>
  <c r="AU79" i="16" s="1"/>
  <c r="AL80" i="16"/>
  <c r="AM79" i="16"/>
  <c r="AN79" i="16" s="1"/>
  <c r="AM80" i="16" l="1"/>
  <c r="AN80" i="16" s="1"/>
  <c r="AL81" i="16"/>
  <c r="AS81" i="16"/>
  <c r="AT80" i="16"/>
  <c r="AU80" i="16" s="1"/>
  <c r="AT81" i="16" l="1"/>
  <c r="AU81" i="16" s="1"/>
  <c r="AS82" i="16"/>
  <c r="AM81" i="16"/>
  <c r="AN81" i="16" s="1"/>
  <c r="AL82" i="16"/>
  <c r="AM82" i="16" l="1"/>
  <c r="AN82" i="16" s="1"/>
  <c r="AL83" i="16"/>
  <c r="AS83" i="16"/>
  <c r="AT82" i="16"/>
  <c r="AU82" i="16" s="1"/>
  <c r="AS84" i="16" l="1"/>
  <c r="AT83" i="16"/>
  <c r="AU83" i="16" s="1"/>
  <c r="AL84" i="16"/>
  <c r="AM83" i="16"/>
  <c r="AN83" i="16" s="1"/>
  <c r="AL85" i="16" l="1"/>
  <c r="AM84" i="16"/>
  <c r="AN84" i="16" s="1"/>
  <c r="AS85" i="16"/>
  <c r="AT84" i="16"/>
  <c r="AU84" i="16" s="1"/>
  <c r="AS86" i="16" l="1"/>
  <c r="AT85" i="16"/>
  <c r="AU85" i="16" s="1"/>
  <c r="AM85" i="16"/>
  <c r="AN85" i="16" s="1"/>
  <c r="AL86" i="16"/>
  <c r="AM86" i="16" l="1"/>
  <c r="AN86" i="16" s="1"/>
  <c r="AL87" i="16"/>
  <c r="AT86" i="16"/>
  <c r="AU86" i="16" s="1"/>
  <c r="AS87" i="16"/>
  <c r="AS88" i="16" l="1"/>
  <c r="AT87" i="16"/>
  <c r="AU87" i="16" s="1"/>
  <c r="AM87" i="16"/>
  <c r="AN87" i="16" s="1"/>
  <c r="AL88" i="16"/>
  <c r="AM88" i="16" l="1"/>
  <c r="AN88" i="16" s="1"/>
  <c r="AL89" i="16"/>
  <c r="AS89" i="16"/>
  <c r="AT88" i="16"/>
  <c r="AU88" i="16" s="1"/>
  <c r="AT89" i="16" l="1"/>
  <c r="AU89" i="16" s="1"/>
  <c r="AS90" i="16"/>
  <c r="AM89" i="16"/>
  <c r="AN89" i="16" s="1"/>
  <c r="AL90" i="16"/>
  <c r="AM90" i="16" l="1"/>
  <c r="AN90" i="16" s="1"/>
  <c r="AL91" i="16"/>
  <c r="AT90" i="16"/>
  <c r="AU90" i="16" s="1"/>
  <c r="AS91" i="16"/>
  <c r="AT91" i="16" l="1"/>
  <c r="AU91" i="16" s="1"/>
  <c r="AS92" i="16"/>
  <c r="AL92" i="16"/>
  <c r="AM91" i="16"/>
  <c r="AN91" i="16" s="1"/>
  <c r="AL93" i="16" l="1"/>
  <c r="AM92" i="16"/>
  <c r="AN92" i="16" s="1"/>
  <c r="AT92" i="16"/>
  <c r="AU92" i="16" s="1"/>
  <c r="AS93" i="16"/>
  <c r="AS94" i="16" l="1"/>
  <c r="AT93" i="16"/>
  <c r="AU93" i="16" s="1"/>
  <c r="AM93" i="16"/>
  <c r="AN93" i="16" s="1"/>
  <c r="AL94" i="16"/>
  <c r="AM94" i="16" l="1"/>
  <c r="AN94" i="16" s="1"/>
  <c r="AL95" i="16"/>
  <c r="AS95" i="16"/>
  <c r="AT94" i="16"/>
  <c r="AU94" i="16" s="1"/>
  <c r="AT95" i="16" l="1"/>
  <c r="AU95" i="16" s="1"/>
  <c r="AS96" i="16"/>
  <c r="AM95" i="16"/>
  <c r="AN95" i="16" s="1"/>
  <c r="AL96" i="16"/>
  <c r="AL97" i="16" l="1"/>
  <c r="AM96" i="16"/>
  <c r="AN96" i="16" s="1"/>
  <c r="AS97" i="16"/>
  <c r="AT96" i="16"/>
  <c r="AU96" i="16" s="1"/>
  <c r="AS98" i="16" l="1"/>
  <c r="AT97" i="16"/>
  <c r="AU97" i="16" s="1"/>
  <c r="AL98" i="16"/>
  <c r="AM97" i="16"/>
  <c r="AN97" i="16" s="1"/>
  <c r="AM98" i="16" l="1"/>
  <c r="AN98" i="16" s="1"/>
  <c r="AL99" i="16"/>
  <c r="AS99" i="16"/>
  <c r="AT98" i="16"/>
  <c r="AU98" i="16" s="1"/>
  <c r="AT99" i="16" l="1"/>
  <c r="AU99" i="16" s="1"/>
  <c r="AS100" i="16"/>
  <c r="AM99" i="16"/>
  <c r="AN99" i="16" s="1"/>
  <c r="AL100" i="16"/>
  <c r="AL101" i="16" l="1"/>
  <c r="AM100" i="16"/>
  <c r="AN100" i="16" s="1"/>
  <c r="AT100" i="16"/>
  <c r="AU100" i="16" s="1"/>
  <c r="AS101" i="16"/>
  <c r="AT101" i="16" l="1"/>
  <c r="AU101" i="16" s="1"/>
  <c r="AS102" i="16"/>
  <c r="AL102" i="16"/>
  <c r="AM101" i="16"/>
  <c r="AN101" i="16" s="1"/>
  <c r="AL103" i="16" l="1"/>
  <c r="AM102" i="16"/>
  <c r="AN102" i="16" s="1"/>
  <c r="AS103" i="16"/>
  <c r="AT102" i="16"/>
  <c r="AU102" i="16" s="1"/>
  <c r="AS104" i="16" l="1"/>
  <c r="AT103" i="16"/>
  <c r="AU103" i="16" s="1"/>
  <c r="AL104" i="16"/>
  <c r="AM103" i="16"/>
  <c r="AN103" i="16" s="1"/>
  <c r="AL105" i="16" l="1"/>
  <c r="AM104" i="16"/>
  <c r="AN104" i="16" s="1"/>
  <c r="AS105" i="16"/>
  <c r="AT104" i="16"/>
  <c r="AU104" i="16" s="1"/>
  <c r="AT105" i="16" l="1"/>
  <c r="AU105" i="16" s="1"/>
  <c r="AS106" i="16"/>
  <c r="AL106" i="16"/>
  <c r="AM105" i="16"/>
  <c r="AN105" i="16" s="1"/>
  <c r="AM106" i="16" l="1"/>
  <c r="AN106" i="16" s="1"/>
  <c r="AL107" i="16"/>
  <c r="AS107" i="16"/>
  <c r="AT106" i="16"/>
  <c r="AU106" i="16" s="1"/>
  <c r="AT107" i="16" l="1"/>
  <c r="AU107" i="16" s="1"/>
  <c r="AS108" i="16"/>
  <c r="AL108" i="16"/>
  <c r="AM107" i="16"/>
  <c r="AN107" i="16" s="1"/>
  <c r="AL109" i="16" l="1"/>
  <c r="AM108" i="16"/>
  <c r="AN108" i="16" s="1"/>
  <c r="AT108" i="16"/>
  <c r="AU108" i="16" s="1"/>
  <c r="AS109" i="16"/>
  <c r="AS110" i="16" l="1"/>
  <c r="AT109" i="16"/>
  <c r="AU109" i="16" s="1"/>
  <c r="AL110" i="16"/>
  <c r="AM109" i="16"/>
  <c r="AN109" i="16" s="1"/>
  <c r="AM110" i="16" l="1"/>
  <c r="AN110" i="16" s="1"/>
  <c r="AL111" i="16"/>
  <c r="AS111" i="16"/>
  <c r="AT110" i="16"/>
  <c r="AU110" i="16" s="1"/>
  <c r="AT111" i="16" l="1"/>
  <c r="AU111" i="16" s="1"/>
  <c r="AS112" i="16"/>
  <c r="AL112" i="16"/>
  <c r="AM111" i="16"/>
  <c r="AN111" i="16" s="1"/>
  <c r="AL113" i="16" l="1"/>
  <c r="AM112" i="16"/>
  <c r="AN112" i="16" s="1"/>
  <c r="AS113" i="16"/>
  <c r="AT112" i="16"/>
  <c r="AU112" i="16" s="1"/>
  <c r="AS114" i="16" l="1"/>
  <c r="AT113" i="16"/>
  <c r="AU113" i="16" s="1"/>
  <c r="AL114" i="16"/>
  <c r="AM113" i="16"/>
  <c r="AN113" i="16" s="1"/>
  <c r="AM114" i="16" l="1"/>
  <c r="AN114" i="16" s="1"/>
  <c r="AL115" i="16"/>
  <c r="AT114" i="16"/>
  <c r="AU114" i="16" s="1"/>
  <c r="AS115" i="16"/>
  <c r="AS116" i="16" l="1"/>
  <c r="AT115" i="16"/>
  <c r="AU115" i="16" s="1"/>
  <c r="AM115" i="16"/>
  <c r="AN115" i="16" s="1"/>
  <c r="AL116" i="16"/>
  <c r="AM116" i="16" l="1"/>
  <c r="AN116" i="16" s="1"/>
  <c r="AL117" i="16"/>
  <c r="AT116" i="16"/>
  <c r="AU116" i="16" s="1"/>
  <c r="AS117" i="16"/>
  <c r="AT117" i="16" l="1"/>
  <c r="AU117" i="16" s="1"/>
  <c r="AS118" i="16"/>
  <c r="AM117" i="16"/>
  <c r="AN117" i="16" s="1"/>
  <c r="AL118" i="16"/>
  <c r="AL119" i="16" l="1"/>
  <c r="AM118" i="16"/>
  <c r="AN118" i="16" s="1"/>
  <c r="AS119" i="16"/>
  <c r="AT118" i="16"/>
  <c r="AU118" i="16" s="1"/>
  <c r="AT119" i="16" l="1"/>
  <c r="AU119" i="16" s="1"/>
  <c r="AS120" i="16"/>
  <c r="AL120" i="16"/>
  <c r="AM119" i="16"/>
  <c r="AN119" i="16" s="1"/>
  <c r="AL121" i="16" l="1"/>
  <c r="AM120" i="16"/>
  <c r="AN120" i="16" s="1"/>
  <c r="AS121" i="16"/>
  <c r="AT120" i="16"/>
  <c r="AU120" i="16" s="1"/>
  <c r="AT121" i="16" l="1"/>
  <c r="AU121" i="16" s="1"/>
  <c r="AS122" i="16"/>
  <c r="AL122" i="16"/>
  <c r="AM121" i="16"/>
  <c r="AN121" i="16" s="1"/>
  <c r="AM122" i="16" l="1"/>
  <c r="AN122" i="16" s="1"/>
  <c r="AL123" i="16"/>
  <c r="AT122" i="16"/>
  <c r="AU122" i="16" s="1"/>
  <c r="AS123" i="16"/>
  <c r="AT123" i="16" l="1"/>
  <c r="AU123" i="16" s="1"/>
  <c r="AS124" i="16"/>
  <c r="AM123" i="16"/>
  <c r="AN123" i="16" s="1"/>
  <c r="AL124" i="16"/>
  <c r="AM124" i="16" l="1"/>
  <c r="AN124" i="16" s="1"/>
  <c r="AL125" i="16"/>
  <c r="AS125" i="16"/>
  <c r="AT124" i="16"/>
  <c r="AU124" i="16" s="1"/>
  <c r="AT125" i="16" l="1"/>
  <c r="AU125" i="16" s="1"/>
  <c r="AS126" i="16"/>
  <c r="AL126" i="16"/>
  <c r="AM125" i="16"/>
  <c r="AN125" i="16" s="1"/>
  <c r="AL127" i="16" l="1"/>
  <c r="AM126" i="16"/>
  <c r="AN126" i="16" s="1"/>
  <c r="AT126" i="16"/>
  <c r="AU126" i="16" s="1"/>
  <c r="AS127" i="16"/>
  <c r="AS128" i="16" l="1"/>
  <c r="AT127" i="16"/>
  <c r="AU127" i="16" s="1"/>
  <c r="AM127" i="16"/>
  <c r="AN127" i="16" s="1"/>
  <c r="AL128" i="16"/>
  <c r="AM128" i="16" l="1"/>
  <c r="AN128" i="16" s="1"/>
  <c r="AL129" i="16"/>
  <c r="AS129" i="16"/>
  <c r="AT128" i="16"/>
  <c r="AU128" i="16" s="1"/>
  <c r="AS130" i="16" l="1"/>
  <c r="AT129" i="16"/>
  <c r="AU129" i="16" s="1"/>
  <c r="AM129" i="16"/>
  <c r="AN129" i="16" s="1"/>
  <c r="AL130" i="16"/>
  <c r="AM130" i="16" l="1"/>
  <c r="AN130" i="16" s="1"/>
  <c r="AL131" i="16"/>
  <c r="AS131" i="16"/>
  <c r="AT130" i="16"/>
  <c r="AU130" i="16" s="1"/>
  <c r="AL132" i="16" l="1"/>
  <c r="AM131" i="16"/>
  <c r="AN131" i="16" s="1"/>
  <c r="AS132" i="16"/>
  <c r="AT131" i="16"/>
  <c r="AU131" i="16" s="1"/>
  <c r="AT132" i="16" l="1"/>
  <c r="AU132" i="16" s="1"/>
  <c r="AS133" i="16"/>
  <c r="AM132" i="16"/>
  <c r="AN132" i="16" s="1"/>
  <c r="AL133" i="16"/>
  <c r="AL134" i="16" l="1"/>
  <c r="AM133" i="16"/>
  <c r="AN133" i="16" s="1"/>
  <c r="AT133" i="16"/>
  <c r="AU133" i="16" s="1"/>
  <c r="AS134" i="16"/>
  <c r="AS135" i="16" l="1"/>
  <c r="AT134" i="16"/>
  <c r="AU134" i="16" s="1"/>
  <c r="AL135" i="16"/>
  <c r="AM134" i="16"/>
  <c r="AN134" i="16" s="1"/>
  <c r="AM135" i="16" l="1"/>
  <c r="AN135" i="16" s="1"/>
  <c r="AL136" i="16"/>
  <c r="AS136" i="16"/>
  <c r="AT135" i="16"/>
  <c r="AU135" i="16" s="1"/>
  <c r="AT136" i="16" l="1"/>
  <c r="AU136" i="16" s="1"/>
  <c r="AS137" i="16"/>
  <c r="AM136" i="16"/>
  <c r="AN136" i="16" s="1"/>
  <c r="AL137" i="16"/>
  <c r="AL138" i="16" l="1"/>
  <c r="AM137" i="16"/>
  <c r="AN137" i="16" s="1"/>
  <c r="AS138" i="16"/>
  <c r="AT137" i="16"/>
  <c r="AU137" i="16" s="1"/>
  <c r="AS139" i="16" l="1"/>
  <c r="AT138" i="16"/>
  <c r="AU138" i="16" s="1"/>
  <c r="AM138" i="16"/>
  <c r="AN138" i="16" s="1"/>
  <c r="AL139" i="16"/>
  <c r="AL140" i="16" l="1"/>
  <c r="AM139" i="16"/>
  <c r="AN139" i="16" s="1"/>
  <c r="AT139" i="16"/>
  <c r="AU139" i="16" s="1"/>
  <c r="AS140" i="16"/>
  <c r="AT140" i="16" l="1"/>
  <c r="AU140" i="16" s="1"/>
  <c r="AS141" i="16"/>
  <c r="AL141" i="16"/>
  <c r="AM140" i="16"/>
  <c r="AN140" i="16" s="1"/>
  <c r="AM141" i="16" l="1"/>
  <c r="AN141" i="16" s="1"/>
  <c r="AL142" i="16"/>
  <c r="AT141" i="16"/>
  <c r="AU141" i="16" s="1"/>
  <c r="AS142" i="16"/>
  <c r="AT142" i="16" l="1"/>
  <c r="AU142" i="16" s="1"/>
  <c r="AS143" i="16"/>
  <c r="AM142" i="16"/>
  <c r="AN142" i="16" s="1"/>
  <c r="AL143" i="16"/>
  <c r="AL144" i="16" l="1"/>
  <c r="AM143" i="16"/>
  <c r="AN143" i="16" s="1"/>
  <c r="AS144" i="16"/>
  <c r="AT143" i="16"/>
  <c r="AU143" i="16" s="1"/>
  <c r="AS145" i="16" l="1"/>
  <c r="AT144" i="16"/>
  <c r="AU144" i="16" s="1"/>
  <c r="AL145" i="16"/>
  <c r="AM144" i="16"/>
  <c r="AN144" i="16" s="1"/>
  <c r="AL146" i="16" l="1"/>
  <c r="AM145" i="16"/>
  <c r="AN145" i="16" s="1"/>
  <c r="AT145" i="16"/>
  <c r="AU145" i="16" s="1"/>
  <c r="AS146" i="16"/>
  <c r="AS147" i="16" l="1"/>
  <c r="AT146" i="16"/>
  <c r="AU146" i="16" s="1"/>
  <c r="AM146" i="16"/>
  <c r="AN146" i="16" s="1"/>
  <c r="AL147" i="16"/>
  <c r="AM147" i="16" l="1"/>
  <c r="AN147" i="16" s="1"/>
  <c r="AL148" i="16"/>
  <c r="AT147" i="16"/>
  <c r="AU147" i="16" s="1"/>
  <c r="AS148" i="16"/>
  <c r="AT148" i="16" l="1"/>
  <c r="AU148" i="16" s="1"/>
  <c r="AS149" i="16"/>
  <c r="AL149" i="16"/>
  <c r="AM148" i="16"/>
  <c r="AN148" i="16" s="1"/>
  <c r="AL150" i="16" l="1"/>
  <c r="AM149" i="16"/>
  <c r="AN149" i="16" s="1"/>
  <c r="AS150" i="16"/>
  <c r="AT149" i="16"/>
  <c r="AU149" i="16" s="1"/>
  <c r="AS151" i="16" l="1"/>
  <c r="AT150" i="16"/>
  <c r="AU150" i="16" s="1"/>
  <c r="AM150" i="16"/>
  <c r="AN150" i="16" s="1"/>
  <c r="AL151" i="16"/>
  <c r="AL152" i="16" l="1"/>
  <c r="AM151" i="16"/>
  <c r="AN151" i="16" s="1"/>
  <c r="AS152" i="16"/>
  <c r="AT151" i="16"/>
  <c r="AU151" i="16" s="1"/>
  <c r="AT152" i="16" l="1"/>
  <c r="AU152" i="16" s="1"/>
  <c r="AS153" i="16"/>
  <c r="AM152" i="16"/>
  <c r="AN152" i="16" s="1"/>
  <c r="AL153" i="16"/>
  <c r="AL154" i="16" l="1"/>
  <c r="AM153" i="16"/>
  <c r="AN153" i="16" s="1"/>
  <c r="AS154" i="16"/>
  <c r="AT153" i="16"/>
  <c r="AU153" i="16" s="1"/>
  <c r="AS155" i="16" l="1"/>
  <c r="AT154" i="16"/>
  <c r="AU154" i="16" s="1"/>
  <c r="AM154" i="16"/>
  <c r="AN154" i="16" s="1"/>
  <c r="AL155" i="16"/>
  <c r="AM155" i="16" l="1"/>
  <c r="AN155" i="16" s="1"/>
  <c r="AL156" i="16"/>
  <c r="AS156" i="16"/>
  <c r="AT155" i="16"/>
  <c r="AU155" i="16" s="1"/>
  <c r="AT156" i="16" l="1"/>
  <c r="AU156" i="16" s="1"/>
  <c r="AS157" i="16"/>
  <c r="AL157" i="16"/>
  <c r="AM156" i="16"/>
  <c r="AN156" i="16" s="1"/>
  <c r="AM157" i="16" l="1"/>
  <c r="AN157" i="16" s="1"/>
  <c r="AL158" i="16"/>
  <c r="AT157" i="16"/>
  <c r="AU157" i="16" s="1"/>
  <c r="AS158" i="16"/>
  <c r="AT158" i="16" l="1"/>
  <c r="AU158" i="16" s="1"/>
  <c r="AS159" i="16"/>
  <c r="AL159" i="16"/>
  <c r="AM158" i="16"/>
  <c r="AN158" i="16" s="1"/>
  <c r="AM159" i="16" l="1"/>
  <c r="AN159" i="16" s="1"/>
  <c r="AL160" i="16"/>
  <c r="AT159" i="16"/>
  <c r="AU159" i="16" s="1"/>
  <c r="AS160" i="16"/>
  <c r="AS161" i="16" l="1"/>
  <c r="AT160" i="16"/>
  <c r="AU160" i="16" s="1"/>
  <c r="AL161" i="16"/>
  <c r="AM160" i="16"/>
  <c r="AN160" i="16" s="1"/>
  <c r="AL162" i="16" l="1"/>
  <c r="AM161" i="16"/>
  <c r="AN161" i="16" s="1"/>
  <c r="AT161" i="16"/>
  <c r="AU161" i="16" s="1"/>
  <c r="AS162" i="16"/>
  <c r="AT162" i="16" l="1"/>
  <c r="AU162" i="16" s="1"/>
  <c r="AS163" i="16"/>
  <c r="AL163" i="16"/>
  <c r="AM162" i="16"/>
  <c r="AN162" i="16" s="1"/>
  <c r="AM163" i="16" l="1"/>
  <c r="AN163" i="16" s="1"/>
  <c r="AL164" i="16"/>
  <c r="AS164" i="16"/>
  <c r="AT163" i="16"/>
  <c r="AU163" i="16" s="1"/>
  <c r="AT164" i="16" l="1"/>
  <c r="AU164" i="16" s="1"/>
  <c r="AS165" i="16"/>
  <c r="AM164" i="16"/>
  <c r="AN164" i="16" s="1"/>
  <c r="AL165" i="16"/>
  <c r="AL166" i="16" l="1"/>
  <c r="AM165" i="16"/>
  <c r="AN165" i="16" s="1"/>
  <c r="AS166" i="16"/>
  <c r="AT165" i="16"/>
  <c r="AU165" i="16" s="1"/>
  <c r="AS167" i="16" l="1"/>
  <c r="AT166" i="16"/>
  <c r="AU166" i="16" s="1"/>
  <c r="AM166" i="16"/>
  <c r="AN166" i="16" s="1"/>
  <c r="AL167" i="16"/>
  <c r="AM167" i="16" l="1"/>
  <c r="AN167" i="16" s="1"/>
  <c r="AL168" i="16"/>
  <c r="AS168" i="16"/>
  <c r="AT167" i="16"/>
  <c r="AU167" i="16" s="1"/>
  <c r="AT168" i="16" l="1"/>
  <c r="AU168" i="16" s="1"/>
  <c r="AS169" i="16"/>
  <c r="AL169" i="16"/>
  <c r="AM168" i="16"/>
  <c r="AN168" i="16" s="1"/>
  <c r="AL170" i="16" l="1"/>
  <c r="AM169" i="16"/>
  <c r="AN169" i="16" s="1"/>
  <c r="AT169" i="16"/>
  <c r="AU169" i="16" s="1"/>
  <c r="AS170" i="16"/>
  <c r="AS171" i="16" l="1"/>
  <c r="AT170" i="16"/>
  <c r="AU170" i="16" s="1"/>
  <c r="AM170" i="16"/>
  <c r="AN170" i="16" s="1"/>
  <c r="AL171" i="16"/>
  <c r="AL172" i="16" l="1"/>
  <c r="AM171" i="16"/>
  <c r="AN171" i="16" s="1"/>
  <c r="AT171" i="16"/>
  <c r="AU171" i="16" s="1"/>
  <c r="AS172" i="16"/>
  <c r="AS173" i="16" l="1"/>
  <c r="AT172" i="16"/>
  <c r="AU172" i="16" s="1"/>
  <c r="AM172" i="16"/>
  <c r="AN172" i="16" s="1"/>
  <c r="AL173" i="16"/>
  <c r="AM173" i="16" l="1"/>
  <c r="AN173" i="16" s="1"/>
  <c r="AL174" i="16"/>
  <c r="AS174" i="16"/>
  <c r="AT173" i="16"/>
  <c r="AU173" i="16" s="1"/>
  <c r="AT174" i="16" l="1"/>
  <c r="AU174" i="16" s="1"/>
  <c r="AS175" i="16"/>
  <c r="AL175" i="16"/>
  <c r="AM174" i="16"/>
  <c r="AN174" i="16" s="1"/>
  <c r="AM175" i="16" l="1"/>
  <c r="AN175" i="16" s="1"/>
  <c r="AL176" i="16"/>
  <c r="AT175" i="16"/>
  <c r="AU175" i="16" s="1"/>
  <c r="AS176" i="16"/>
  <c r="AT176" i="16" l="1"/>
  <c r="AU176" i="16" s="1"/>
  <c r="AS177" i="16"/>
  <c r="AM176" i="16"/>
  <c r="AN176" i="16" s="1"/>
  <c r="AL177" i="16"/>
  <c r="AL178" i="16" l="1"/>
  <c r="AM177" i="16"/>
  <c r="AN177" i="16" s="1"/>
  <c r="AT177" i="16"/>
  <c r="AU177" i="16" s="1"/>
  <c r="AS178" i="16"/>
  <c r="AS179" i="16" l="1"/>
  <c r="AT178" i="16"/>
  <c r="AU178" i="16" s="1"/>
  <c r="AL179" i="16"/>
  <c r="AM178" i="16"/>
  <c r="AN178" i="16" s="1"/>
  <c r="AM179" i="16" l="1"/>
  <c r="AN179" i="16" s="1"/>
  <c r="AL180" i="16"/>
  <c r="AT179" i="16"/>
  <c r="AU179" i="16" s="1"/>
  <c r="AS180" i="16"/>
  <c r="AT180" i="16" l="1"/>
  <c r="AU180" i="16" s="1"/>
  <c r="AS181" i="16"/>
  <c r="AM180" i="16"/>
  <c r="AN180" i="16" s="1"/>
  <c r="AL181" i="16"/>
  <c r="AM181" i="16" l="1"/>
  <c r="AN181" i="16" s="1"/>
  <c r="AL182" i="16"/>
  <c r="AS182" i="16"/>
  <c r="AT181" i="16"/>
  <c r="AU181" i="16" s="1"/>
  <c r="AS183" i="16" l="1"/>
  <c r="AT182" i="16"/>
  <c r="AU182" i="16" s="1"/>
  <c r="AL183" i="16"/>
  <c r="AM182" i="16"/>
  <c r="AN182" i="16" s="1"/>
  <c r="AL184" i="16" l="1"/>
  <c r="AM183" i="16"/>
  <c r="AN183" i="16" s="1"/>
  <c r="AT183" i="16"/>
  <c r="AU183" i="16" s="1"/>
  <c r="AS184" i="16"/>
  <c r="AT184" i="16" l="1"/>
  <c r="AU184" i="16" s="1"/>
  <c r="AS185" i="16"/>
  <c r="AM184" i="16"/>
  <c r="AN184" i="16" s="1"/>
  <c r="AL185" i="16"/>
  <c r="AM185" i="16" l="1"/>
  <c r="AN185" i="16" s="1"/>
  <c r="AL186" i="16"/>
  <c r="AT185" i="16"/>
  <c r="AU185" i="16" s="1"/>
  <c r="AS186" i="16"/>
  <c r="AS187" i="16" l="1"/>
  <c r="AT186" i="16"/>
  <c r="AU186" i="16" s="1"/>
  <c r="AL187" i="16"/>
  <c r="AM186" i="16"/>
  <c r="AN186" i="16" s="1"/>
  <c r="AM187" i="16" l="1"/>
  <c r="AN187" i="16" s="1"/>
  <c r="AL188" i="16"/>
  <c r="AS188" i="16"/>
  <c r="AT187" i="16"/>
  <c r="AU187" i="16" s="1"/>
  <c r="AT188" i="16" l="1"/>
  <c r="AU188" i="16" s="1"/>
  <c r="AS189" i="16"/>
  <c r="AL189" i="16"/>
  <c r="AM188" i="16"/>
  <c r="AN188" i="16" s="1"/>
  <c r="AM189" i="16" l="1"/>
  <c r="AN189" i="16" s="1"/>
  <c r="AL190" i="16"/>
  <c r="AT189" i="16"/>
  <c r="AU189" i="16" s="1"/>
  <c r="AS190" i="16"/>
  <c r="AT190" i="16" l="1"/>
  <c r="AU190" i="16" s="1"/>
  <c r="AS191" i="16"/>
  <c r="AM190" i="16"/>
  <c r="AN190" i="16" s="1"/>
  <c r="AL191" i="16"/>
  <c r="AT191" i="16" l="1"/>
  <c r="AU191" i="16" s="1"/>
  <c r="AS192" i="16"/>
  <c r="AM191" i="16"/>
  <c r="AN191" i="16" s="1"/>
  <c r="AL192" i="16"/>
  <c r="AM192" i="16" l="1"/>
  <c r="AN192" i="16" s="1"/>
  <c r="AL193" i="16"/>
  <c r="AT192" i="16"/>
  <c r="AU192" i="16" s="1"/>
  <c r="AS193" i="16"/>
  <c r="AT193" i="16" l="1"/>
  <c r="AU193" i="16" s="1"/>
  <c r="AS194" i="16"/>
  <c r="AL194" i="16"/>
  <c r="AM193" i="16"/>
  <c r="AN193" i="16" s="1"/>
  <c r="AM194" i="16" l="1"/>
  <c r="AN194" i="16" s="1"/>
  <c r="AL195" i="16"/>
  <c r="AS195" i="16"/>
  <c r="AT194" i="16"/>
  <c r="AU194" i="16" s="1"/>
  <c r="AS196" i="16" l="1"/>
  <c r="AT195" i="16"/>
  <c r="AU195" i="16" s="1"/>
  <c r="AM195" i="16"/>
  <c r="AN195" i="16" s="1"/>
  <c r="AL196" i="16"/>
  <c r="AL197" i="16" l="1"/>
  <c r="AM196" i="16"/>
  <c r="AN196" i="16" s="1"/>
  <c r="AT196" i="16"/>
  <c r="AU196" i="16" s="1"/>
  <c r="AS197" i="16"/>
  <c r="AT197" i="16" l="1"/>
  <c r="AU197" i="16" s="1"/>
  <c r="AS198" i="16"/>
  <c r="AL198" i="16"/>
  <c r="AM197" i="16"/>
  <c r="AN197" i="16" s="1"/>
  <c r="AM198" i="16" l="1"/>
  <c r="AN198" i="16" s="1"/>
  <c r="AL199" i="16"/>
  <c r="AT198" i="16"/>
  <c r="AU198" i="16" s="1"/>
  <c r="AS199" i="16"/>
  <c r="AS200" i="16" l="1"/>
  <c r="AT199" i="16"/>
  <c r="AU199" i="16" s="1"/>
  <c r="AM199" i="16"/>
  <c r="AN199" i="16" s="1"/>
  <c r="AL200" i="16"/>
  <c r="AM200" i="16" l="1"/>
  <c r="AN200" i="16" s="1"/>
  <c r="AL201" i="16"/>
  <c r="AT200" i="16"/>
  <c r="AU200" i="16" s="1"/>
  <c r="AS201" i="16"/>
  <c r="AS202" i="16" l="1"/>
  <c r="AT201" i="16"/>
  <c r="AU201" i="16" s="1"/>
  <c r="AM201" i="16"/>
  <c r="AN201" i="16" s="1"/>
  <c r="AL202" i="16"/>
  <c r="AL203" i="16" l="1"/>
  <c r="AM202" i="16"/>
  <c r="AN202" i="16" s="1"/>
  <c r="AT202" i="16"/>
  <c r="AU202" i="16" s="1"/>
  <c r="AS203" i="16"/>
  <c r="AT203" i="16" l="1"/>
  <c r="AU203" i="16" s="1"/>
  <c r="AS204" i="16"/>
  <c r="AL204" i="16"/>
  <c r="AM203" i="16"/>
  <c r="AN203" i="16" s="1"/>
  <c r="AM204" i="16" l="1"/>
  <c r="AN204" i="16" s="1"/>
  <c r="AL205" i="16"/>
  <c r="AT204" i="16"/>
  <c r="AU204" i="16" s="1"/>
  <c r="AS205" i="16"/>
  <c r="AS206" i="16" l="1"/>
  <c r="AT205" i="16"/>
  <c r="AU205" i="16" s="1"/>
  <c r="AM205" i="16"/>
  <c r="AN205" i="16" s="1"/>
  <c r="AL206" i="16"/>
  <c r="AM206" i="16" l="1"/>
  <c r="AN206" i="16" s="1"/>
  <c r="AL207" i="16"/>
  <c r="AS207" i="16"/>
  <c r="AT206" i="16"/>
  <c r="AU206" i="16" s="1"/>
  <c r="AT207" i="16" l="1"/>
  <c r="AU207" i="16" s="1"/>
  <c r="AS208" i="16"/>
  <c r="AM207" i="16"/>
  <c r="AN207" i="16" s="1"/>
  <c r="AL208" i="16"/>
  <c r="AL209" i="16" l="1"/>
  <c r="AM208" i="16"/>
  <c r="AN208" i="16" s="1"/>
  <c r="AS209" i="16"/>
  <c r="AT208" i="16"/>
  <c r="AU208" i="16" s="1"/>
  <c r="AT209" i="16" l="1"/>
  <c r="AU209" i="16" s="1"/>
  <c r="AS210" i="16"/>
  <c r="AM209" i="16"/>
  <c r="AN209" i="16" s="1"/>
  <c r="AL210" i="16"/>
  <c r="AM210" i="16" l="1"/>
  <c r="AN210" i="16" s="1"/>
  <c r="AL211" i="16"/>
  <c r="AT210" i="16"/>
  <c r="AU210" i="16" s="1"/>
  <c r="AS211" i="16"/>
  <c r="AT211" i="16" l="1"/>
  <c r="AU211" i="16" s="1"/>
  <c r="AS212" i="16"/>
  <c r="AM211" i="16"/>
  <c r="AN211" i="16" s="1"/>
  <c r="AL212" i="16"/>
  <c r="AL213" i="16" l="1"/>
  <c r="AM212" i="16"/>
  <c r="AN212" i="16" s="1"/>
  <c r="AS213" i="16"/>
  <c r="AT212" i="16"/>
  <c r="AU212" i="16" s="1"/>
  <c r="AT213" i="16" l="1"/>
  <c r="AU213" i="16" s="1"/>
  <c r="AS214" i="16"/>
  <c r="AL214" i="16"/>
  <c r="AM213" i="16"/>
  <c r="AN213" i="16" s="1"/>
  <c r="AM214" i="16" l="1"/>
  <c r="AN214" i="16" s="1"/>
  <c r="AL215" i="16"/>
  <c r="AS215" i="16"/>
  <c r="AT214" i="16"/>
  <c r="AU214" i="16" s="1"/>
  <c r="AT215" i="16" l="1"/>
  <c r="AU215" i="16" s="1"/>
  <c r="AS216" i="16"/>
  <c r="AL216" i="16"/>
  <c r="AM215" i="16"/>
  <c r="AN215" i="16" s="1"/>
  <c r="AL217" i="16" l="1"/>
  <c r="AM216" i="16"/>
  <c r="AN216" i="16" s="1"/>
  <c r="AS217" i="16"/>
  <c r="AT216" i="16"/>
  <c r="AU216" i="16" s="1"/>
  <c r="AS218" i="16" l="1"/>
  <c r="AT217" i="16"/>
  <c r="AU217" i="16" s="1"/>
  <c r="AM217" i="16"/>
  <c r="AN217" i="16" s="1"/>
  <c r="AL218" i="16"/>
  <c r="AL219" i="16" l="1"/>
  <c r="AM218" i="16"/>
  <c r="AN218" i="16" s="1"/>
  <c r="AT218" i="16"/>
  <c r="AU218" i="16" s="1"/>
  <c r="AS219" i="16"/>
  <c r="AT219" i="16" l="1"/>
  <c r="AU219" i="16" s="1"/>
  <c r="AS220" i="16"/>
  <c r="AM219" i="16"/>
  <c r="AN219" i="16" s="1"/>
  <c r="AL220" i="16"/>
  <c r="AL221" i="16" l="1"/>
  <c r="AM220" i="16"/>
  <c r="AN220" i="16" s="1"/>
  <c r="AT220" i="16"/>
  <c r="AU220" i="16" s="1"/>
  <c r="AS221" i="16"/>
  <c r="AT221" i="16" l="1"/>
  <c r="AU221" i="16" s="1"/>
  <c r="AS222" i="16"/>
  <c r="AM221" i="16"/>
  <c r="AN221" i="16" s="1"/>
  <c r="AL222" i="16"/>
  <c r="AM222" i="16" l="1"/>
  <c r="AN222" i="16" s="1"/>
  <c r="AL223" i="16"/>
  <c r="AS223" i="16"/>
  <c r="AT222" i="16"/>
  <c r="AU222" i="16" s="1"/>
  <c r="AT223" i="16" l="1"/>
  <c r="AU223" i="16" s="1"/>
  <c r="AS224" i="16"/>
  <c r="AL224" i="16"/>
  <c r="AM223" i="16"/>
  <c r="AN223" i="16" s="1"/>
  <c r="AS225" i="16" l="1"/>
  <c r="AT224" i="16"/>
  <c r="AU224" i="16" s="1"/>
  <c r="AL225" i="16"/>
  <c r="AM224" i="16"/>
  <c r="AN224" i="16" s="1"/>
  <c r="AM225" i="16" l="1"/>
  <c r="AN225" i="16" s="1"/>
  <c r="AL226" i="16"/>
  <c r="AT225" i="16"/>
  <c r="AU225" i="16" s="1"/>
  <c r="AS226" i="16"/>
  <c r="AT226" i="16" l="1"/>
  <c r="AU226" i="16" s="1"/>
  <c r="AS227" i="16"/>
  <c r="AL227" i="16"/>
  <c r="AM226" i="16"/>
  <c r="AN226" i="16" s="1"/>
  <c r="AM227" i="16" l="1"/>
  <c r="AN227" i="16" s="1"/>
  <c r="AL228" i="16"/>
  <c r="AS228" i="16"/>
  <c r="AT227" i="16"/>
  <c r="AU227" i="16" s="1"/>
  <c r="AT228" i="16" l="1"/>
  <c r="AU228" i="16" s="1"/>
  <c r="AS229" i="16"/>
  <c r="AM228" i="16"/>
  <c r="AN228" i="16" s="1"/>
  <c r="AL229" i="16"/>
  <c r="AL230" i="16" l="1"/>
  <c r="AM229" i="16"/>
  <c r="AN229" i="16" s="1"/>
  <c r="AT229" i="16"/>
  <c r="AU229" i="16" s="1"/>
  <c r="AS230" i="16"/>
  <c r="AT230" i="16" l="1"/>
  <c r="AU230" i="16" s="1"/>
  <c r="AS231" i="16"/>
  <c r="AM230" i="16"/>
  <c r="AN230" i="16" s="1"/>
  <c r="AL231" i="16"/>
  <c r="AL232" i="16" l="1"/>
  <c r="AM231" i="16"/>
  <c r="AN231" i="16" s="1"/>
  <c r="AS232" i="16"/>
  <c r="AT231" i="16"/>
  <c r="AU231" i="16" s="1"/>
  <c r="AS233" i="16" l="1"/>
  <c r="AT232" i="16"/>
  <c r="AU232" i="16" s="1"/>
  <c r="AM232" i="16"/>
  <c r="AN232" i="16" s="1"/>
  <c r="AL233" i="16"/>
  <c r="AL234" i="16" l="1"/>
  <c r="AM233" i="16"/>
  <c r="AN233" i="16" s="1"/>
  <c r="AT233" i="16"/>
  <c r="AU233" i="16" s="1"/>
  <c r="AS234" i="16"/>
  <c r="AT234" i="16" l="1"/>
  <c r="AU234" i="16" s="1"/>
  <c r="AS235" i="16"/>
  <c r="AM234" i="16"/>
  <c r="AN234" i="16" s="1"/>
  <c r="AL235" i="16"/>
  <c r="AM235" i="16" l="1"/>
  <c r="AN235" i="16" s="1"/>
  <c r="AL236" i="16"/>
  <c r="AS236" i="16"/>
  <c r="AT235" i="16"/>
  <c r="AU235" i="16" s="1"/>
  <c r="AS237" i="16" l="1"/>
  <c r="AT236" i="16"/>
  <c r="AU236" i="16" s="1"/>
  <c r="AM236" i="16"/>
  <c r="AN236" i="16" s="1"/>
  <c r="AL237" i="16"/>
  <c r="AM237" i="16" l="1"/>
  <c r="AN237" i="16" s="1"/>
  <c r="AL238" i="16"/>
  <c r="AT237" i="16"/>
  <c r="AU237" i="16" s="1"/>
  <c r="AS238" i="16"/>
  <c r="AT238" i="16" l="1"/>
  <c r="AU238" i="16" s="1"/>
  <c r="AS239" i="16"/>
  <c r="AM238" i="16"/>
  <c r="AN238" i="16" s="1"/>
  <c r="AL239" i="16"/>
  <c r="AL240" i="16" l="1"/>
  <c r="AM239" i="16"/>
  <c r="AN239" i="16" s="1"/>
  <c r="AS240" i="16"/>
  <c r="AT239" i="16"/>
  <c r="AU239" i="16" s="1"/>
  <c r="AT240" i="16" l="1"/>
  <c r="AU240" i="16" s="1"/>
  <c r="AS241" i="16"/>
  <c r="AL241" i="16"/>
  <c r="AM240" i="16"/>
  <c r="AN240" i="16" s="1"/>
  <c r="AL242" i="16" l="1"/>
  <c r="AM241" i="16"/>
  <c r="AN241" i="16" s="1"/>
  <c r="AT241" i="16"/>
  <c r="AU241" i="16" s="1"/>
  <c r="AS242" i="16"/>
  <c r="AT242" i="16" l="1"/>
  <c r="AU242" i="16" s="1"/>
  <c r="AS243" i="16"/>
  <c r="AM242" i="16"/>
  <c r="AN242" i="16" s="1"/>
  <c r="AL243" i="16"/>
  <c r="AM243" i="16" l="1"/>
  <c r="AN243" i="16" s="1"/>
  <c r="AL244" i="16"/>
  <c r="AS244" i="16"/>
  <c r="AT243" i="16"/>
  <c r="AU243" i="16" s="1"/>
  <c r="AT244" i="16" l="1"/>
  <c r="AU244" i="16" s="1"/>
  <c r="AS245" i="16"/>
  <c r="AM244" i="16"/>
  <c r="AN244" i="16" s="1"/>
  <c r="AL245" i="16"/>
  <c r="AL246" i="16" l="1"/>
  <c r="AM245" i="16"/>
  <c r="AN245" i="16" s="1"/>
  <c r="AT245" i="16"/>
  <c r="AU245" i="16" s="1"/>
  <c r="AS246" i="16"/>
  <c r="AS247" i="16" l="1"/>
  <c r="AT246" i="16"/>
  <c r="AU246" i="16" s="1"/>
  <c r="AM246" i="16"/>
  <c r="AN246" i="16" s="1"/>
  <c r="AL247" i="16"/>
  <c r="AL248" i="16" l="1"/>
  <c r="AM247" i="16"/>
  <c r="AN247" i="16" s="1"/>
  <c r="AS248" i="16"/>
  <c r="AT247" i="16"/>
  <c r="AU247" i="16" s="1"/>
  <c r="AS249" i="16" l="1"/>
  <c r="AT248" i="16"/>
  <c r="AU248" i="16" s="1"/>
  <c r="AM248" i="16"/>
  <c r="AN248" i="16" s="1"/>
  <c r="AL249" i="16"/>
  <c r="AM249" i="16" l="1"/>
  <c r="AN249" i="16" s="1"/>
  <c r="AL250" i="16"/>
  <c r="AS250" i="16"/>
  <c r="AT249" i="16"/>
  <c r="AU249" i="16" s="1"/>
  <c r="AS251" i="16" l="1"/>
  <c r="AT250" i="16"/>
  <c r="AU250" i="16" s="1"/>
  <c r="AM250" i="16"/>
  <c r="AN250" i="16" s="1"/>
  <c r="AL251" i="16"/>
  <c r="AL252" i="16" l="1"/>
  <c r="AM251" i="16"/>
  <c r="AN251" i="16" s="1"/>
  <c r="AT251" i="16"/>
  <c r="AU251" i="16" s="1"/>
  <c r="AS252" i="16"/>
  <c r="AT252" i="16" l="1"/>
  <c r="AU252" i="16" s="1"/>
  <c r="AS253" i="16"/>
  <c r="AM252" i="16"/>
  <c r="AN252" i="16" s="1"/>
  <c r="AL253" i="16"/>
  <c r="AM253" i="16" l="1"/>
  <c r="AN253" i="16" s="1"/>
  <c r="AL254" i="16"/>
  <c r="AS254" i="16"/>
  <c r="AT253" i="16"/>
  <c r="AU253" i="16" s="1"/>
  <c r="AT254" i="16" l="1"/>
  <c r="AU254" i="16" s="1"/>
  <c r="AS255" i="16"/>
  <c r="AM254" i="16"/>
  <c r="AN254" i="16" s="1"/>
  <c r="AL255" i="16"/>
  <c r="AM255" i="16" l="1"/>
  <c r="AN255" i="16" s="1"/>
  <c r="AL256" i="16"/>
  <c r="AT255" i="16"/>
  <c r="AU255" i="16" s="1"/>
  <c r="AS256" i="16"/>
  <c r="AS257" i="16" l="1"/>
  <c r="AT256" i="16"/>
  <c r="AU256" i="16" s="1"/>
  <c r="AM256" i="16"/>
  <c r="AN256" i="16" s="1"/>
  <c r="AL257" i="16"/>
  <c r="AL258" i="16" l="1"/>
  <c r="AM257" i="16"/>
  <c r="AN257" i="16" s="1"/>
  <c r="AT257" i="16"/>
  <c r="AU257" i="16" s="1"/>
  <c r="AS258" i="16"/>
  <c r="AS259" i="16" l="1"/>
  <c r="AT258" i="16"/>
  <c r="AU258" i="16" s="1"/>
  <c r="AM258" i="16"/>
  <c r="AN258" i="16" s="1"/>
  <c r="AL259" i="16"/>
  <c r="AL260" i="16" l="1"/>
  <c r="AM259" i="16"/>
  <c r="AN259" i="16" s="1"/>
  <c r="AS260" i="16"/>
  <c r="AT259" i="16"/>
  <c r="AU259" i="16" s="1"/>
  <c r="AS261" i="16" l="1"/>
  <c r="AT260" i="16"/>
  <c r="AU260" i="16" s="1"/>
  <c r="AM260" i="16"/>
  <c r="AN260" i="16" s="1"/>
  <c r="AL261" i="16"/>
  <c r="AM261" i="16" l="1"/>
  <c r="AN261" i="16" s="1"/>
  <c r="AL262" i="16"/>
  <c r="AT261" i="16"/>
  <c r="AU261" i="16" s="1"/>
  <c r="AS262" i="16"/>
  <c r="AT262" i="16" l="1"/>
  <c r="AU262" i="16" s="1"/>
  <c r="AS263" i="16"/>
  <c r="AM262" i="16"/>
  <c r="AN262" i="16" s="1"/>
  <c r="AL263" i="16"/>
  <c r="AM263" i="16" l="1"/>
  <c r="AN263" i="16" s="1"/>
  <c r="AL264" i="16"/>
  <c r="AS264" i="16"/>
  <c r="AT263" i="16"/>
  <c r="AU263" i="16" s="1"/>
  <c r="AT264" i="16" l="1"/>
  <c r="AU264" i="16" s="1"/>
  <c r="AS265" i="16"/>
  <c r="AM264" i="16"/>
  <c r="AN264" i="16" s="1"/>
  <c r="AL265" i="16"/>
  <c r="AM265" i="16" l="1"/>
  <c r="AN265" i="16" s="1"/>
  <c r="AL266" i="16"/>
  <c r="AT265" i="16"/>
  <c r="AU265" i="16" s="1"/>
  <c r="AS266" i="16"/>
  <c r="AS267" i="16" l="1"/>
  <c r="AT266" i="16"/>
  <c r="AU266" i="16" s="1"/>
  <c r="AL267" i="16"/>
  <c r="AM266" i="16"/>
  <c r="AN266" i="16" s="1"/>
  <c r="AL268" i="16" l="1"/>
  <c r="AM267" i="16"/>
  <c r="AN267" i="16" s="1"/>
  <c r="AS268" i="16"/>
  <c r="AT267" i="16"/>
  <c r="AU267" i="16" s="1"/>
  <c r="AS269" i="16" l="1"/>
  <c r="AT268" i="16"/>
  <c r="AU268" i="16" s="1"/>
  <c r="AM268" i="16"/>
  <c r="AN268" i="16" s="1"/>
  <c r="AL269" i="16"/>
  <c r="AM269" i="16" l="1"/>
  <c r="AN269" i="16" s="1"/>
  <c r="AL270" i="16"/>
  <c r="AS270" i="16"/>
  <c r="AT269" i="16"/>
  <c r="AU269" i="16" s="1"/>
  <c r="AS271" i="16" l="1"/>
  <c r="AT270" i="16"/>
  <c r="AU270" i="16" s="1"/>
  <c r="AL271" i="16"/>
  <c r="AM270" i="16"/>
  <c r="AN270" i="16" s="1"/>
  <c r="AL272" i="16" l="1"/>
  <c r="AM271" i="16"/>
  <c r="AN271" i="16" s="1"/>
  <c r="AS272" i="16"/>
  <c r="AT271" i="16"/>
  <c r="AU271" i="16" s="1"/>
  <c r="AT272" i="16" l="1"/>
  <c r="AU272" i="16" s="1"/>
  <c r="AS273" i="16"/>
  <c r="AL273" i="16"/>
  <c r="AM272" i="16"/>
  <c r="AN272" i="16" s="1"/>
  <c r="AM273" i="16" l="1"/>
  <c r="AN273" i="16" s="1"/>
  <c r="AL274" i="16"/>
  <c r="AS274" i="16"/>
  <c r="AT273" i="16"/>
  <c r="AU273" i="16" s="1"/>
  <c r="AT274" i="16" l="1"/>
  <c r="AU274" i="16" s="1"/>
  <c r="AS275" i="16"/>
  <c r="AM274" i="16"/>
  <c r="AN274" i="16" s="1"/>
  <c r="AL275" i="16"/>
  <c r="AL276" i="16" l="1"/>
  <c r="AM275" i="16"/>
  <c r="AN275" i="16" s="1"/>
  <c r="AT275" i="16"/>
  <c r="AU275" i="16" s="1"/>
  <c r="AS276" i="16"/>
  <c r="AS277" i="16" l="1"/>
  <c r="AT276" i="16"/>
  <c r="AU276" i="16" s="1"/>
  <c r="AM276" i="16"/>
  <c r="AN276" i="16" s="1"/>
  <c r="AL277" i="16"/>
  <c r="AM277" i="16" l="1"/>
  <c r="AN277" i="16" s="1"/>
  <c r="AL278" i="16"/>
  <c r="AS278" i="16"/>
  <c r="AT277" i="16"/>
  <c r="AU277" i="16" s="1"/>
  <c r="AT278" i="16" l="1"/>
  <c r="AU278" i="16" s="1"/>
  <c r="AS279" i="16"/>
  <c r="AM278" i="16"/>
  <c r="AN278" i="16" s="1"/>
  <c r="AL279" i="16"/>
  <c r="AM279" i="16" l="1"/>
  <c r="AN279" i="16" s="1"/>
  <c r="AL280" i="16"/>
  <c r="AT279" i="16"/>
  <c r="AU279" i="16" s="1"/>
  <c r="AS280" i="16"/>
  <c r="AT280" i="16" l="1"/>
  <c r="AU280" i="16" s="1"/>
  <c r="AS281" i="16"/>
  <c r="AM280" i="16"/>
  <c r="AN280" i="16" s="1"/>
  <c r="AL281" i="16"/>
  <c r="AS282" i="16" l="1"/>
  <c r="AT281" i="16"/>
  <c r="AU281" i="16" s="1"/>
  <c r="AL282" i="16"/>
  <c r="AM281" i="16"/>
  <c r="AN281" i="16" s="1"/>
  <c r="AM282" i="16" l="1"/>
  <c r="AN282" i="16" s="1"/>
  <c r="AL283" i="16"/>
  <c r="AT282" i="16"/>
  <c r="AU282" i="16" s="1"/>
  <c r="AS283" i="16"/>
  <c r="AS284" i="16" l="1"/>
  <c r="AT283" i="16"/>
  <c r="AU283" i="16" s="1"/>
  <c r="AL284" i="16"/>
  <c r="AM283" i="16"/>
  <c r="AN283" i="16" s="1"/>
  <c r="AM284" i="16" l="1"/>
  <c r="AN284" i="16" s="1"/>
  <c r="AL285" i="16"/>
  <c r="AT284" i="16"/>
  <c r="AU284" i="16" s="1"/>
  <c r="AS285" i="16"/>
  <c r="AS286" i="16" l="1"/>
  <c r="AT285" i="16"/>
  <c r="AU285" i="16" s="1"/>
  <c r="AL286" i="16"/>
  <c r="AM285" i="16"/>
  <c r="AN285" i="16" s="1"/>
  <c r="AM286" i="16" l="1"/>
  <c r="AN286" i="16" s="1"/>
  <c r="AL287" i="16"/>
  <c r="AS287" i="16"/>
  <c r="AT286" i="16"/>
  <c r="AU286" i="16" s="1"/>
  <c r="AT287" i="16" l="1"/>
  <c r="AU287" i="16" s="1"/>
  <c r="AS288" i="16"/>
  <c r="AM287" i="16"/>
  <c r="AN287" i="16" s="1"/>
  <c r="AL288" i="16"/>
  <c r="AM288" i="16" l="1"/>
  <c r="AN288" i="16" s="1"/>
  <c r="AL289" i="16"/>
  <c r="AT288" i="16"/>
  <c r="AU288" i="16" s="1"/>
  <c r="AS289" i="16"/>
  <c r="AT289" i="16" l="1"/>
  <c r="AU289" i="16" s="1"/>
  <c r="AS290" i="16"/>
  <c r="AM289" i="16"/>
  <c r="AN289" i="16" s="1"/>
  <c r="AL290" i="16"/>
  <c r="AM290" i="16" l="1"/>
  <c r="AN290" i="16" s="1"/>
  <c r="AL291" i="16"/>
  <c r="AS291" i="16"/>
  <c r="AT290" i="16"/>
  <c r="AU290" i="16" s="1"/>
  <c r="AS292" i="16" l="1"/>
  <c r="AT291" i="16"/>
  <c r="AU291" i="16" s="1"/>
  <c r="AL292" i="16"/>
  <c r="AM291" i="16"/>
  <c r="AN291" i="16" s="1"/>
  <c r="AL293" i="16" l="1"/>
  <c r="AM292" i="16"/>
  <c r="AN292" i="16" s="1"/>
  <c r="AT292" i="16"/>
  <c r="AU292" i="16" s="1"/>
  <c r="AS293" i="16"/>
  <c r="AT293" i="16" l="1"/>
  <c r="AU293" i="16" s="1"/>
  <c r="AS294" i="16"/>
  <c r="AL294" i="16"/>
  <c r="AM293" i="16"/>
  <c r="AN293" i="16" s="1"/>
  <c r="AL295" i="16" l="1"/>
  <c r="AM294" i="16"/>
  <c r="AN294" i="16" s="1"/>
  <c r="AS295" i="16"/>
  <c r="AT294" i="16"/>
  <c r="AU294" i="16" s="1"/>
  <c r="AT295" i="16" l="1"/>
  <c r="AU295" i="16" s="1"/>
  <c r="AS296" i="16"/>
  <c r="AM295" i="16"/>
  <c r="AN295" i="16" s="1"/>
  <c r="AL296" i="16"/>
  <c r="AL297" i="16" l="1"/>
  <c r="AM296" i="16"/>
  <c r="AN296" i="16" s="1"/>
  <c r="AS297" i="16"/>
  <c r="AT296" i="16"/>
  <c r="AU296" i="16" s="1"/>
  <c r="AT297" i="16" l="1"/>
  <c r="AU297" i="16" s="1"/>
  <c r="AS298" i="16"/>
  <c r="AM297" i="16"/>
  <c r="AN297" i="16" s="1"/>
  <c r="AL298" i="16"/>
  <c r="AL299" i="16" l="1"/>
  <c r="AM298" i="16"/>
  <c r="AN298" i="16" s="1"/>
  <c r="AS299" i="16"/>
  <c r="AT298" i="16"/>
  <c r="AU298" i="16" s="1"/>
  <c r="AS300" i="16" l="1"/>
  <c r="AT299" i="16"/>
  <c r="AU299" i="16" s="1"/>
  <c r="AM299" i="16"/>
  <c r="AN299" i="16" s="1"/>
  <c r="AL300" i="16"/>
  <c r="AM300" i="16" l="1"/>
  <c r="AN300" i="16" s="1"/>
  <c r="AL301" i="16"/>
  <c r="AS301" i="16"/>
  <c r="AT300" i="16"/>
  <c r="AU300" i="16" s="1"/>
  <c r="AT301" i="16" l="1"/>
  <c r="AU301" i="16" s="1"/>
  <c r="AS302" i="16"/>
  <c r="AM301" i="16"/>
  <c r="AN301" i="16" s="1"/>
  <c r="AL302" i="16"/>
  <c r="AL303" i="16" l="1"/>
  <c r="AM302" i="16"/>
  <c r="AN302" i="16" s="1"/>
  <c r="AT302" i="16"/>
  <c r="AU302" i="16" s="1"/>
  <c r="AS303" i="16"/>
  <c r="AT303" i="16" l="1"/>
  <c r="AU303" i="16" s="1"/>
  <c r="AS304" i="16"/>
  <c r="AM303" i="16"/>
  <c r="AN303" i="16" s="1"/>
  <c r="AL304" i="16"/>
  <c r="AL305" i="16" l="1"/>
  <c r="AM304" i="16"/>
  <c r="AN304" i="16" s="1"/>
  <c r="AT304" i="16"/>
  <c r="AU304" i="16" s="1"/>
  <c r="AS305" i="16"/>
  <c r="AT305" i="16" l="1"/>
  <c r="AU305" i="16" s="1"/>
  <c r="AS306" i="16"/>
  <c r="AL306" i="16"/>
  <c r="AM305" i="16"/>
  <c r="AN305" i="16" s="1"/>
  <c r="AM306" i="16" l="1"/>
  <c r="AN306" i="16" s="1"/>
  <c r="AL307" i="16"/>
  <c r="AS307" i="16"/>
  <c r="AT306" i="16"/>
  <c r="AU306" i="16" s="1"/>
  <c r="AS308" i="16" l="1"/>
  <c r="AT307" i="16"/>
  <c r="AU307" i="16" s="1"/>
  <c r="AL308" i="16"/>
  <c r="AM307" i="16"/>
  <c r="AN307" i="16" s="1"/>
  <c r="AM308" i="16" l="1"/>
  <c r="AN308" i="16" s="1"/>
  <c r="AL309" i="16"/>
  <c r="AT308" i="16"/>
  <c r="AU308" i="16" s="1"/>
  <c r="AS309" i="16"/>
  <c r="AS310" i="16" l="1"/>
  <c r="AT309" i="16"/>
  <c r="AU309" i="16" s="1"/>
  <c r="AM309" i="16"/>
  <c r="AN309" i="16" s="1"/>
  <c r="AL310" i="16"/>
  <c r="AL311" i="16" l="1"/>
  <c r="AM310" i="16"/>
  <c r="AN310" i="16" s="1"/>
  <c r="AT310" i="16"/>
  <c r="AU310" i="16" s="1"/>
  <c r="AS311" i="16"/>
  <c r="AT311" i="16" l="1"/>
  <c r="AU311" i="16" s="1"/>
  <c r="AS312" i="16"/>
  <c r="AM311" i="16"/>
  <c r="AN311" i="16" s="1"/>
  <c r="AL312" i="16"/>
  <c r="AM312" i="16" l="1"/>
  <c r="AN312" i="16" s="1"/>
  <c r="AL313" i="16"/>
  <c r="AS313" i="16"/>
  <c r="AT312" i="16"/>
  <c r="AU312" i="16" s="1"/>
  <c r="AS314" i="16" l="1"/>
  <c r="AT313" i="16"/>
  <c r="AU313" i="16" s="1"/>
  <c r="AM313" i="16"/>
  <c r="AN313" i="16" s="1"/>
  <c r="AL314" i="16"/>
  <c r="AL315" i="16" l="1"/>
  <c r="AM314" i="16"/>
  <c r="AN314" i="16" s="1"/>
  <c r="AT314" i="16"/>
  <c r="AU314" i="16" s="1"/>
  <c r="AS315" i="16"/>
  <c r="AS316" i="16" l="1"/>
  <c r="AT315" i="16"/>
  <c r="AU315" i="16" s="1"/>
  <c r="AL316" i="16"/>
  <c r="AM315" i="16"/>
  <c r="AN315" i="16" s="1"/>
  <c r="AM316" i="16" l="1"/>
  <c r="AN316" i="16" s="1"/>
  <c r="AL317" i="16"/>
  <c r="AS317" i="16"/>
  <c r="AT316" i="16"/>
  <c r="AU316" i="16" s="1"/>
  <c r="AT317" i="16" l="1"/>
  <c r="AU317" i="16" s="1"/>
  <c r="AS318" i="16"/>
  <c r="AL318" i="16"/>
  <c r="AM317" i="16"/>
  <c r="AN317" i="16" s="1"/>
  <c r="AM318" i="16" l="1"/>
  <c r="AN318" i="16" s="1"/>
  <c r="AL319" i="16"/>
  <c r="AS319" i="16"/>
  <c r="AT318" i="16"/>
  <c r="AU318" i="16" s="1"/>
  <c r="AT319" i="16" l="1"/>
  <c r="AU319" i="16" s="1"/>
  <c r="AS320" i="16"/>
  <c r="AM319" i="16"/>
  <c r="AN319" i="16" s="1"/>
  <c r="AL320" i="16"/>
  <c r="AL321" i="16" l="1"/>
  <c r="AM320" i="16"/>
  <c r="AN320" i="16" s="1"/>
  <c r="AS321" i="16"/>
  <c r="AT320" i="16"/>
  <c r="AU320" i="16" s="1"/>
  <c r="AS322" i="16" l="1"/>
  <c r="AT321" i="16"/>
  <c r="AU321" i="16" s="1"/>
  <c r="AM321" i="16"/>
  <c r="AN321" i="16" s="1"/>
  <c r="AL322" i="16"/>
  <c r="AL323" i="16" l="1"/>
  <c r="AM322" i="16"/>
  <c r="AN322" i="16" s="1"/>
  <c r="AS323" i="16"/>
  <c r="AT322" i="16"/>
  <c r="AU322" i="16" s="1"/>
  <c r="AT323" i="16" l="1"/>
  <c r="AU323" i="16" s="1"/>
  <c r="AS324" i="16"/>
  <c r="AL324" i="16"/>
  <c r="AM323" i="16"/>
  <c r="AN323" i="16" s="1"/>
  <c r="AL325" i="16" l="1"/>
  <c r="AM324" i="16"/>
  <c r="AN324" i="16" s="1"/>
  <c r="AT324" i="16"/>
  <c r="AU324" i="16" s="1"/>
  <c r="AS325" i="16"/>
  <c r="AS326" i="16" l="1"/>
  <c r="AT325" i="16"/>
  <c r="AU325" i="16" s="1"/>
  <c r="AL326" i="16"/>
  <c r="AM325" i="16"/>
  <c r="AN325" i="16" s="1"/>
  <c r="AM326" i="16" l="1"/>
  <c r="AN326" i="16" s="1"/>
  <c r="AL327" i="16"/>
  <c r="AT326" i="16"/>
  <c r="AU326" i="16" s="1"/>
  <c r="AS327" i="16"/>
  <c r="AS328" i="16" l="1"/>
  <c r="AT327" i="16"/>
  <c r="AU327" i="16" s="1"/>
  <c r="AL328" i="16"/>
  <c r="AM327" i="16"/>
  <c r="AN327" i="16" s="1"/>
  <c r="AM328" i="16" l="1"/>
  <c r="AN328" i="16" s="1"/>
  <c r="AL329" i="16"/>
  <c r="AS329" i="16"/>
  <c r="AT328" i="16"/>
  <c r="AU328" i="16" s="1"/>
  <c r="AS330" i="16" l="1"/>
  <c r="AT329" i="16"/>
  <c r="AU329" i="16" s="1"/>
  <c r="AL330" i="16"/>
  <c r="AM329" i="16"/>
  <c r="AN329" i="16" s="1"/>
  <c r="AM330" i="16" l="1"/>
  <c r="AN330" i="16" s="1"/>
  <c r="AL331" i="16"/>
  <c r="AT330" i="16"/>
  <c r="AU330" i="16" s="1"/>
  <c r="AS331" i="16"/>
  <c r="AT331" i="16" l="1"/>
  <c r="AU331" i="16" s="1"/>
  <c r="AS332" i="16"/>
  <c r="AM331" i="16"/>
  <c r="AN331" i="16" s="1"/>
  <c r="AL332" i="16"/>
  <c r="AM332" i="16" l="1"/>
  <c r="AN332" i="16" s="1"/>
  <c r="AL333" i="16"/>
  <c r="AS333" i="16"/>
  <c r="AT332" i="16"/>
  <c r="AU332" i="16" s="1"/>
  <c r="AS334" i="16" l="1"/>
  <c r="AT333" i="16"/>
  <c r="AU333" i="16" s="1"/>
  <c r="AL334" i="16"/>
  <c r="AM333" i="16"/>
  <c r="AN333" i="16" s="1"/>
  <c r="AM334" i="16" l="1"/>
  <c r="AN334" i="16" s="1"/>
  <c r="AL335" i="16"/>
  <c r="AS335" i="16"/>
  <c r="AT334" i="16"/>
  <c r="AU334" i="16" s="1"/>
  <c r="AS336" i="16" l="1"/>
  <c r="AT335" i="16"/>
  <c r="AU335" i="16" s="1"/>
  <c r="AL336" i="16"/>
  <c r="AM335" i="16"/>
  <c r="AN335" i="16" s="1"/>
  <c r="AL337" i="16" l="1"/>
  <c r="AM336" i="16"/>
  <c r="AN336" i="16" s="1"/>
  <c r="AS337" i="16"/>
  <c r="AT336" i="16"/>
  <c r="AU336" i="16" s="1"/>
  <c r="AT337" i="16" l="1"/>
  <c r="AU337" i="16" s="1"/>
  <c r="AS338" i="16"/>
  <c r="AL338" i="16"/>
  <c r="AM337" i="16"/>
  <c r="AN337" i="16" s="1"/>
  <c r="AL339" i="16" l="1"/>
  <c r="AM338" i="16"/>
  <c r="AN338" i="16" s="1"/>
  <c r="AT338" i="16"/>
  <c r="AU338" i="16" s="1"/>
  <c r="AS339" i="16"/>
  <c r="AT339" i="16" l="1"/>
  <c r="AU339" i="16" s="1"/>
  <c r="AS340" i="16"/>
  <c r="AM339" i="16"/>
  <c r="AN339" i="16" s="1"/>
  <c r="AL340" i="16"/>
  <c r="AL341" i="16" l="1"/>
  <c r="AM340" i="16"/>
  <c r="AN340" i="16" s="1"/>
  <c r="AS341" i="16"/>
  <c r="AT340" i="16"/>
  <c r="AU340" i="16" s="1"/>
  <c r="AS342" i="16" l="1"/>
  <c r="AT341" i="16"/>
  <c r="AU341" i="16" s="1"/>
  <c r="AL342" i="16"/>
  <c r="AM341" i="16"/>
  <c r="AN341" i="16" s="1"/>
  <c r="AM342" i="16" l="1"/>
  <c r="AN342" i="16" s="1"/>
  <c r="AL343" i="16"/>
  <c r="AS343" i="16"/>
  <c r="AT342" i="16"/>
  <c r="AU342" i="16" s="1"/>
  <c r="AT343" i="16" l="1"/>
  <c r="AU343" i="16" s="1"/>
  <c r="AS344" i="16"/>
  <c r="AL344" i="16"/>
  <c r="AM343" i="16"/>
  <c r="AN343" i="16" s="1"/>
  <c r="AL345" i="16" l="1"/>
  <c r="AM344" i="16"/>
  <c r="AN344" i="16" s="1"/>
  <c r="AS345" i="16"/>
  <c r="AT344" i="16"/>
  <c r="AU344" i="16" s="1"/>
  <c r="AS346" i="16" l="1"/>
  <c r="AT345" i="16"/>
  <c r="AU345" i="16" s="1"/>
  <c r="AL346" i="16"/>
  <c r="AM345" i="16"/>
  <c r="AN345" i="16" s="1"/>
  <c r="AM346" i="16" l="1"/>
  <c r="AN346" i="16" s="1"/>
  <c r="AL347" i="16"/>
  <c r="AS347" i="16"/>
  <c r="AT346" i="16"/>
  <c r="AU346" i="16" s="1"/>
  <c r="AS348" i="16" l="1"/>
  <c r="AT347" i="16"/>
  <c r="AU347" i="16" s="1"/>
  <c r="AM347" i="16"/>
  <c r="AN347" i="16" s="1"/>
  <c r="AL348" i="16"/>
  <c r="AM348" i="16" l="1"/>
  <c r="AN348" i="16" s="1"/>
  <c r="AL349" i="16"/>
  <c r="AS349" i="16"/>
  <c r="AT348" i="16"/>
  <c r="AU348" i="16" s="1"/>
  <c r="AT349" i="16" l="1"/>
  <c r="AU349" i="16" s="1"/>
  <c r="AS350" i="16"/>
  <c r="AL350" i="16"/>
  <c r="AM349" i="16"/>
  <c r="AN349" i="16" s="1"/>
  <c r="AL351" i="16" l="1"/>
  <c r="AM350" i="16"/>
  <c r="AN350" i="16" s="1"/>
  <c r="AT350" i="16"/>
  <c r="AU350" i="16" s="1"/>
  <c r="AS351" i="16"/>
  <c r="AT351" i="16" l="1"/>
  <c r="AU351" i="16" s="1"/>
  <c r="AS352" i="16"/>
  <c r="AM351" i="16"/>
  <c r="AN351" i="16" s="1"/>
  <c r="AL352" i="16"/>
  <c r="AM352" i="16" l="1"/>
  <c r="AN352" i="16" s="1"/>
  <c r="AL353" i="16"/>
  <c r="AS353" i="16"/>
  <c r="AT352" i="16"/>
  <c r="AU352" i="16" s="1"/>
  <c r="AS354" i="16" l="1"/>
  <c r="AT353" i="16"/>
  <c r="AU353" i="16" s="1"/>
  <c r="AL354" i="16"/>
  <c r="AM353" i="16"/>
  <c r="AN353" i="16" s="1"/>
  <c r="AL355" i="16" l="1"/>
  <c r="AM354" i="16"/>
  <c r="AN354" i="16" s="1"/>
  <c r="AS355" i="16"/>
  <c r="AT354" i="16"/>
  <c r="AU354" i="16" s="1"/>
  <c r="AT355" i="16" l="1"/>
  <c r="AU355" i="16" s="1"/>
  <c r="AS356" i="16"/>
  <c r="AL356" i="16"/>
  <c r="AM355" i="16"/>
  <c r="AN355" i="16" s="1"/>
  <c r="AL357" i="16" l="1"/>
  <c r="AM356" i="16"/>
  <c r="AN356" i="16" s="1"/>
  <c r="AS357" i="16"/>
  <c r="AT356" i="16"/>
  <c r="AU356" i="16" s="1"/>
  <c r="AT357" i="16" l="1"/>
  <c r="AU357" i="16" s="1"/>
  <c r="AS358" i="16"/>
  <c r="AM357" i="16"/>
  <c r="AN357" i="16" s="1"/>
  <c r="AL358" i="16"/>
  <c r="AL359" i="16" l="1"/>
  <c r="AM358" i="16"/>
  <c r="AN358" i="16" s="1"/>
  <c r="AT358" i="16"/>
  <c r="AU358" i="16" s="1"/>
  <c r="AS359" i="16"/>
  <c r="AS360" i="16" l="1"/>
  <c r="AT359" i="16"/>
  <c r="AU359" i="16" s="1"/>
  <c r="AM359" i="16"/>
  <c r="AN359" i="16" s="1"/>
  <c r="AL360" i="16"/>
  <c r="AM360" i="16" l="1"/>
  <c r="AN360" i="16" s="1"/>
  <c r="AL361" i="16"/>
  <c r="AS361" i="16"/>
  <c r="AT360" i="16"/>
  <c r="AU360" i="16" s="1"/>
  <c r="AS362" i="16" l="1"/>
  <c r="AT361" i="16"/>
  <c r="AU361" i="16" s="1"/>
  <c r="AM361" i="16"/>
  <c r="AN361" i="16" s="1"/>
  <c r="AL362" i="16"/>
  <c r="AM362" i="16" l="1"/>
  <c r="AN362" i="16" s="1"/>
  <c r="AL363" i="16"/>
  <c r="AS363" i="16"/>
  <c r="AT362" i="16"/>
  <c r="AU362" i="16" s="1"/>
  <c r="AS364" i="16" l="1"/>
  <c r="AT363" i="16"/>
  <c r="AU363" i="16" s="1"/>
  <c r="AL364" i="16"/>
  <c r="AM363" i="16"/>
  <c r="AN363" i="16" s="1"/>
  <c r="AL365" i="16" l="1"/>
  <c r="AM364" i="16"/>
  <c r="AN364" i="16" s="1"/>
  <c r="AT364" i="16"/>
  <c r="AU364" i="16" s="1"/>
  <c r="AS365" i="16"/>
  <c r="AT365" i="16" l="1"/>
  <c r="AU365" i="16" s="1"/>
  <c r="AS366" i="16"/>
  <c r="AM365" i="16"/>
  <c r="AN365" i="16" s="1"/>
  <c r="AL366" i="16"/>
  <c r="AM366" i="16" l="1"/>
  <c r="AN366" i="16" s="1"/>
  <c r="AL367" i="16"/>
  <c r="AT366" i="16"/>
  <c r="AU366" i="16" s="1"/>
  <c r="AS367" i="16"/>
  <c r="AS368" i="16" l="1"/>
  <c r="AT368" i="16" s="1"/>
  <c r="AU368" i="16" s="1"/>
  <c r="AT367" i="16"/>
  <c r="AU367" i="16" s="1"/>
  <c r="AL368" i="16"/>
  <c r="AM368" i="16" s="1"/>
  <c r="AN368" i="16" s="1"/>
  <c r="AM367" i="16"/>
  <c r="AN367" i="16" s="1"/>
</calcChain>
</file>

<file path=xl/sharedStrings.xml><?xml version="1.0" encoding="utf-8"?>
<sst xmlns="http://schemas.openxmlformats.org/spreadsheetml/2006/main" count="10114" uniqueCount="913">
  <si>
    <t>South East</t>
  </si>
  <si>
    <t>South West</t>
  </si>
  <si>
    <t>Isles of Scilly</t>
  </si>
  <si>
    <t/>
  </si>
  <si>
    <t>Adur</t>
  </si>
  <si>
    <t>District</t>
  </si>
  <si>
    <t>Allerdale</t>
  </si>
  <si>
    <t>Amber Valley</t>
  </si>
  <si>
    <t>Arun</t>
  </si>
  <si>
    <t>Ashfield</t>
  </si>
  <si>
    <t>Ashford</t>
  </si>
  <si>
    <t>Aylesbury Vale</t>
  </si>
  <si>
    <t>Babergh</t>
  </si>
  <si>
    <t>Barrow-in-Furness</t>
  </si>
  <si>
    <t>Basildon</t>
  </si>
  <si>
    <t>Bassetlaw</t>
  </si>
  <si>
    <t>Blaby</t>
  </si>
  <si>
    <t>Bolsover</t>
  </si>
  <si>
    <t>Boston</t>
  </si>
  <si>
    <t>Braintree</t>
  </si>
  <si>
    <t>Breckland</t>
  </si>
  <si>
    <t>Brentwood</t>
  </si>
  <si>
    <t>Broadland</t>
  </si>
  <si>
    <t>Bromsgrove</t>
  </si>
  <si>
    <t>Broxbourne</t>
  </si>
  <si>
    <t>Broxtowe</t>
  </si>
  <si>
    <t>Burnley</t>
  </si>
  <si>
    <t>Cambridge</t>
  </si>
  <si>
    <t>Cannock Chase</t>
  </si>
  <si>
    <t>Canterbury</t>
  </si>
  <si>
    <t>Carlisle</t>
  </si>
  <si>
    <t>Castle Point</t>
  </si>
  <si>
    <t>Charnwood</t>
  </si>
  <si>
    <t>Chelmsford</t>
  </si>
  <si>
    <t>Cheltenham</t>
  </si>
  <si>
    <t>Cherwell</t>
  </si>
  <si>
    <t>Chesterfield</t>
  </si>
  <si>
    <t>Chichester</t>
  </si>
  <si>
    <t>Chiltern</t>
  </si>
  <si>
    <t>Chorley</t>
  </si>
  <si>
    <t>Christchurch</t>
  </si>
  <si>
    <t>Colchester</t>
  </si>
  <si>
    <t>Copeland</t>
  </si>
  <si>
    <t>Corby</t>
  </si>
  <si>
    <t>Cotswold</t>
  </si>
  <si>
    <t>Craven</t>
  </si>
  <si>
    <t>Crawley</t>
  </si>
  <si>
    <t>Dacorum</t>
  </si>
  <si>
    <t>Dartford</t>
  </si>
  <si>
    <t>Daventry</t>
  </si>
  <si>
    <t>Derbyshire Dales</t>
  </si>
  <si>
    <t>Dover</t>
  </si>
  <si>
    <t>East Cambridgeshire</t>
  </si>
  <si>
    <t>East Devon</t>
  </si>
  <si>
    <t>East Dorset</t>
  </si>
  <si>
    <t>East Hampshire</t>
  </si>
  <si>
    <t>East Hertfordshire</t>
  </si>
  <si>
    <t>East Lindsey</t>
  </si>
  <si>
    <t>East Northamptonshire</t>
  </si>
  <si>
    <t>East Staffordshire</t>
  </si>
  <si>
    <t>Eastbourne</t>
  </si>
  <si>
    <t>Eastleigh</t>
  </si>
  <si>
    <t>Eden</t>
  </si>
  <si>
    <t>Elmbridge</t>
  </si>
  <si>
    <t>Epping Forest</t>
  </si>
  <si>
    <t>Erewash</t>
  </si>
  <si>
    <t>Exeter</t>
  </si>
  <si>
    <t>Fareham</t>
  </si>
  <si>
    <t>Fenland</t>
  </si>
  <si>
    <t>Forest Heath</t>
  </si>
  <si>
    <t>Forest of Dean</t>
  </si>
  <si>
    <t>Fylde</t>
  </si>
  <si>
    <t>Gedling</t>
  </si>
  <si>
    <t>Gloucester</t>
  </si>
  <si>
    <t>Gosport</t>
  </si>
  <si>
    <t>Gravesham</t>
  </si>
  <si>
    <t>Great Yarmouth</t>
  </si>
  <si>
    <t>Guildford</t>
  </si>
  <si>
    <t>Hambleton</t>
  </si>
  <si>
    <t>Harborough</t>
  </si>
  <si>
    <t>Harlow</t>
  </si>
  <si>
    <t>Harrogate</t>
  </si>
  <si>
    <t>Hart</t>
  </si>
  <si>
    <t>Hastings</t>
  </si>
  <si>
    <t>Havant</t>
  </si>
  <si>
    <t>Hertsmere</t>
  </si>
  <si>
    <t>High Peak</t>
  </si>
  <si>
    <t>Horsham</t>
  </si>
  <si>
    <t>Huntingdonshire</t>
  </si>
  <si>
    <t>Hyndburn</t>
  </si>
  <si>
    <t>Ipswich</t>
  </si>
  <si>
    <t>Kettering</t>
  </si>
  <si>
    <t>Lancaster</t>
  </si>
  <si>
    <t>Lewes</t>
  </si>
  <si>
    <t>Lichfield</t>
  </si>
  <si>
    <t>Lincoln</t>
  </si>
  <si>
    <t>Maidstone</t>
  </si>
  <si>
    <t>Maldon</t>
  </si>
  <si>
    <t>Malvern Hills</t>
  </si>
  <si>
    <t>Mansfield</t>
  </si>
  <si>
    <t>Melton</t>
  </si>
  <si>
    <t>Mendip</t>
  </si>
  <si>
    <t>Mid Devon</t>
  </si>
  <si>
    <t>Mid Suffolk</t>
  </si>
  <si>
    <t>Mid Sussex</t>
  </si>
  <si>
    <t>Mole Valley</t>
  </si>
  <si>
    <t>New Forest</t>
  </si>
  <si>
    <t>Newcastle-under-Lyme</t>
  </si>
  <si>
    <t>North Devon</t>
  </si>
  <si>
    <t>North Dorset</t>
  </si>
  <si>
    <t>North East Derbyshire</t>
  </si>
  <si>
    <t>North Hertfordshire</t>
  </si>
  <si>
    <t>North Kesteven</t>
  </si>
  <si>
    <t>North Norfolk</t>
  </si>
  <si>
    <t>North Warwickshire</t>
  </si>
  <si>
    <t>North West Leicestershire</t>
  </si>
  <si>
    <t>Northampton</t>
  </si>
  <si>
    <t>Norwich</t>
  </si>
  <si>
    <t>Oxford</t>
  </si>
  <si>
    <t>Pendle</t>
  </si>
  <si>
    <t>Preston</t>
  </si>
  <si>
    <t>Purbeck</t>
  </si>
  <si>
    <t>Redditch</t>
  </si>
  <si>
    <t>Ribble Valley</t>
  </si>
  <si>
    <t>Richmondshire</t>
  </si>
  <si>
    <t>Rochford</t>
  </si>
  <si>
    <t>Rossendale</t>
  </si>
  <si>
    <t>Rother</t>
  </si>
  <si>
    <t>Rugby</t>
  </si>
  <si>
    <t>Runnymede</t>
  </si>
  <si>
    <t>Rushcliffe</t>
  </si>
  <si>
    <t>Rushmoor</t>
  </si>
  <si>
    <t>Ryedale</t>
  </si>
  <si>
    <t>Scarborough</t>
  </si>
  <si>
    <t>Sedgemoor</t>
  </si>
  <si>
    <t>Selby</t>
  </si>
  <si>
    <t>Sevenoaks</t>
  </si>
  <si>
    <t>South Bucks</t>
  </si>
  <si>
    <t>South Cambridgeshire</t>
  </si>
  <si>
    <t>South Derbyshire</t>
  </si>
  <si>
    <t>South Hams</t>
  </si>
  <si>
    <t>South Holland</t>
  </si>
  <si>
    <t>South Kesteven</t>
  </si>
  <si>
    <t>South Lakeland</t>
  </si>
  <si>
    <t>South Norfolk</t>
  </si>
  <si>
    <t>South Northamptonshire</t>
  </si>
  <si>
    <t>South Oxfordshire</t>
  </si>
  <si>
    <t>South Ribble</t>
  </si>
  <si>
    <t>South Somerset</t>
  </si>
  <si>
    <t>South Staffordshire</t>
  </si>
  <si>
    <t>Spelthorne</t>
  </si>
  <si>
    <t>St Albans</t>
  </si>
  <si>
    <t>St Edmundsbury</t>
  </si>
  <si>
    <t>Stafford</t>
  </si>
  <si>
    <t>Staffordshire Moorlands</t>
  </si>
  <si>
    <t>Stevenage</t>
  </si>
  <si>
    <t>Stratford-on-Avon</t>
  </si>
  <si>
    <t>Stroud</t>
  </si>
  <si>
    <t>Suffolk Coastal</t>
  </si>
  <si>
    <t>Surrey Heath</t>
  </si>
  <si>
    <t>Swale</t>
  </si>
  <si>
    <t>Tamworth</t>
  </si>
  <si>
    <t>Tandridge</t>
  </si>
  <si>
    <t>Taunton Deane</t>
  </si>
  <si>
    <t>Teignbridge</t>
  </si>
  <si>
    <t>Tendring</t>
  </si>
  <si>
    <t>Test Valley</t>
  </si>
  <si>
    <t>Tewkesbury</t>
  </si>
  <si>
    <t>Thanet</t>
  </si>
  <si>
    <t>Three Rivers</t>
  </si>
  <si>
    <t>Torridge</t>
  </si>
  <si>
    <t>Tunbridge Wells</t>
  </si>
  <si>
    <t>Uttlesford</t>
  </si>
  <si>
    <t>Vale of White Horse</t>
  </si>
  <si>
    <t>Warwick</t>
  </si>
  <si>
    <t>Watford</t>
  </si>
  <si>
    <t>Waveney</t>
  </si>
  <si>
    <t>Waverley</t>
  </si>
  <si>
    <t>Wealden</t>
  </si>
  <si>
    <t>Wellingborough</t>
  </si>
  <si>
    <t>Welwyn Hatfield</t>
  </si>
  <si>
    <t>West Devon</t>
  </si>
  <si>
    <t>West Dorset</t>
  </si>
  <si>
    <t>West Lancashire</t>
  </si>
  <si>
    <t>West Lindsey</t>
  </si>
  <si>
    <t>West Oxfordshire</t>
  </si>
  <si>
    <t>West Somerset</t>
  </si>
  <si>
    <t>Westminster</t>
  </si>
  <si>
    <t>Winchester</t>
  </si>
  <si>
    <t>Woking</t>
  </si>
  <si>
    <t>Worcester</t>
  </si>
  <si>
    <t>Worthing</t>
  </si>
  <si>
    <t>Wychavon</t>
  </si>
  <si>
    <t>Wycombe</t>
  </si>
  <si>
    <t>Wyre</t>
  </si>
  <si>
    <t>Wyre Forest</t>
  </si>
  <si>
    <t>Barnet</t>
  </si>
  <si>
    <t>Bexley</t>
  </si>
  <si>
    <t>Brent</t>
  </si>
  <si>
    <t>Bromley</t>
  </si>
  <si>
    <t>Camden</t>
  </si>
  <si>
    <t>Croydon</t>
  </si>
  <si>
    <t>Ealing</t>
  </si>
  <si>
    <t>Enfield</t>
  </si>
  <si>
    <t>Greenwich</t>
  </si>
  <si>
    <t>Hackney</t>
  </si>
  <si>
    <t>Haringey</t>
  </si>
  <si>
    <t>Harrow</t>
  </si>
  <si>
    <t>Havering</t>
  </si>
  <si>
    <t>Hillingdon</t>
  </si>
  <si>
    <t>Hounslow</t>
  </si>
  <si>
    <t>Islington</t>
  </si>
  <si>
    <t>Lambeth</t>
  </si>
  <si>
    <t>Lewisham</t>
  </si>
  <si>
    <t>Merton</t>
  </si>
  <si>
    <t>Newham</t>
  </si>
  <si>
    <t>Redbridge</t>
  </si>
  <si>
    <t>Southwark</t>
  </si>
  <si>
    <t>Sutton</t>
  </si>
  <si>
    <t>Tower Hamlets</t>
  </si>
  <si>
    <t>Waltham Forest</t>
  </si>
  <si>
    <t>Wandsworth</t>
  </si>
  <si>
    <t>Barnsley</t>
  </si>
  <si>
    <t>Birmingham</t>
  </si>
  <si>
    <t>Bolton</t>
  </si>
  <si>
    <t>Bradford</t>
  </si>
  <si>
    <t>Bury</t>
  </si>
  <si>
    <t>Calderdale</t>
  </si>
  <si>
    <t>Coventry</t>
  </si>
  <si>
    <t>Doncaster</t>
  </si>
  <si>
    <t>Dudley</t>
  </si>
  <si>
    <t>Gateshead</t>
  </si>
  <si>
    <t>Kirklees</t>
  </si>
  <si>
    <t>Knowsley</t>
  </si>
  <si>
    <t>Leeds</t>
  </si>
  <si>
    <t>Liverpool</t>
  </si>
  <si>
    <t>Manchester</t>
  </si>
  <si>
    <t>Newcastle upon Tyne</t>
  </si>
  <si>
    <t>North Tyneside</t>
  </si>
  <si>
    <t>Oldham</t>
  </si>
  <si>
    <t>Rochdale</t>
  </si>
  <si>
    <t>Rotherham</t>
  </si>
  <si>
    <t>Salford</t>
  </si>
  <si>
    <t>Sandwell</t>
  </si>
  <si>
    <t>Sefton</t>
  </si>
  <si>
    <t>Sheffield</t>
  </si>
  <si>
    <t>Solihull</t>
  </si>
  <si>
    <t>South Tyneside</t>
  </si>
  <si>
    <t>St Helens</t>
  </si>
  <si>
    <t>Stockport</t>
  </si>
  <si>
    <t>Sunderland</t>
  </si>
  <si>
    <t>Tameside</t>
  </si>
  <si>
    <t>Trafford</t>
  </si>
  <si>
    <t>Wakefield</t>
  </si>
  <si>
    <t>Walsall</t>
  </si>
  <si>
    <t>Wigan</t>
  </si>
  <si>
    <t>Wirral</t>
  </si>
  <si>
    <t>Wolverhampton</t>
  </si>
  <si>
    <t>Bath &amp; North East Somerset</t>
  </si>
  <si>
    <t>Bedford</t>
  </si>
  <si>
    <t>Blackburn with Darwen</t>
  </si>
  <si>
    <t>Blackpool</t>
  </si>
  <si>
    <t>Bournemouth</t>
  </si>
  <si>
    <t>Bracknell Forest</t>
  </si>
  <si>
    <t>Darlington</t>
  </si>
  <si>
    <t>Derby</t>
  </si>
  <si>
    <t>Durham</t>
  </si>
  <si>
    <t>East Riding of Yorkshire</t>
  </si>
  <si>
    <t>Halton</t>
  </si>
  <si>
    <t>Hartlepool</t>
  </si>
  <si>
    <t>Isle of Wight</t>
  </si>
  <si>
    <t>Leicester</t>
  </si>
  <si>
    <t>Luton</t>
  </si>
  <si>
    <t>Medway</t>
  </si>
  <si>
    <t>Middlesbrough</t>
  </si>
  <si>
    <t>Milton Keynes</t>
  </si>
  <si>
    <t>North East Lincolnshire</t>
  </si>
  <si>
    <t>North Lincolnshire</t>
  </si>
  <si>
    <t>North Somerset</t>
  </si>
  <si>
    <t>Nottingham</t>
  </si>
  <si>
    <t>Peterborough</t>
  </si>
  <si>
    <t>Plymouth</t>
  </si>
  <si>
    <t>Poole</t>
  </si>
  <si>
    <t>Portsmouth</t>
  </si>
  <si>
    <t>Reading</t>
  </si>
  <si>
    <t>Rutland</t>
  </si>
  <si>
    <t>Slough</t>
  </si>
  <si>
    <t>South Gloucestershire</t>
  </si>
  <si>
    <t>Southampton</t>
  </si>
  <si>
    <t>Southend-on-Sea</t>
  </si>
  <si>
    <t>Stockton-on-Tees</t>
  </si>
  <si>
    <t>Stoke-on-Trent</t>
  </si>
  <si>
    <t>Swindon</t>
  </si>
  <si>
    <t>Thurrock</t>
  </si>
  <si>
    <t>Torbay</t>
  </si>
  <si>
    <t>Warrington</t>
  </si>
  <si>
    <t>West Berkshire</t>
  </si>
  <si>
    <t>Wiltshire</t>
  </si>
  <si>
    <t>Wokingham</t>
  </si>
  <si>
    <t>York</t>
  </si>
  <si>
    <t>Buckinghamshire</t>
  </si>
  <si>
    <t>County</t>
  </si>
  <si>
    <t>Cambridgeshire</t>
  </si>
  <si>
    <t>Central Bedfordshire</t>
  </si>
  <si>
    <t>Cheshire East</t>
  </si>
  <si>
    <t>Cornwall</t>
  </si>
  <si>
    <t>Cumbria</t>
  </si>
  <si>
    <t>Derbyshire</t>
  </si>
  <si>
    <t>Devon</t>
  </si>
  <si>
    <t>Dorset</t>
  </si>
  <si>
    <t>East Sussex</t>
  </si>
  <si>
    <t>Essex</t>
  </si>
  <si>
    <t>Gloucestershire</t>
  </si>
  <si>
    <t>Hampshire</t>
  </si>
  <si>
    <t>Hertfordshire</t>
  </si>
  <si>
    <t>Kent</t>
  </si>
  <si>
    <t>Lancashire</t>
  </si>
  <si>
    <t>Leicestershire</t>
  </si>
  <si>
    <t>Lincolnshire</t>
  </si>
  <si>
    <t>Norfolk</t>
  </si>
  <si>
    <t>North Yorkshire</t>
  </si>
  <si>
    <t>Northamptonshire</t>
  </si>
  <si>
    <t>Northumberland</t>
  </si>
  <si>
    <t>Nottinghamshire</t>
  </si>
  <si>
    <t>Oxfordshire</t>
  </si>
  <si>
    <t>Shropshire</t>
  </si>
  <si>
    <t>Somerset</t>
  </si>
  <si>
    <t>Staffordshire</t>
  </si>
  <si>
    <t>Suffolk</t>
  </si>
  <si>
    <t>Surrey</t>
  </si>
  <si>
    <t>Warwickshire</t>
  </si>
  <si>
    <t>West Sussex</t>
  </si>
  <si>
    <t>Worcestershire</t>
  </si>
  <si>
    <t>Authority</t>
  </si>
  <si>
    <t>Authority:</t>
  </si>
  <si>
    <t>Sparse</t>
  </si>
  <si>
    <t>Hammersmith &amp; Fulham</t>
  </si>
  <si>
    <t>Kensington &amp; Chelsea</t>
  </si>
  <si>
    <t>Barking &amp; Dagenham</t>
  </si>
  <si>
    <t>Region</t>
  </si>
  <si>
    <t>Top Quartile</t>
  </si>
  <si>
    <t>Bottom Quartile</t>
  </si>
  <si>
    <t>Basingstoke &amp; Deane</t>
  </si>
  <si>
    <t>Epsom &amp; Ewell</t>
  </si>
  <si>
    <t>Hinckley &amp; Bosworth</t>
  </si>
  <si>
    <t>Newark &amp; Sherwood</t>
  </si>
  <si>
    <t>Nuneaton &amp; Bedworth</t>
  </si>
  <si>
    <t>Oadby &amp; Wigston</t>
  </si>
  <si>
    <t>Reigate &amp; Banstead</t>
  </si>
  <si>
    <t>Tonbridge &amp; Malling</t>
  </si>
  <si>
    <t>Weymouth &amp; Portland</t>
  </si>
  <si>
    <t>2nd Quartile</t>
  </si>
  <si>
    <t>3rd Quartile</t>
  </si>
  <si>
    <t>Rank</t>
  </si>
  <si>
    <t>out of</t>
  </si>
  <si>
    <t>u</t>
  </si>
  <si>
    <t>Key Benchmark Comparisons:</t>
  </si>
  <si>
    <t>J</t>
  </si>
  <si>
    <t>L</t>
  </si>
  <si>
    <t>Authority performance is better than benchmark.</t>
  </si>
  <si>
    <t>Authority performance is lower than benchmark.</t>
  </si>
  <si>
    <t>Indicator: (click in box for list of indicators)</t>
  </si>
  <si>
    <t>Top 20 authorities</t>
  </si>
  <si>
    <t>Value</t>
  </si>
  <si>
    <t>Period:</t>
  </si>
  <si>
    <t>Source:</t>
  </si>
  <si>
    <t>East Midlands</t>
  </si>
  <si>
    <t>West Midlands</t>
  </si>
  <si>
    <t>East of England</t>
  </si>
  <si>
    <t>City of London</t>
  </si>
  <si>
    <t>Significant Rural</t>
  </si>
  <si>
    <t>Analysis by rural / urban classification</t>
  </si>
  <si>
    <t>Sparse?</t>
  </si>
  <si>
    <t>Score</t>
  </si>
  <si>
    <t>in order</t>
  </si>
  <si>
    <t>North West</t>
  </si>
  <si>
    <t>King's Lynn &amp; West Norfolk</t>
  </si>
  <si>
    <t>Class</t>
  </si>
  <si>
    <t>Lower Level Rural/Urban Classification</t>
  </si>
  <si>
    <t>County Level Rural/Urban Classification</t>
  </si>
  <si>
    <t>SD</t>
  </si>
  <si>
    <t>Predominantly Rural</t>
  </si>
  <si>
    <t>London</t>
  </si>
  <si>
    <t>Predominantly Urban</t>
  </si>
  <si>
    <t>Yorkshire &amp; Humberside</t>
  </si>
  <si>
    <t>MD</t>
  </si>
  <si>
    <t>UA</t>
  </si>
  <si>
    <t>Bristol, City of</t>
  </si>
  <si>
    <t>SC</t>
  </si>
  <si>
    <t>NE</t>
  </si>
  <si>
    <t>Herefordshire, County of</t>
  </si>
  <si>
    <t>Kingston upon Hull, City of</t>
  </si>
  <si>
    <t>Kingston upon Thames</t>
  </si>
  <si>
    <t>Richmond upon Thames</t>
  </si>
  <si>
    <t>St. Helens</t>
  </si>
  <si>
    <t>Unitary</t>
  </si>
  <si>
    <t>Metropolitan District</t>
  </si>
  <si>
    <t>Class Ref</t>
  </si>
  <si>
    <t>Local authority</t>
  </si>
  <si>
    <t>?</t>
  </si>
  <si>
    <t>Bottom</t>
  </si>
  <si>
    <t>Highest</t>
  </si>
  <si>
    <t>Lowest</t>
  </si>
  <si>
    <t>Ref for lists</t>
  </si>
  <si>
    <t>Lookup for source in cell G2 ends here</t>
  </si>
  <si>
    <t>Chosen Indicator</t>
  </si>
  <si>
    <t>Chosen Year</t>
  </si>
  <si>
    <t>Chosen Authority</t>
  </si>
  <si>
    <t>Authorities</t>
  </si>
  <si>
    <t>Family Ranking</t>
  </si>
  <si>
    <t>Lookup on Profile</t>
  </si>
  <si>
    <t>Display Name</t>
  </si>
  <si>
    <t>Family &amp; Indicator Name</t>
  </si>
  <si>
    <t>Metropolitan Districts</t>
  </si>
  <si>
    <t>Unitaries</t>
  </si>
  <si>
    <t>Counties</t>
  </si>
  <si>
    <t>Districts</t>
  </si>
  <si>
    <t>O</t>
  </si>
  <si>
    <t>Other Authorities</t>
  </si>
  <si>
    <t>Metropolitan</t>
  </si>
  <si>
    <t>Other Authority</t>
  </si>
  <si>
    <t>Closest fifteen authorities as generated by the new nearest neighbour model</t>
  </si>
  <si>
    <t>Code</t>
  </si>
  <si>
    <t>Comparator 1</t>
  </si>
  <si>
    <t>Comparator 2</t>
  </si>
  <si>
    <t>Comparator 3</t>
  </si>
  <si>
    <t>Comparator 4</t>
  </si>
  <si>
    <t>Comparator 5</t>
  </si>
  <si>
    <t>Comparator 6</t>
  </si>
  <si>
    <t>Comparator 7</t>
  </si>
  <si>
    <t>Comparator 8</t>
  </si>
  <si>
    <t>Comparator 9</t>
  </si>
  <si>
    <t>Comparator 10</t>
  </si>
  <si>
    <t>Comparator 11</t>
  </si>
  <si>
    <t>Comparator 12</t>
  </si>
  <si>
    <t>Comparator 13</t>
  </si>
  <si>
    <t>Comparator 14</t>
  </si>
  <si>
    <t>Comparator 15</t>
  </si>
  <si>
    <t>London Boroughs</t>
  </si>
  <si>
    <t>E5011</t>
  </si>
  <si>
    <t>E5012</t>
  </si>
  <si>
    <t>E5013</t>
  </si>
  <si>
    <t>E5014</t>
  </si>
  <si>
    <t>E5015</t>
  </si>
  <si>
    <t>E5016</t>
  </si>
  <si>
    <t>E5017</t>
  </si>
  <si>
    <t>E5018</t>
  </si>
  <si>
    <t>E5019</t>
  </si>
  <si>
    <t>E5020</t>
  </si>
  <si>
    <t>E5021</t>
  </si>
  <si>
    <t>E5022</t>
  </si>
  <si>
    <t>E5030</t>
  </si>
  <si>
    <t>E5031</t>
  </si>
  <si>
    <t>E5032</t>
  </si>
  <si>
    <t>E5033</t>
  </si>
  <si>
    <t>E5034</t>
  </si>
  <si>
    <t>E5035</t>
  </si>
  <si>
    <t>E5036</t>
  </si>
  <si>
    <t>E5037</t>
  </si>
  <si>
    <t>E5038</t>
  </si>
  <si>
    <t>E5039</t>
  </si>
  <si>
    <t>E5040</t>
  </si>
  <si>
    <t>E5041</t>
  </si>
  <si>
    <t>E5042</t>
  </si>
  <si>
    <t>E5043</t>
  </si>
  <si>
    <t>E5044</t>
  </si>
  <si>
    <t>E5045</t>
  </si>
  <si>
    <t>E5046</t>
  </si>
  <si>
    <t>E5047</t>
  </si>
  <si>
    <t>E5048</t>
  </si>
  <si>
    <t>E5049</t>
  </si>
  <si>
    <t>E4201</t>
  </si>
  <si>
    <t>E4202</t>
  </si>
  <si>
    <t>E4203</t>
  </si>
  <si>
    <t>E4204</t>
  </si>
  <si>
    <t>E4205</t>
  </si>
  <si>
    <t>E4206</t>
  </si>
  <si>
    <t>E4207</t>
  </si>
  <si>
    <t>E4208</t>
  </si>
  <si>
    <t>E4209</t>
  </si>
  <si>
    <t>E4210</t>
  </si>
  <si>
    <t>E4301</t>
  </si>
  <si>
    <t>E4302</t>
  </si>
  <si>
    <t>E4303</t>
  </si>
  <si>
    <t>E4304</t>
  </si>
  <si>
    <t>E4305</t>
  </si>
  <si>
    <t>E4401</t>
  </si>
  <si>
    <t>E4402</t>
  </si>
  <si>
    <t>E4403</t>
  </si>
  <si>
    <t>E4404</t>
  </si>
  <si>
    <t>E4501</t>
  </si>
  <si>
    <t>E4502</t>
  </si>
  <si>
    <t>E4503</t>
  </si>
  <si>
    <t>E4504</t>
  </si>
  <si>
    <t>E4505</t>
  </si>
  <si>
    <t>E4601</t>
  </si>
  <si>
    <t>E4602</t>
  </si>
  <si>
    <t>E4603</t>
  </si>
  <si>
    <t>E4604</t>
  </si>
  <si>
    <t>E4605</t>
  </si>
  <si>
    <t>E4606</t>
  </si>
  <si>
    <t>E4607</t>
  </si>
  <si>
    <t>E4701</t>
  </si>
  <si>
    <t>E4702</t>
  </si>
  <si>
    <t>E4703</t>
  </si>
  <si>
    <t>E4704</t>
  </si>
  <si>
    <t>E4705</t>
  </si>
  <si>
    <t>Unitary Authorities</t>
  </si>
  <si>
    <t>E0101</t>
  </si>
  <si>
    <t>E0202</t>
  </si>
  <si>
    <t>E2301</t>
  </si>
  <si>
    <t>E2302</t>
  </si>
  <si>
    <t>E1202</t>
  </si>
  <si>
    <t>E0301</t>
  </si>
  <si>
    <t>E1401</t>
  </si>
  <si>
    <t>E0102</t>
  </si>
  <si>
    <t>E0203</t>
  </si>
  <si>
    <t>E0801</t>
  </si>
  <si>
    <t>E1301</t>
  </si>
  <si>
    <t>E1001</t>
  </si>
  <si>
    <t>E1302</t>
  </si>
  <si>
    <t>E0603</t>
  </si>
  <si>
    <t>E2001</t>
  </si>
  <si>
    <t>E0601</t>
  </si>
  <si>
    <t>E0701</t>
  </si>
  <si>
    <t>E1801</t>
  </si>
  <si>
    <t>E2101</t>
  </si>
  <si>
    <t>E2002</t>
  </si>
  <si>
    <t>E2401</t>
  </si>
  <si>
    <t>E0201</t>
  </si>
  <si>
    <t>E2201</t>
  </si>
  <si>
    <t>E0702</t>
  </si>
  <si>
    <t>E0401</t>
  </si>
  <si>
    <t>E2003</t>
  </si>
  <si>
    <t>E2004</t>
  </si>
  <si>
    <t>E0104</t>
  </si>
  <si>
    <t>E2901</t>
  </si>
  <si>
    <t>E3001</t>
  </si>
  <si>
    <t>E0501</t>
  </si>
  <si>
    <t>E1101</t>
  </si>
  <si>
    <t>E1201</t>
  </si>
  <si>
    <t>E1701</t>
  </si>
  <si>
    <t>E0303</t>
  </si>
  <si>
    <t>E0703</t>
  </si>
  <si>
    <t>E2402</t>
  </si>
  <si>
    <t>E3202</t>
  </si>
  <si>
    <t>E0304</t>
  </si>
  <si>
    <t>E0103</t>
  </si>
  <si>
    <t>E1702</t>
  </si>
  <si>
    <t>E1501</t>
  </si>
  <si>
    <t>E0704</t>
  </si>
  <si>
    <t>E3401</t>
  </si>
  <si>
    <t>E3901</t>
  </si>
  <si>
    <t>E1502</t>
  </si>
  <si>
    <t>E1102</t>
  </si>
  <si>
    <t>E0602</t>
  </si>
  <si>
    <t>E0302</t>
  </si>
  <si>
    <t>E0604</t>
  </si>
  <si>
    <t>E3902</t>
  </si>
  <si>
    <t>E0305</t>
  </si>
  <si>
    <t>E0306</t>
  </si>
  <si>
    <t>E3201</t>
  </si>
  <si>
    <t>E2701</t>
  </si>
  <si>
    <t>E0421</t>
  </si>
  <si>
    <t>E0521</t>
  </si>
  <si>
    <t>E0920</t>
  </si>
  <si>
    <t>E1021</t>
  </si>
  <si>
    <t>E1121</t>
  </si>
  <si>
    <t>E1221</t>
  </si>
  <si>
    <t>E1421</t>
  </si>
  <si>
    <t>E1521</t>
  </si>
  <si>
    <t>E1620</t>
  </si>
  <si>
    <t>E1721</t>
  </si>
  <si>
    <t>E1821</t>
  </si>
  <si>
    <t>E1920</t>
  </si>
  <si>
    <t>E2221</t>
  </si>
  <si>
    <t>E2321</t>
  </si>
  <si>
    <t>E2421</t>
  </si>
  <si>
    <t>E2520</t>
  </si>
  <si>
    <t>E2620</t>
  </si>
  <si>
    <t>E2721</t>
  </si>
  <si>
    <t>E2820</t>
  </si>
  <si>
    <t>E3021</t>
  </si>
  <si>
    <t>E3120</t>
  </si>
  <si>
    <t>E3320</t>
  </si>
  <si>
    <t>E3421</t>
  </si>
  <si>
    <t>E3520</t>
  </si>
  <si>
    <t>E3620</t>
  </si>
  <si>
    <t>E3720</t>
  </si>
  <si>
    <t>E3820</t>
  </si>
  <si>
    <t>Non-Metropolitan Districts</t>
  </si>
  <si>
    <t>E0431</t>
  </si>
  <si>
    <t>E0432</t>
  </si>
  <si>
    <t>E0434</t>
  </si>
  <si>
    <t>E0435</t>
  </si>
  <si>
    <t>E0531</t>
  </si>
  <si>
    <t>E0532</t>
  </si>
  <si>
    <t>E0533</t>
  </si>
  <si>
    <t>E0551</t>
  </si>
  <si>
    <t>E0536</t>
  </si>
  <si>
    <t>E0931</t>
  </si>
  <si>
    <t>E0932</t>
  </si>
  <si>
    <t>E0933</t>
  </si>
  <si>
    <t>E0934</t>
  </si>
  <si>
    <t>E0935</t>
  </si>
  <si>
    <t>E0936</t>
  </si>
  <si>
    <t>E1031</t>
  </si>
  <si>
    <t>E1032</t>
  </si>
  <si>
    <t>E1033</t>
  </si>
  <si>
    <t>E1035</t>
  </si>
  <si>
    <t>E1036</t>
  </si>
  <si>
    <t>E1037</t>
  </si>
  <si>
    <t>E1038</t>
  </si>
  <si>
    <t>E1039</t>
  </si>
  <si>
    <t>E1131</t>
  </si>
  <si>
    <t>E1132</t>
  </si>
  <si>
    <t>E1133</t>
  </si>
  <si>
    <t>E1134</t>
  </si>
  <si>
    <t>E1136</t>
  </si>
  <si>
    <t>E1137</t>
  </si>
  <si>
    <t>E1139</t>
  </si>
  <si>
    <t>E1140</t>
  </si>
  <si>
    <t>E1232</t>
  </si>
  <si>
    <t>E1233</t>
  </si>
  <si>
    <t>E1234</t>
  </si>
  <si>
    <t>E1236</t>
  </si>
  <si>
    <t>E1237</t>
  </si>
  <si>
    <t>E1238</t>
  </si>
  <si>
    <t>E1432</t>
  </si>
  <si>
    <t>E1433</t>
  </si>
  <si>
    <t>E1435</t>
  </si>
  <si>
    <t>E1436</t>
  </si>
  <si>
    <t>E1437</t>
  </si>
  <si>
    <t>E1531</t>
  </si>
  <si>
    <t>E1532</t>
  </si>
  <si>
    <t>E1533</t>
  </si>
  <si>
    <t>E1534</t>
  </si>
  <si>
    <t>E1535</t>
  </si>
  <si>
    <t>E1536</t>
  </si>
  <si>
    <t>E1537</t>
  </si>
  <si>
    <t>E1538</t>
  </si>
  <si>
    <t>E1539</t>
  </si>
  <si>
    <t>E1540</t>
  </si>
  <si>
    <t>E1542</t>
  </si>
  <si>
    <t>E1544</t>
  </si>
  <si>
    <t>E1631</t>
  </si>
  <si>
    <t>E1632</t>
  </si>
  <si>
    <t>E1633</t>
  </si>
  <si>
    <t>E1634</t>
  </si>
  <si>
    <t>E1635</t>
  </si>
  <si>
    <t>E1636</t>
  </si>
  <si>
    <t>E1731</t>
  </si>
  <si>
    <t>E1732</t>
  </si>
  <si>
    <t>E1733</t>
  </si>
  <si>
    <t>E1734</t>
  </si>
  <si>
    <t>E1735</t>
  </si>
  <si>
    <t>E1736</t>
  </si>
  <si>
    <t>E1737</t>
  </si>
  <si>
    <t>E1738</t>
  </si>
  <si>
    <t>E1740</t>
  </si>
  <si>
    <t>E1742</t>
  </si>
  <si>
    <t>E1743</t>
  </si>
  <si>
    <t>E1831</t>
  </si>
  <si>
    <t>E1835</t>
  </si>
  <si>
    <t>E1837</t>
  </si>
  <si>
    <t>E1838</t>
  </si>
  <si>
    <t>E1839</t>
  </si>
  <si>
    <t>E1851</t>
  </si>
  <si>
    <t>E1931</t>
  </si>
  <si>
    <t>E1932</t>
  </si>
  <si>
    <t>E1933</t>
  </si>
  <si>
    <t>E1934</t>
  </si>
  <si>
    <t>E1935</t>
  </si>
  <si>
    <t>E1936</t>
  </si>
  <si>
    <t>E1937</t>
  </si>
  <si>
    <t>E1938</t>
  </si>
  <si>
    <t>E1939</t>
  </si>
  <si>
    <t>E1940</t>
  </si>
  <si>
    <t>E2231</t>
  </si>
  <si>
    <t>E2232</t>
  </si>
  <si>
    <t>E2233</t>
  </si>
  <si>
    <t>E2234</t>
  </si>
  <si>
    <t>E2236</t>
  </si>
  <si>
    <t>E2237</t>
  </si>
  <si>
    <t>E2239</t>
  </si>
  <si>
    <t>E2240</t>
  </si>
  <si>
    <t>E2241</t>
  </si>
  <si>
    <t>E2242</t>
  </si>
  <si>
    <t>E2243</t>
  </si>
  <si>
    <t>E2244</t>
  </si>
  <si>
    <t>E2333</t>
  </si>
  <si>
    <t>E2334</t>
  </si>
  <si>
    <t>E2335</t>
  </si>
  <si>
    <t>E2336</t>
  </si>
  <si>
    <t>E2337</t>
  </si>
  <si>
    <t>E2338</t>
  </si>
  <si>
    <t>E2339</t>
  </si>
  <si>
    <t>E2340</t>
  </si>
  <si>
    <t>E2341</t>
  </si>
  <si>
    <t>E2342</t>
  </si>
  <si>
    <t>E2343</t>
  </si>
  <si>
    <t>E2344</t>
  </si>
  <si>
    <t>E2431</t>
  </si>
  <si>
    <t>E2432</t>
  </si>
  <si>
    <t>E2433</t>
  </si>
  <si>
    <t>E2434</t>
  </si>
  <si>
    <t>E2436</t>
  </si>
  <si>
    <t>E2437</t>
  </si>
  <si>
    <t>E2438</t>
  </si>
  <si>
    <t>E2531</t>
  </si>
  <si>
    <t>E2532</t>
  </si>
  <si>
    <t>E2533</t>
  </si>
  <si>
    <t>E2534</t>
  </si>
  <si>
    <t>E2535</t>
  </si>
  <si>
    <t>E2536</t>
  </si>
  <si>
    <t>E2537</t>
  </si>
  <si>
    <t>E2631</t>
  </si>
  <si>
    <t>E2632</t>
  </si>
  <si>
    <t>E2633</t>
  </si>
  <si>
    <t>E2634</t>
  </si>
  <si>
    <t>E2635</t>
  </si>
  <si>
    <t>E2636</t>
  </si>
  <si>
    <t>E2637</t>
  </si>
  <si>
    <t>E2731</t>
  </si>
  <si>
    <t>E2732</t>
  </si>
  <si>
    <t>E2734</t>
  </si>
  <si>
    <t>E2736</t>
  </si>
  <si>
    <t>E2753</t>
  </si>
  <si>
    <t>E2755</t>
  </si>
  <si>
    <t>E2757</t>
  </si>
  <si>
    <t>E2831</t>
  </si>
  <si>
    <t>E2832</t>
  </si>
  <si>
    <t>E2833</t>
  </si>
  <si>
    <t>E2834</t>
  </si>
  <si>
    <t>E2835</t>
  </si>
  <si>
    <t>E2836</t>
  </si>
  <si>
    <t>E2837</t>
  </si>
  <si>
    <t>E3031</t>
  </si>
  <si>
    <t>E3032</t>
  </si>
  <si>
    <t>E3033</t>
  </si>
  <si>
    <t>E3034</t>
  </si>
  <si>
    <t>E3035</t>
  </si>
  <si>
    <t>E3036</t>
  </si>
  <si>
    <t>E3038</t>
  </si>
  <si>
    <t>E3131</t>
  </si>
  <si>
    <t>E3132</t>
  </si>
  <si>
    <t>E3133</t>
  </si>
  <si>
    <t>E3134</t>
  </si>
  <si>
    <t>E3135</t>
  </si>
  <si>
    <t>E3331</t>
  </si>
  <si>
    <t>E3332</t>
  </si>
  <si>
    <t>E3333</t>
  </si>
  <si>
    <t>E3334</t>
  </si>
  <si>
    <t>E3335</t>
  </si>
  <si>
    <t>E3431</t>
  </si>
  <si>
    <t>E3432</t>
  </si>
  <si>
    <t>E3433</t>
  </si>
  <si>
    <t>E3434</t>
  </si>
  <si>
    <t>E3435</t>
  </si>
  <si>
    <t>E3436</t>
  </si>
  <si>
    <t>E3437</t>
  </si>
  <si>
    <t>E3439</t>
  </si>
  <si>
    <t>E3531</t>
  </si>
  <si>
    <t>E3532</t>
  </si>
  <si>
    <t>E3533</t>
  </si>
  <si>
    <t>E3534</t>
  </si>
  <si>
    <t>E3535</t>
  </si>
  <si>
    <t>E3536</t>
  </si>
  <si>
    <t>E3537</t>
  </si>
  <si>
    <t>E3631</t>
  </si>
  <si>
    <t>E3632</t>
  </si>
  <si>
    <t>E3633</t>
  </si>
  <si>
    <t>E3634</t>
  </si>
  <si>
    <t>E3635</t>
  </si>
  <si>
    <t>E3636</t>
  </si>
  <si>
    <t>E3637</t>
  </si>
  <si>
    <t>E3638</t>
  </si>
  <si>
    <t>E3639</t>
  </si>
  <si>
    <t>E3640</t>
  </si>
  <si>
    <t>E3641</t>
  </si>
  <si>
    <t>E3731</t>
  </si>
  <si>
    <t>E3732</t>
  </si>
  <si>
    <t>E3733</t>
  </si>
  <si>
    <t>E3734</t>
  </si>
  <si>
    <t>E3735</t>
  </si>
  <si>
    <t>E3831</t>
  </si>
  <si>
    <t>E3832</t>
  </si>
  <si>
    <t>E3833</t>
  </si>
  <si>
    <t>E3834</t>
  </si>
  <si>
    <t>E3835</t>
  </si>
  <si>
    <t>E3836</t>
  </si>
  <si>
    <t>E3837</t>
  </si>
  <si>
    <t>Data Format</t>
  </si>
  <si>
    <t>Text format</t>
  </si>
  <si>
    <t>Top</t>
  </si>
  <si>
    <t>Med</t>
  </si>
  <si>
    <t>Bot</t>
  </si>
  <si>
    <t>Polarity</t>
  </si>
  <si>
    <t>Formatted</t>
  </si>
  <si>
    <t xml:space="preserve">Average </t>
  </si>
  <si>
    <t>Display Format</t>
  </si>
  <si>
    <t>Page title:</t>
  </si>
  <si>
    <t>Name:</t>
  </si>
  <si>
    <t>Hlookup for formula in column AX on Filtered sheet.</t>
  </si>
  <si>
    <t>Copy data into 'Data' sheet</t>
  </si>
  <si>
    <t>Complete Indicator sheet</t>
  </si>
  <si>
    <r>
      <t xml:space="preserve">Indicator </t>
    </r>
    <r>
      <rPr>
        <sz val="10"/>
        <color rgb="FFFF0000"/>
        <rFont val="Arial"/>
        <family val="2"/>
      </rPr>
      <t>(must match name on 'Data' sheet)</t>
    </r>
  </si>
  <si>
    <r>
      <t xml:space="preserve">Periods Inc </t>
    </r>
    <r>
      <rPr>
        <sz val="10"/>
        <color rgb="FFFF0000"/>
        <rFont val="Arial"/>
        <family val="2"/>
      </rPr>
      <t>(must math period on 'Data' sheet)</t>
    </r>
  </si>
  <si>
    <t>County Durham</t>
  </si>
  <si>
    <t>Redcar &amp; Cleveland</t>
  </si>
  <si>
    <t>%</t>
  </si>
  <si>
    <t>Brighton &amp; Hove</t>
  </si>
  <si>
    <t>Cheshire West &amp; Chester</t>
  </si>
  <si>
    <t>Telford &amp; Wrekin</t>
  </si>
  <si>
    <t>Windsor &amp; Maidenhead</t>
  </si>
  <si>
    <t>Bristol</t>
  </si>
  <si>
    <t>Herefordshire</t>
  </si>
  <si>
    <t>Kingston upon Hull</t>
  </si>
  <si>
    <t>Sparse Rankings &amp; Average</t>
  </si>
  <si>
    <t>Remember to find &amp; replace blanks with a number</t>
  </si>
  <si>
    <t>Boundary Name - paste in the authority list, &amp; any differences in listing will be highlighted for checking in column B</t>
  </si>
  <si>
    <t>.</t>
  </si>
  <si>
    <t>Kept in for future use</t>
  </si>
  <si>
    <t>Kept in case used for non spare member as well</t>
  </si>
  <si>
    <t>Scores match Data</t>
  </si>
  <si>
    <t>Check Class Analysis Graph</t>
  </si>
  <si>
    <t>Averages match Table</t>
  </si>
  <si>
    <t>Score is the same for all 3 Tables</t>
  </si>
  <si>
    <t>Chosen Auth is highlighted and correct score showing</t>
  </si>
  <si>
    <t>Check Ranking Tables</t>
  </si>
  <si>
    <t>Scores match Table</t>
  </si>
  <si>
    <t>Check Benchmark graph</t>
  </si>
  <si>
    <t>Smily faces</t>
  </si>
  <si>
    <t>Out of amount</t>
  </si>
  <si>
    <t>Averages</t>
  </si>
  <si>
    <t>Quartile description</t>
  </si>
  <si>
    <t>Check table is correct</t>
  </si>
  <si>
    <t>Check Quartiles are correct</t>
  </si>
  <si>
    <t>Class Analysis Graph</t>
  </si>
  <si>
    <t>Regional/County Table</t>
  </si>
  <si>
    <t>Family Table</t>
  </si>
  <si>
    <t>Top 20 Table</t>
  </si>
  <si>
    <t>Benchmark graph</t>
  </si>
  <si>
    <t>Table</t>
  </si>
  <si>
    <t>Quartile graph</t>
  </si>
  <si>
    <t>Check Titles are correct</t>
  </si>
  <si>
    <t>Check all Sparse Authorites are available to choose</t>
  </si>
  <si>
    <t>Check Source</t>
  </si>
  <si>
    <t>Recycling Rate</t>
  </si>
  <si>
    <t>Annual up to 30 September 2013</t>
  </si>
  <si>
    <t>Annual up to 31 December 2013</t>
  </si>
  <si>
    <t>Info</t>
  </si>
  <si>
    <t>You only have to put the indicator name and period on once no matter how many time it shows up on the data sheet</t>
  </si>
  <si>
    <t>e.g.</t>
  </si>
  <si>
    <t>Waste</t>
  </si>
  <si>
    <t>You would put the following on indicator sheet</t>
  </si>
  <si>
    <t>Data Sheet</t>
  </si>
  <si>
    <t>The data comes in whole number but needs to be displayed as %'s (0.87 in this instance)</t>
  </si>
  <si>
    <t>Ensuring Indicators &amp; Periods match the 'Data' sheet</t>
  </si>
  <si>
    <t>Enter the polarity A = Ascending , D =  Descending</t>
  </si>
  <si>
    <t>Complete cell B3, this will become the page titles on the 'Profile' sheet.</t>
  </si>
  <si>
    <t>Ensuring Authority names match the 'classifications' sheet.</t>
  </si>
  <si>
    <t>Make sure the formula is carries over in row 1 for each column of data.</t>
  </si>
  <si>
    <t>'.' = Whole Number, '%' = Percentage (some data comes in a whole number and needs to be displayed as %'s)</t>
  </si>
  <si>
    <r>
      <t xml:space="preserve">Ranking in first table on 'Profile' sheet (rows 36-40) is calculated by the authories that are in the chosen class and </t>
    </r>
    <r>
      <rPr>
        <b/>
        <sz val="10"/>
        <rFont val="Arial"/>
        <family val="2"/>
      </rPr>
      <t>have data</t>
    </r>
    <r>
      <rPr>
        <sz val="10"/>
        <rFont val="Arial"/>
        <family val="2"/>
      </rPr>
      <t xml:space="preserve"> (so 'out of' figure may not match the classsifications sheets exactly)</t>
    </r>
  </si>
  <si>
    <t>Rural figure for UA's in row 38 on 'Profile' sheet is calculated buy all authorites that are UA and are Significant Rural, Rural-80 and Rural-50.</t>
  </si>
  <si>
    <t>Only Sparse authorities are included in the drop down list (cell J5) on the 'Profile' sheet but all authorities in chosen class with data are included in calculations</t>
  </si>
  <si>
    <t>How To's</t>
  </si>
  <si>
    <t>To add a completely new authority</t>
  </si>
  <si>
    <t>Name of Authority changed</t>
  </si>
  <si>
    <t>Enter new data\indicator</t>
  </si>
  <si>
    <t>Choose Class on Filtered data sheet from drop down in cell D1</t>
  </si>
  <si>
    <t>To include or delete an authority from the drop down list (cell J5) on the 'Profile' sheet , enter 'Sparse' or delete it in column K on 'classifications sheet' (this will then amend the lookup list in column F,G on 'Filtered Data' sheet).</t>
  </si>
  <si>
    <t>- If data is for only one name amend the 'classifications' sheet (completeing information for all columns) and the 'Filtered Data' sheet column C, however, if you have data for the old name and new name then add it to the 'classifications' sheet and the 'Filtered Data' sheet column C.</t>
  </si>
  <si>
    <t>- Enter it onto the 'classifications' sheet (completeing information for all columns) and the 'Filtered Data' sheet column C.</t>
  </si>
  <si>
    <t>Choose Indicator from drop down menu in cell W5 on 'Profile' sheet (data must be entered onto data sheet and indicator sheet)</t>
  </si>
  <si>
    <t xml:space="preserve"> Guide</t>
  </si>
  <si>
    <t>Choose Period from drop down menu in cell W13 on 'Profile' sheet (data must be entered onto data sheet and indicator sheet)</t>
  </si>
  <si>
    <t>%.</t>
  </si>
  <si>
    <t>..</t>
  </si>
  <si>
    <t>%%</t>
  </si>
  <si>
    <t>Check Rows 8,9,10,11 are correct</t>
  </si>
  <si>
    <t>Check Table matches Rows 8,9,10,11</t>
  </si>
  <si>
    <t>Check no of councils in text under Quartiles graph is correct</t>
  </si>
  <si>
    <t>Quartiles are showing (polarity &amp; score)</t>
  </si>
  <si>
    <t>D</t>
  </si>
  <si>
    <t>2012/13</t>
  </si>
  <si>
    <t>Department for Transport statistics</t>
  </si>
  <si>
    <t>Urban with City and Town</t>
  </si>
  <si>
    <t xml:space="preserve">Mainly Rural (rural including hub towns &gt;=80%) </t>
  </si>
  <si>
    <t>Urban with Minor Conurbation</t>
  </si>
  <si>
    <t>Urban with Significant Rural (rural including hub towns 26-49%)</t>
  </si>
  <si>
    <t xml:space="preserve">Largely Rural (rural including hub towns 50-79%) </t>
  </si>
  <si>
    <t>Urban with Major Conurbation</t>
  </si>
  <si>
    <t>2013/14</t>
  </si>
  <si>
    <t>2014/15</t>
  </si>
  <si>
    <t>2015/16</t>
  </si>
  <si>
    <t>Folkestone &amp; Hythe</t>
  </si>
  <si>
    <t>2016/17</t>
  </si>
  <si>
    <t>Walking Statistics</t>
  </si>
  <si>
    <t>Proportion of residents who walk (for at least 10 minutes) at least once a month</t>
  </si>
  <si>
    <t>Proportion of residents who walk (for at least 10 minutes) at least once a week</t>
  </si>
  <si>
    <t>Proportion of residents who walk (for at least 10 minutes) at least 3 times a week</t>
  </si>
  <si>
    <t>Proportion of residents who walk (for at least 10 minutes) at least 5 times a week</t>
  </si>
  <si>
    <t>2017/18</t>
  </si>
  <si>
    <t>2018/19</t>
  </si>
  <si>
    <t>Bournemouth, Christchurch &amp; Poole</t>
  </si>
  <si>
    <t>Dorset Council</t>
  </si>
  <si>
    <t>East Suffolk</t>
  </si>
  <si>
    <t>Somerset West &amp; Taunton</t>
  </si>
  <si>
    <t>West Suffolk</t>
  </si>
  <si>
    <t>-</t>
  </si>
  <si>
    <t xml:space="preserve">Predominantly Rural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</si>
</sst>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quot;£&quot;* #,##0.00_-;_-&quot;£&quot;* &quot;-&quot;??_-;_-@_-"/>
    <numFmt numFmtId="43" formatCode="_-* #,##0.00_-;\-* #,##0.00_-;_-* &quot;-&quot;??_-;_-@_-"/>
    <numFmt numFmtId="164" formatCode="_-* #,##0_-;\-* #,##0_-;_-* &quot;-&quot;??_-;_-@_-"/>
    <numFmt numFmtId="165" formatCode="_-* #,##0.0000_-;\-* #,##0.0000_-;_-* &quot;-&quot;??_-;_-@_-"/>
    <numFmt numFmtId="166" formatCode="#,##0_ ;\-#,##0\ "/>
    <numFmt numFmtId="167" formatCode="[$-10409]#,##0;\(#,##0\)"/>
    <numFmt numFmtId="168" formatCode="#,##0;\(#,##0\);\ \-\ "/>
    <numFmt numFmtId="169" formatCode="_(* #,##0.00_);_(* \(#,##0.00\);_(* &quot;-&quot;??_);_(@_)"/>
    <numFmt numFmtId="170" formatCode="0_)"/>
  </numFmts>
  <fonts count="66">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b/>
      <sz val="8"/>
      <name val="Arial"/>
      <family val="2"/>
    </font>
    <font>
      <sz val="10"/>
      <name val="Arial"/>
      <family val="2"/>
    </font>
    <font>
      <sz val="10"/>
      <name val="Arial"/>
      <family val="2"/>
    </font>
    <font>
      <i/>
      <sz val="10"/>
      <name val="Arial"/>
      <family val="2"/>
    </font>
    <font>
      <sz val="10"/>
      <color indexed="9"/>
      <name val="Wingdings"/>
      <charset val="2"/>
    </font>
    <font>
      <sz val="10"/>
      <color indexed="17"/>
      <name val="Wingdings"/>
      <charset val="2"/>
    </font>
    <font>
      <b/>
      <sz val="10"/>
      <color indexed="9"/>
      <name val="Arial"/>
      <family val="2"/>
    </font>
    <font>
      <sz val="8"/>
      <name val="Arial"/>
      <family val="2"/>
    </font>
    <font>
      <sz val="11"/>
      <color theme="1"/>
      <name val="Calibri"/>
      <family val="2"/>
      <scheme val="minor"/>
    </font>
    <font>
      <sz val="10"/>
      <color rgb="FFFF0000"/>
      <name val="Arial"/>
      <family val="2"/>
    </font>
    <font>
      <sz val="11"/>
      <color rgb="FFFF0000"/>
      <name val="Calibri"/>
      <family val="2"/>
      <scheme val="minor"/>
    </font>
    <font>
      <b/>
      <sz val="12"/>
      <color theme="1"/>
      <name val="Calibri"/>
      <family val="2"/>
      <scheme val="minor"/>
    </font>
    <font>
      <sz val="10"/>
      <name val="MS Sans Serif"/>
      <family val="2"/>
    </font>
    <font>
      <sz val="11"/>
      <name val="Calibri"/>
      <family val="2"/>
      <scheme val="minor"/>
    </font>
    <font>
      <sz val="11"/>
      <name val="Calibri"/>
      <family val="2"/>
    </font>
    <font>
      <sz val="12"/>
      <color theme="1"/>
      <name val="Calibri"/>
      <family val="2"/>
      <scheme val="minor"/>
    </font>
    <font>
      <u/>
      <sz val="10"/>
      <color indexed="12"/>
      <name val="Arial"/>
      <family val="2"/>
    </font>
    <font>
      <u/>
      <sz val="11"/>
      <color theme="10"/>
      <name val="Calibri"/>
      <family val="2"/>
    </font>
    <font>
      <b/>
      <sz val="8"/>
      <color theme="0" tint="-0.34998626667073579"/>
      <name val="Arial"/>
      <family val="2"/>
    </font>
    <font>
      <sz val="8"/>
      <color theme="0" tint="-0.34998626667073579"/>
      <name val="Arial"/>
      <family val="2"/>
    </font>
    <font>
      <b/>
      <sz val="10"/>
      <color rgb="FF0070C0"/>
      <name val="Wingdings"/>
      <charset val="2"/>
    </font>
    <font>
      <b/>
      <sz val="10"/>
      <color rgb="FFFF0000"/>
      <name val="Arial"/>
      <family val="2"/>
    </font>
    <font>
      <sz val="10"/>
      <name val="Arial"/>
      <family val="2"/>
    </font>
    <font>
      <sz val="8"/>
      <color indexed="8"/>
      <name val="Arial"/>
      <family val="2"/>
    </font>
    <font>
      <b/>
      <sz val="10"/>
      <color indexed="8"/>
      <name val="Arial"/>
      <family val="2"/>
    </font>
    <font>
      <b/>
      <i/>
      <sz val="10"/>
      <color indexed="8"/>
      <name val="Arial"/>
      <family val="2"/>
    </font>
    <font>
      <sz val="10"/>
      <color indexed="8"/>
      <name val="Arial"/>
      <family val="2"/>
    </font>
    <font>
      <i/>
      <sz val="10"/>
      <color indexed="8"/>
      <name val="Arial"/>
      <family val="2"/>
    </font>
    <font>
      <sz val="11"/>
      <color rgb="FFFF0000"/>
      <name val="Calibri"/>
      <family val="2"/>
    </font>
    <font>
      <vertAlign val="superscript"/>
      <sz val="8"/>
      <color indexed="8"/>
      <name val="Arial"/>
      <family val="2"/>
    </font>
    <font>
      <vertAlign val="superscript"/>
      <sz val="8"/>
      <name val="Arial"/>
      <family val="2"/>
    </font>
    <font>
      <sz val="12"/>
      <name val="Utah"/>
    </font>
    <font>
      <sz val="8"/>
      <name val="Utah"/>
    </font>
    <font>
      <i/>
      <sz val="12"/>
      <name val="Arial"/>
      <family val="2"/>
    </font>
    <font>
      <sz val="12"/>
      <name val="Arial"/>
      <family val="2"/>
    </font>
    <font>
      <sz val="10"/>
      <color theme="0" tint="-0.499984740745262"/>
      <name val="Arial"/>
      <family val="2"/>
    </font>
    <font>
      <b/>
      <sz val="10"/>
      <color theme="0" tint="-0.499984740745262"/>
      <name val="Arial"/>
      <family val="2"/>
    </font>
    <font>
      <b/>
      <sz val="11"/>
      <color theme="1"/>
      <name val="Calibri"/>
      <family val="2"/>
      <scheme val="minor"/>
    </font>
    <font>
      <sz val="9"/>
      <color theme="1"/>
      <name val="Calibri"/>
      <family val="2"/>
      <scheme val="minor"/>
    </font>
    <font>
      <b/>
      <u/>
      <sz val="12"/>
      <color theme="7" tint="-0.249977111117893"/>
      <name val="Tahoma"/>
      <family val="2"/>
    </font>
    <font>
      <sz val="10"/>
      <name val="Tahoma"/>
      <family val="2"/>
    </font>
    <font>
      <b/>
      <u/>
      <sz val="11"/>
      <color theme="7" tint="-0.249977111117893"/>
      <name val="Tahoma"/>
      <family val="2"/>
    </font>
    <font>
      <b/>
      <sz val="12"/>
      <name val="Tahoma"/>
      <family val="2"/>
    </font>
    <font>
      <b/>
      <sz val="10"/>
      <name val="Tahoma"/>
      <family val="2"/>
    </font>
    <font>
      <sz val="8"/>
      <color theme="0" tint="-0.34998626667073579"/>
      <name val="Tahoma"/>
      <family val="2"/>
    </font>
    <font>
      <sz val="9"/>
      <name val="Tahoma"/>
      <family val="2"/>
    </font>
    <font>
      <b/>
      <sz val="10"/>
      <color indexed="17"/>
      <name val="Tahoma"/>
      <family val="2"/>
    </font>
    <font>
      <b/>
      <sz val="10"/>
      <color theme="0"/>
      <name val="Tahoma"/>
      <family val="2"/>
    </font>
    <font>
      <b/>
      <sz val="10"/>
      <color theme="6" tint="-0.499984740745262"/>
      <name val="Tahoma"/>
      <family val="2"/>
    </font>
    <font>
      <sz val="10"/>
      <color rgb="FFF8F8F8"/>
      <name val="Tahoma"/>
      <family val="2"/>
    </font>
    <font>
      <sz val="8"/>
      <name val="Tahoma"/>
      <family val="2"/>
    </font>
  </fonts>
  <fills count="21">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6"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indexed="9"/>
      </patternFill>
    </fill>
    <fill>
      <patternFill patternType="solid">
        <fgColor theme="0" tint="-0.249977111117893"/>
        <bgColor indexed="64"/>
      </patternFill>
    </fill>
    <fill>
      <patternFill patternType="solid">
        <fgColor rgb="FFF8F8F8"/>
        <bgColor indexed="64"/>
      </patternFill>
    </fill>
  </fills>
  <borders count="38">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17"/>
      </top>
      <bottom style="thin">
        <color indexed="17"/>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ck">
        <color auto="1"/>
      </left>
      <right/>
      <top/>
      <bottom/>
      <diagonal/>
    </border>
    <border>
      <left style="thick">
        <color auto="1"/>
      </left>
      <right/>
      <top/>
      <bottom style="thin">
        <color indexed="64"/>
      </bottom>
      <diagonal/>
    </border>
    <border>
      <left/>
      <right/>
      <top style="thin">
        <color indexed="17"/>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hair">
        <color theme="1" tint="0.499984740745262"/>
      </right>
      <top style="hair">
        <color theme="1" tint="0.499984740745262"/>
      </top>
      <bottom/>
      <diagonal/>
    </border>
    <border>
      <left/>
      <right style="hair">
        <color theme="1" tint="0.499984740745262"/>
      </right>
      <top/>
      <bottom/>
      <diagonal/>
    </border>
    <border>
      <left style="hair">
        <color theme="1" tint="0.499984740745262"/>
      </left>
      <right/>
      <top/>
      <bottom style="hair">
        <color theme="1" tint="0.499984740745262"/>
      </bottom>
      <diagonal/>
    </border>
    <border>
      <left/>
      <right/>
      <top/>
      <bottom style="hair">
        <color theme="1" tint="0.499984740745262"/>
      </bottom>
      <diagonal/>
    </border>
    <border>
      <left style="hair">
        <color theme="1" tint="0.499984740745262"/>
      </left>
      <right style="hair">
        <color theme="1" tint="0.499984740745262"/>
      </right>
      <top style="hair">
        <color theme="1" tint="0.499984740745262"/>
      </top>
      <bottom/>
      <diagonal/>
    </border>
    <border>
      <left style="thin">
        <color indexed="64"/>
      </left>
      <right style="hair">
        <color theme="1" tint="0.499984740745262"/>
      </right>
      <top style="hair">
        <color theme="1" tint="0.499984740745262"/>
      </top>
      <bottom style="thin">
        <color indexed="64"/>
      </bottom>
      <diagonal/>
    </border>
    <border>
      <left style="hair">
        <color theme="1" tint="0.499984740745262"/>
      </left>
      <right style="thin">
        <color indexed="64"/>
      </right>
      <top style="hair">
        <color theme="1" tint="0.499984740745262"/>
      </top>
      <bottom style="thin">
        <color indexed="64"/>
      </bottom>
      <diagonal/>
    </border>
    <border>
      <left style="thin">
        <color indexed="64"/>
      </left>
      <right style="hair">
        <color theme="1" tint="0.499984740745262"/>
      </right>
      <top style="thin">
        <color indexed="64"/>
      </top>
      <bottom style="hair">
        <color theme="1" tint="0.499984740745262"/>
      </bottom>
      <diagonal/>
    </border>
    <border>
      <left style="hair">
        <color theme="1" tint="0.499984740745262"/>
      </left>
      <right style="hair">
        <color theme="1" tint="0.499984740745262"/>
      </right>
      <top style="thin">
        <color indexed="64"/>
      </top>
      <bottom style="hair">
        <color theme="1" tint="0.499984740745262"/>
      </bottom>
      <diagonal/>
    </border>
    <border>
      <left style="hair">
        <color theme="1" tint="0.499984740745262"/>
      </left>
      <right style="thin">
        <color indexed="64"/>
      </right>
      <top style="thin">
        <color indexed="64"/>
      </top>
      <bottom style="hair">
        <color theme="1" tint="0.499984740745262"/>
      </bottom>
      <diagonal/>
    </border>
    <border>
      <left style="hair">
        <color theme="1" tint="0.499984740745262"/>
      </left>
      <right style="hair">
        <color theme="1" tint="0.499984740745262"/>
      </right>
      <top style="hair">
        <color theme="1" tint="0.499984740745262"/>
      </top>
      <bottom style="thin">
        <color indexed="64"/>
      </bottom>
      <diagonal/>
    </border>
    <border>
      <left style="thin">
        <color indexed="64"/>
      </left>
      <right/>
      <top style="hair">
        <color theme="1" tint="0.499984740745262"/>
      </top>
      <bottom style="hair">
        <color theme="1" tint="0.499984740745262"/>
      </bottom>
      <diagonal/>
    </border>
    <border>
      <left style="thin">
        <color indexed="64"/>
      </left>
      <right/>
      <top style="hair">
        <color theme="1" tint="0.499984740745262"/>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theme="1" tint="0.499984740745262"/>
      </top>
      <bottom style="hair">
        <color theme="1" tint="0.499984740745262"/>
      </bottom>
      <diagonal/>
    </border>
    <border>
      <left style="thin">
        <color indexed="64"/>
      </left>
      <right style="thin">
        <color indexed="64"/>
      </right>
      <top style="hair">
        <color theme="1" tint="0.499984740745262"/>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3">
    <xf numFmtId="0" fontId="0" fillId="0" borderId="0"/>
    <xf numFmtId="43" fontId="16" fillId="0" borderId="0" applyFont="0" applyFill="0" applyBorder="0" applyAlignment="0" applyProtection="0"/>
    <xf numFmtId="0" fontId="23" fillId="0" borderId="0"/>
    <xf numFmtId="0" fontId="23" fillId="0" borderId="0"/>
    <xf numFmtId="9" fontId="17" fillId="0" borderId="0" applyFont="0" applyFill="0" applyBorder="0" applyAlignment="0" applyProtection="0"/>
    <xf numFmtId="0" fontId="27" fillId="0" borderId="0"/>
    <xf numFmtId="0" fontId="12" fillId="0" borderId="0"/>
    <xf numFmtId="0" fontId="11" fillId="3" borderId="0" applyNumberFormat="0" applyBorder="0" applyAlignment="0" applyProtection="0"/>
    <xf numFmtId="0" fontId="11" fillId="3" borderId="0" applyNumberFormat="0" applyBorder="0" applyAlignment="0" applyProtection="0"/>
    <xf numFmtId="0" fontId="11" fillId="5" borderId="0" applyNumberFormat="0" applyBorder="0" applyAlignment="0" applyProtection="0"/>
    <xf numFmtId="0" fontId="11" fillId="5" borderId="0" applyNumberFormat="0" applyBorder="0" applyAlignment="0" applyProtection="0"/>
    <xf numFmtId="0" fontId="11" fillId="7"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9"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4" borderId="0" applyNumberFormat="0" applyBorder="0" applyAlignment="0" applyProtection="0"/>
    <xf numFmtId="0" fontId="11" fillId="4" borderId="0" applyNumberFormat="0" applyBorder="0" applyAlignment="0" applyProtection="0"/>
    <xf numFmtId="0" fontId="11" fillId="6" borderId="0" applyNumberFormat="0" applyBorder="0" applyAlignment="0" applyProtection="0"/>
    <xf numFmtId="0" fontId="11" fillId="6" borderId="0" applyNumberFormat="0" applyBorder="0" applyAlignment="0" applyProtection="0"/>
    <xf numFmtId="0" fontId="11" fillId="8" borderId="0" applyNumberFormat="0" applyBorder="0" applyAlignment="0" applyProtection="0"/>
    <xf numFmtId="0" fontId="11" fillId="8" borderId="0" applyNumberFormat="0" applyBorder="0" applyAlignment="0" applyProtection="0"/>
    <xf numFmtId="0" fontId="11" fillId="10" borderId="0" applyNumberFormat="0" applyBorder="0" applyAlignment="0" applyProtection="0"/>
    <xf numFmtId="0" fontId="11" fillId="10"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30" fillId="0" borderId="0" applyFont="0" applyFill="0" applyBorder="0" applyAlignment="0" applyProtection="0"/>
    <xf numFmtId="0" fontId="31"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 fillId="0" borderId="0"/>
    <xf numFmtId="0" fontId="11" fillId="2" borderId="10" applyNumberFormat="0" applyFont="0" applyAlignment="0" applyProtection="0"/>
    <xf numFmtId="0" fontId="11" fillId="2" borderId="10" applyNumberFormat="0" applyFont="0" applyAlignment="0" applyProtection="0"/>
    <xf numFmtId="9" fontId="11" fillId="0" borderId="0" applyFont="0" applyFill="0" applyBorder="0" applyAlignment="0" applyProtection="0"/>
    <xf numFmtId="37" fontId="12" fillId="0" borderId="0"/>
    <xf numFmtId="9" fontId="12" fillId="0" borderId="0" applyFont="0" applyFill="0" applyBorder="0" applyAlignment="0" applyProtection="0"/>
    <xf numFmtId="43" fontId="10" fillId="0" borderId="0" applyFont="0" applyFill="0" applyBorder="0" applyAlignment="0" applyProtection="0"/>
    <xf numFmtId="43" fontId="12" fillId="0" borderId="0" applyFont="0" applyFill="0" applyBorder="0" applyAlignment="0" applyProtection="0"/>
    <xf numFmtId="0" fontId="37" fillId="0" borderId="0"/>
    <xf numFmtId="44" fontId="37" fillId="0" borderId="0" applyFont="0" applyFill="0" applyBorder="0" applyAlignment="0" applyProtection="0"/>
    <xf numFmtId="169" fontId="12" fillId="0" borderId="0" applyFont="0" applyFill="0" applyBorder="0" applyAlignment="0" applyProtection="0"/>
    <xf numFmtId="0" fontId="46" fillId="18" borderId="0"/>
    <xf numFmtId="0" fontId="9" fillId="0" borderId="0"/>
    <xf numFmtId="0" fontId="8" fillId="0" borderId="0"/>
    <xf numFmtId="43" fontId="8" fillId="0" borderId="0" applyFont="0" applyFill="0" applyBorder="0" applyAlignment="0" applyProtection="0"/>
    <xf numFmtId="9" fontId="8" fillId="0" borderId="0" applyFont="0" applyFill="0" applyBorder="0" applyAlignment="0" applyProtection="0"/>
  </cellStyleXfs>
  <cellXfs count="363">
    <xf numFmtId="0" fontId="0" fillId="0" borderId="0" xfId="0"/>
    <xf numFmtId="0" fontId="0" fillId="0" borderId="0" xfId="0" applyBorder="1"/>
    <xf numFmtId="0" fontId="0" fillId="0" borderId="3" xfId="0" applyBorder="1"/>
    <xf numFmtId="0" fontId="0" fillId="0" borderId="4" xfId="0" applyBorder="1"/>
    <xf numFmtId="0" fontId="0" fillId="0" borderId="5" xfId="0" applyBorder="1"/>
    <xf numFmtId="0" fontId="0" fillId="15" borderId="0" xfId="0" applyFill="1"/>
    <xf numFmtId="0" fontId="26" fillId="0" borderId="0" xfId="0" applyFont="1" applyAlignment="1">
      <alignment wrapText="1"/>
    </xf>
    <xf numFmtId="0" fontId="26" fillId="0" borderId="0" xfId="0" applyFont="1" applyAlignment="1">
      <alignment horizontal="left" wrapText="1"/>
    </xf>
    <xf numFmtId="0" fontId="0" fillId="0" borderId="0" xfId="0" applyFill="1"/>
    <xf numFmtId="0" fontId="12" fillId="0" borderId="0" xfId="0" applyFont="1" applyFill="1" applyAlignment="1">
      <alignment horizontal="left"/>
    </xf>
    <xf numFmtId="0" fontId="12" fillId="0" borderId="0" xfId="5" applyNumberFormat="1" applyFont="1" applyFill="1" applyAlignment="1">
      <alignment horizontal="center"/>
    </xf>
    <xf numFmtId="0" fontId="28" fillId="0" borderId="0" xfId="0" applyFont="1" applyFill="1"/>
    <xf numFmtId="0" fontId="12" fillId="0" borderId="0" xfId="5" applyFont="1" applyFill="1" applyAlignment="1">
      <alignment horizontal="center"/>
    </xf>
    <xf numFmtId="0" fontId="0" fillId="0" borderId="0" xfId="5" applyNumberFormat="1" applyFont="1" applyFill="1" applyAlignment="1">
      <alignment horizontal="center"/>
    </xf>
    <xf numFmtId="0" fontId="24" fillId="0" borderId="0" xfId="0" applyFont="1" applyFill="1" applyAlignment="1">
      <alignment horizontal="left"/>
    </xf>
    <xf numFmtId="0" fontId="29" fillId="0" borderId="0" xfId="0" applyFont="1"/>
    <xf numFmtId="0" fontId="24" fillId="0" borderId="0" xfId="0" applyFont="1" applyFill="1" applyBorder="1"/>
    <xf numFmtId="0" fontId="25" fillId="0" borderId="0" xfId="0" applyFont="1" applyFill="1"/>
    <xf numFmtId="0" fontId="13" fillId="0" borderId="0" xfId="0" applyFont="1" applyFill="1" applyBorder="1"/>
    <xf numFmtId="0" fontId="0" fillId="0" borderId="0" xfId="0" applyFont="1" applyFill="1"/>
    <xf numFmtId="0" fontId="13" fillId="0" borderId="4" xfId="0" applyFont="1" applyFill="1" applyBorder="1"/>
    <xf numFmtId="0" fontId="0" fillId="0" borderId="0" xfId="0" applyFont="1"/>
    <xf numFmtId="0" fontId="0" fillId="0" borderId="0" xfId="0" applyFont="1" applyFill="1" applyAlignment="1">
      <alignment horizontal="left"/>
    </xf>
    <xf numFmtId="0" fontId="13" fillId="0" borderId="0" xfId="0" applyFont="1" applyFill="1"/>
    <xf numFmtId="0" fontId="0" fillId="17" borderId="0" xfId="0" applyFill="1" applyBorder="1"/>
    <xf numFmtId="0" fontId="0" fillId="17" borderId="0" xfId="0" applyFill="1"/>
    <xf numFmtId="0" fontId="0" fillId="0" borderId="0" xfId="0" applyFill="1" applyBorder="1"/>
    <xf numFmtId="0" fontId="0" fillId="0" borderId="9" xfId="0" applyFill="1" applyBorder="1"/>
    <xf numFmtId="0" fontId="0" fillId="0" borderId="1" xfId="0" applyNumberFormat="1" applyFill="1" applyBorder="1" applyAlignment="1">
      <alignment horizontal="left"/>
    </xf>
    <xf numFmtId="0" fontId="0" fillId="0" borderId="0" xfId="0" applyNumberFormat="1" applyFill="1" applyBorder="1" applyAlignment="1">
      <alignment horizontal="left"/>
    </xf>
    <xf numFmtId="0" fontId="13" fillId="0" borderId="0" xfId="0" applyNumberFormat="1" applyFont="1" applyFill="1" applyBorder="1" applyAlignment="1">
      <alignment horizontal="right"/>
    </xf>
    <xf numFmtId="0" fontId="24" fillId="0" borderId="1" xfId="0" applyNumberFormat="1" applyFont="1" applyFill="1" applyBorder="1" applyAlignment="1">
      <alignment horizontal="left"/>
    </xf>
    <xf numFmtId="0" fontId="13" fillId="0" borderId="0" xfId="0" applyNumberFormat="1" applyFont="1" applyFill="1" applyBorder="1"/>
    <xf numFmtId="0" fontId="13" fillId="0" borderId="1" xfId="0" applyFont="1" applyFill="1" applyBorder="1"/>
    <xf numFmtId="1" fontId="0" fillId="0" borderId="0" xfId="0" applyNumberFormat="1" applyFill="1" applyBorder="1" applyAlignment="1">
      <alignment horizontal="left"/>
    </xf>
    <xf numFmtId="1" fontId="0" fillId="0" borderId="0" xfId="0" applyNumberFormat="1" applyFill="1" applyBorder="1"/>
    <xf numFmtId="0" fontId="0" fillId="0" borderId="0" xfId="0" applyNumberFormat="1" applyFill="1" applyBorder="1"/>
    <xf numFmtId="0" fontId="0" fillId="0" borderId="0" xfId="0" applyNumberFormat="1" applyFill="1" applyBorder="1" applyAlignment="1">
      <alignment horizontal="right"/>
    </xf>
    <xf numFmtId="0" fontId="0" fillId="0" borderId="1" xfId="0" applyFill="1" applyBorder="1"/>
    <xf numFmtId="2" fontId="0" fillId="0" borderId="0" xfId="0" applyNumberFormat="1" applyFill="1" applyBorder="1" applyAlignment="1">
      <alignment horizontal="left"/>
    </xf>
    <xf numFmtId="0" fontId="0" fillId="0" borderId="8" xfId="0" applyFill="1" applyBorder="1"/>
    <xf numFmtId="0" fontId="24" fillId="0" borderId="0" xfId="0" applyFont="1" applyFill="1" applyBorder="1" applyAlignment="1">
      <alignment horizontal="left"/>
    </xf>
    <xf numFmtId="0" fontId="0" fillId="17" borderId="0" xfId="0" applyFont="1" applyFill="1"/>
    <xf numFmtId="0" fontId="18" fillId="0" borderId="0" xfId="0" applyFont="1" applyFill="1" applyBorder="1"/>
    <xf numFmtId="0" fontId="24" fillId="0" borderId="0" xfId="0" applyNumberFormat="1" applyFont="1" applyFill="1" applyBorder="1" applyAlignment="1">
      <alignment horizontal="left" wrapText="1"/>
    </xf>
    <xf numFmtId="1" fontId="0" fillId="0" borderId="1" xfId="0" applyNumberFormat="1" applyFill="1" applyBorder="1" applyAlignment="1">
      <alignment horizontal="left"/>
    </xf>
    <xf numFmtId="1" fontId="18" fillId="0" borderId="0" xfId="0" applyNumberFormat="1" applyFont="1" applyFill="1" applyBorder="1" applyAlignment="1">
      <alignment horizontal="left"/>
    </xf>
    <xf numFmtId="0" fontId="13" fillId="0" borderId="3" xfId="0" applyNumberFormat="1" applyFont="1" applyFill="1" applyBorder="1" applyAlignment="1">
      <alignment horizontal="left"/>
    </xf>
    <xf numFmtId="0" fontId="13" fillId="0" borderId="4" xfId="0" applyNumberFormat="1" applyFont="1" applyFill="1" applyBorder="1"/>
    <xf numFmtId="0" fontId="13" fillId="0" borderId="4" xfId="0" applyNumberFormat="1" applyFont="1" applyFill="1" applyBorder="1" applyAlignment="1">
      <alignment horizontal="right"/>
    </xf>
    <xf numFmtId="0" fontId="13" fillId="0" borderId="3" xfId="0" applyFont="1" applyFill="1" applyBorder="1"/>
    <xf numFmtId="0" fontId="13" fillId="0" borderId="4" xfId="0" applyNumberFormat="1" applyFont="1" applyFill="1" applyBorder="1" applyAlignment="1">
      <alignment horizontal="left"/>
    </xf>
    <xf numFmtId="0" fontId="13" fillId="0" borderId="4" xfId="0" applyFont="1" applyFill="1" applyBorder="1" applyAlignment="1">
      <alignment horizontal="right"/>
    </xf>
    <xf numFmtId="0" fontId="34" fillId="17" borderId="0" xfId="0" applyFont="1" applyFill="1"/>
    <xf numFmtId="0" fontId="33" fillId="0" borderId="0" xfId="0" applyFont="1" applyFill="1"/>
    <xf numFmtId="0" fontId="33" fillId="0" borderId="4" xfId="0" applyFont="1" applyFill="1" applyBorder="1"/>
    <xf numFmtId="0" fontId="34" fillId="0" borderId="0" xfId="0" applyFont="1" applyFill="1"/>
    <xf numFmtId="0" fontId="34" fillId="0" borderId="0" xfId="0" quotePrefix="1" applyFont="1" applyFill="1"/>
    <xf numFmtId="0" fontId="0" fillId="17" borderId="1" xfId="0" applyFill="1" applyBorder="1"/>
    <xf numFmtId="0" fontId="13" fillId="17" borderId="0" xfId="0" applyNumberFormat="1" applyFont="1" applyFill="1" applyBorder="1" applyAlignment="1">
      <alignment horizontal="right"/>
    </xf>
    <xf numFmtId="0" fontId="0" fillId="17" borderId="8" xfId="0" applyFill="1" applyBorder="1"/>
    <xf numFmtId="0" fontId="13" fillId="17" borderId="0" xfId="0" applyFont="1" applyFill="1" applyBorder="1" applyAlignment="1">
      <alignment horizontal="left"/>
    </xf>
    <xf numFmtId="0" fontId="24" fillId="17" borderId="1" xfId="0" applyFont="1" applyFill="1" applyBorder="1"/>
    <xf numFmtId="0" fontId="13" fillId="17" borderId="0" xfId="0" applyFont="1" applyFill="1"/>
    <xf numFmtId="0" fontId="0" fillId="16" borderId="11" xfId="0" applyFill="1" applyBorder="1"/>
    <xf numFmtId="37" fontId="13" fillId="0" borderId="0" xfId="51" applyFont="1"/>
    <xf numFmtId="37" fontId="12" fillId="0" borderId="0" xfId="51"/>
    <xf numFmtId="37" fontId="12" fillId="0" borderId="0" xfId="51" applyFont="1"/>
    <xf numFmtId="37" fontId="0" fillId="0" borderId="0" xfId="51" applyFont="1"/>
    <xf numFmtId="2" fontId="0" fillId="17" borderId="0" xfId="0" applyNumberFormat="1" applyFill="1" applyBorder="1"/>
    <xf numFmtId="2" fontId="13" fillId="0" borderId="4" xfId="0" applyNumberFormat="1" applyFont="1" applyFill="1" applyBorder="1"/>
    <xf numFmtId="2" fontId="0" fillId="0" borderId="0" xfId="0" applyNumberFormat="1" applyFill="1" applyBorder="1"/>
    <xf numFmtId="0" fontId="0" fillId="17" borderId="0" xfId="0" applyFill="1" applyBorder="1" applyAlignment="1">
      <alignment horizontal="right"/>
    </xf>
    <xf numFmtId="0" fontId="0" fillId="17" borderId="0" xfId="0" applyFill="1" applyAlignment="1">
      <alignment horizontal="right"/>
    </xf>
    <xf numFmtId="10" fontId="0" fillId="17" borderId="0" xfId="4" applyNumberFormat="1" applyFont="1" applyFill="1" applyAlignment="1">
      <alignment horizontal="right"/>
    </xf>
    <xf numFmtId="0" fontId="0" fillId="17" borderId="0" xfId="4" applyNumberFormat="1" applyFont="1" applyFill="1" applyAlignment="1">
      <alignment horizontal="right"/>
    </xf>
    <xf numFmtId="0" fontId="13" fillId="0" borderId="0" xfId="0" applyFont="1" applyFill="1" applyBorder="1" applyAlignment="1">
      <alignment horizontal="right"/>
    </xf>
    <xf numFmtId="1" fontId="0" fillId="0" borderId="0" xfId="0" applyNumberFormat="1" applyFill="1" applyBorder="1" applyAlignment="1">
      <alignment horizontal="right"/>
    </xf>
    <xf numFmtId="0" fontId="0" fillId="0" borderId="0" xfId="0" applyFill="1" applyBorder="1" applyAlignment="1">
      <alignment horizontal="right"/>
    </xf>
    <xf numFmtId="0" fontId="0" fillId="17" borderId="12" xfId="0" applyFill="1" applyBorder="1"/>
    <xf numFmtId="0" fontId="0" fillId="0" borderId="12" xfId="0" applyFill="1" applyBorder="1"/>
    <xf numFmtId="10" fontId="0" fillId="17" borderId="0" xfId="4" applyNumberFormat="1" applyFont="1" applyFill="1" applyAlignment="1">
      <alignment horizontal="left"/>
    </xf>
    <xf numFmtId="0" fontId="18" fillId="17" borderId="0" xfId="0" applyNumberFormat="1" applyFont="1" applyFill="1" applyBorder="1"/>
    <xf numFmtId="0" fontId="18" fillId="17" borderId="0" xfId="0" applyNumberFormat="1" applyFont="1" applyFill="1" applyBorder="1" applyAlignment="1">
      <alignment vertical="top"/>
    </xf>
    <xf numFmtId="0" fontId="24" fillId="0" borderId="1" xfId="0" applyNumberFormat="1" applyFont="1" applyFill="1" applyBorder="1" applyAlignment="1">
      <alignment wrapText="1"/>
    </xf>
    <xf numFmtId="0" fontId="24" fillId="0" borderId="0" xfId="0" applyNumberFormat="1" applyFont="1" applyFill="1" applyBorder="1" applyAlignment="1">
      <alignment wrapText="1"/>
    </xf>
    <xf numFmtId="165" fontId="36" fillId="0" borderId="0" xfId="54" applyNumberFormat="1" applyFont="1" applyFill="1" applyBorder="1" applyAlignment="1">
      <alignment horizontal="right"/>
    </xf>
    <xf numFmtId="0" fontId="0" fillId="17" borderId="0" xfId="4" applyNumberFormat="1" applyFont="1" applyFill="1"/>
    <xf numFmtId="0" fontId="13" fillId="17" borderId="0" xfId="4" applyNumberFormat="1" applyFont="1" applyFill="1" applyBorder="1" applyAlignment="1">
      <alignment horizontal="right"/>
    </xf>
    <xf numFmtId="0" fontId="13" fillId="0" borderId="0" xfId="4" applyNumberFormat="1" applyFont="1" applyFill="1"/>
    <xf numFmtId="0" fontId="0" fillId="0" borderId="0" xfId="4" applyNumberFormat="1" applyFont="1" applyFill="1" applyBorder="1" applyAlignment="1">
      <alignment horizontal="right"/>
    </xf>
    <xf numFmtId="0" fontId="13" fillId="0" borderId="0" xfId="4" applyNumberFormat="1" applyFont="1" applyFill="1" applyBorder="1" applyAlignment="1">
      <alignment horizontal="right"/>
    </xf>
    <xf numFmtId="0" fontId="13" fillId="0" borderId="4" xfId="4" applyNumberFormat="1" applyFont="1" applyFill="1" applyBorder="1" applyAlignment="1">
      <alignment horizontal="right"/>
    </xf>
    <xf numFmtId="0" fontId="0" fillId="0" borderId="4" xfId="4" applyNumberFormat="1" applyFont="1" applyFill="1" applyBorder="1"/>
    <xf numFmtId="0" fontId="0" fillId="0" borderId="0" xfId="4" applyNumberFormat="1" applyFont="1" applyFill="1"/>
    <xf numFmtId="2" fontId="18" fillId="0" borderId="0" xfId="0" applyNumberFormat="1" applyFont="1" applyFill="1"/>
    <xf numFmtId="2" fontId="0" fillId="0" borderId="0" xfId="0" applyNumberFormat="1" applyFont="1" applyFill="1"/>
    <xf numFmtId="0" fontId="13" fillId="17" borderId="0" xfId="4" applyNumberFormat="1" applyFont="1" applyFill="1"/>
    <xf numFmtId="0" fontId="13" fillId="17" borderId="0" xfId="4" applyNumberFormat="1" applyFont="1" applyFill="1" applyBorder="1"/>
    <xf numFmtId="0" fontId="12" fillId="17" borderId="0" xfId="4" applyNumberFormat="1" applyFont="1" applyFill="1"/>
    <xf numFmtId="0" fontId="0" fillId="17" borderId="0" xfId="4" applyNumberFormat="1" applyFont="1" applyFill="1" applyBorder="1" applyAlignment="1">
      <alignment horizontal="right"/>
    </xf>
    <xf numFmtId="2" fontId="0" fillId="0" borderId="0" xfId="4" applyNumberFormat="1" applyFont="1" applyFill="1" applyBorder="1" applyAlignment="1">
      <alignment horizontal="right"/>
    </xf>
    <xf numFmtId="1" fontId="0" fillId="0" borderId="0" xfId="4" applyNumberFormat="1" applyFont="1" applyFill="1" applyBorder="1" applyAlignment="1">
      <alignment horizontal="right"/>
    </xf>
    <xf numFmtId="0" fontId="24" fillId="0" borderId="0" xfId="0" applyFont="1"/>
    <xf numFmtId="0" fontId="12" fillId="0" borderId="0" xfId="0" applyFont="1" applyFill="1" applyBorder="1"/>
    <xf numFmtId="168" fontId="45" fillId="0" borderId="0" xfId="37" applyNumberFormat="1" applyFont="1" applyFill="1" applyBorder="1" applyAlignment="1" applyProtection="1">
      <alignment horizontal="left"/>
    </xf>
    <xf numFmtId="0" fontId="25" fillId="0" borderId="0" xfId="0" applyFont="1" applyFill="1" applyBorder="1"/>
    <xf numFmtId="0" fontId="38" fillId="0" borderId="0" xfId="37" applyFont="1" applyFill="1" applyBorder="1" applyAlignment="1" applyProtection="1">
      <alignment horizontal="left" vertical="top" wrapText="1" readingOrder="1"/>
      <protection locked="0"/>
    </xf>
    <xf numFmtId="0" fontId="39" fillId="0" borderId="0" xfId="0" applyFont="1" applyFill="1" applyBorder="1" applyAlignment="1" applyProtection="1">
      <alignment vertical="top" wrapText="1" readingOrder="1"/>
      <protection locked="0"/>
    </xf>
    <xf numFmtId="167" fontId="40" fillId="0" borderId="0" xfId="37" applyNumberFormat="1" applyFont="1" applyFill="1" applyBorder="1" applyAlignment="1" applyProtection="1">
      <alignment horizontal="right" vertical="top" wrapText="1" readingOrder="1"/>
      <protection locked="0"/>
    </xf>
    <xf numFmtId="0" fontId="41" fillId="0" borderId="0" xfId="0" applyFont="1" applyFill="1" applyBorder="1" applyAlignment="1" applyProtection="1">
      <alignment vertical="top" wrapText="1" readingOrder="1"/>
      <protection locked="0"/>
    </xf>
    <xf numFmtId="0" fontId="0" fillId="0" borderId="0" xfId="0" applyFont="1" applyFill="1" applyBorder="1"/>
    <xf numFmtId="167" fontId="42" fillId="0" borderId="0" xfId="37" applyNumberFormat="1" applyFont="1" applyFill="1" applyBorder="1" applyAlignment="1" applyProtection="1">
      <alignment horizontal="right" vertical="top" wrapText="1" readingOrder="1"/>
      <protection locked="0"/>
    </xf>
    <xf numFmtId="0" fontId="41" fillId="0" borderId="0" xfId="37" applyFont="1" applyFill="1" applyBorder="1" applyAlignment="1" applyProtection="1">
      <alignment vertical="top" wrapText="1" readingOrder="1"/>
      <protection locked="0"/>
    </xf>
    <xf numFmtId="0" fontId="12" fillId="0" borderId="0" xfId="37" applyFill="1" applyBorder="1" applyAlignment="1">
      <alignment readingOrder="1"/>
    </xf>
    <xf numFmtId="49" fontId="14" fillId="0" borderId="0" xfId="57" applyNumberFormat="1" applyFont="1" applyFill="1" applyBorder="1" applyAlignment="1">
      <alignment horizontal="right"/>
    </xf>
    <xf numFmtId="49" fontId="47" fillId="0" borderId="0" xfId="58" applyNumberFormat="1" applyFont="1" applyFill="1" applyBorder="1" applyAlignment="1">
      <alignment horizontal="right"/>
    </xf>
    <xf numFmtId="0" fontId="43" fillId="0" borderId="0" xfId="0" applyFont="1" applyFill="1" applyBorder="1"/>
    <xf numFmtId="0" fontId="24" fillId="17" borderId="0" xfId="0" applyFont="1" applyFill="1"/>
    <xf numFmtId="0" fontId="24" fillId="0" borderId="0" xfId="0" applyFont="1" applyFill="1"/>
    <xf numFmtId="0" fontId="0" fillId="17" borderId="0" xfId="0" quotePrefix="1" applyFill="1"/>
    <xf numFmtId="0" fontId="13" fillId="17" borderId="13" xfId="0" applyFont="1" applyFill="1" applyBorder="1"/>
    <xf numFmtId="0" fontId="13" fillId="17" borderId="4" xfId="0" applyFont="1" applyFill="1" applyBorder="1"/>
    <xf numFmtId="0" fontId="0" fillId="17" borderId="4" xfId="0" applyFont="1" applyFill="1" applyBorder="1"/>
    <xf numFmtId="0" fontId="38" fillId="17" borderId="0" xfId="37" applyFont="1" applyFill="1" applyBorder="1" applyAlignment="1" applyProtection="1">
      <alignment horizontal="right" vertical="top" wrapText="1" readingOrder="1"/>
      <protection locked="0"/>
    </xf>
    <xf numFmtId="0" fontId="0" fillId="17" borderId="0" xfId="0" applyFont="1" applyFill="1" applyBorder="1" applyAlignment="1">
      <alignment wrapText="1"/>
    </xf>
    <xf numFmtId="0" fontId="12" fillId="0" borderId="0" xfId="37" applyFill="1" applyBorder="1"/>
    <xf numFmtId="0" fontId="15" fillId="17" borderId="0" xfId="0" applyFont="1" applyFill="1" applyBorder="1"/>
    <xf numFmtId="0" fontId="41" fillId="0" borderId="0" xfId="37" applyFont="1" applyFill="1" applyBorder="1" applyAlignment="1" applyProtection="1">
      <alignment horizontal="right" vertical="top" wrapText="1" readingOrder="1"/>
      <protection locked="0"/>
    </xf>
    <xf numFmtId="167" fontId="41" fillId="0" borderId="0" xfId="37" applyNumberFormat="1" applyFont="1" applyFill="1" applyBorder="1" applyAlignment="1" applyProtection="1">
      <alignment horizontal="right" vertical="top" wrapText="1" readingOrder="1"/>
      <protection locked="0"/>
    </xf>
    <xf numFmtId="0" fontId="42" fillId="0" borderId="0" xfId="37" applyFont="1" applyFill="1" applyBorder="1" applyAlignment="1" applyProtection="1">
      <alignment horizontal="right" vertical="top" wrapText="1" readingOrder="1"/>
      <protection locked="0"/>
    </xf>
    <xf numFmtId="0" fontId="13" fillId="19" borderId="15" xfId="60" applyFont="1" applyFill="1" applyBorder="1" applyProtection="1"/>
    <xf numFmtId="170" fontId="13" fillId="19" borderId="15" xfId="60" applyNumberFormat="1" applyFont="1" applyFill="1" applyBorder="1" applyAlignment="1" applyProtection="1">
      <alignment horizontal="left"/>
    </xf>
    <xf numFmtId="0" fontId="12" fillId="19" borderId="0" xfId="0" applyFont="1" applyFill="1" applyBorder="1"/>
    <xf numFmtId="0" fontId="13" fillId="19" borderId="21" xfId="60" applyFont="1" applyFill="1" applyBorder="1" applyAlignment="1" applyProtection="1">
      <protection locked="0"/>
    </xf>
    <xf numFmtId="0" fontId="13" fillId="19" borderId="16" xfId="60" applyFont="1" applyFill="1" applyBorder="1" applyAlignment="1" applyProtection="1">
      <alignment wrapText="1"/>
    </xf>
    <xf numFmtId="0" fontId="13" fillId="19" borderId="16" xfId="60" applyFont="1" applyFill="1" applyBorder="1" applyAlignment="1" applyProtection="1"/>
    <xf numFmtId="0" fontId="8" fillId="0" borderId="17" xfId="60" applyFill="1" applyBorder="1" applyAlignment="1" applyProtection="1">
      <protection locked="0"/>
    </xf>
    <xf numFmtId="0" fontId="13" fillId="19" borderId="15" xfId="60" applyFont="1" applyFill="1" applyBorder="1" applyAlignment="1" applyProtection="1">
      <alignment horizontal="left"/>
    </xf>
    <xf numFmtId="0" fontId="36" fillId="19" borderId="20" xfId="60" applyFont="1" applyFill="1" applyBorder="1" applyAlignment="1" applyProtection="1">
      <protection locked="0"/>
    </xf>
    <xf numFmtId="167" fontId="39" fillId="0" borderId="0" xfId="37" applyNumberFormat="1" applyFont="1" applyFill="1" applyBorder="1" applyAlignment="1" applyProtection="1">
      <alignment horizontal="right" vertical="top" wrapText="1" readingOrder="1"/>
      <protection locked="0"/>
    </xf>
    <xf numFmtId="0" fontId="14" fillId="17" borderId="0" xfId="0" applyFont="1" applyFill="1" applyBorder="1"/>
    <xf numFmtId="0" fontId="36" fillId="0" borderId="0" xfId="0" applyFont="1" applyFill="1" applyBorder="1" applyAlignment="1" applyProtection="1">
      <alignment vertical="top" wrapText="1" readingOrder="1"/>
      <protection locked="0"/>
    </xf>
    <xf numFmtId="0" fontId="0" fillId="19" borderId="0" xfId="0" applyFont="1" applyFill="1" applyBorder="1"/>
    <xf numFmtId="0" fontId="42" fillId="0" borderId="0" xfId="37" applyFont="1" applyFill="1" applyBorder="1" applyAlignment="1" applyProtection="1">
      <alignment horizontal="right" vertical="top" wrapText="1" readingOrder="1"/>
      <protection locked="0"/>
    </xf>
    <xf numFmtId="0" fontId="38" fillId="0" borderId="0" xfId="37" applyFont="1" applyFill="1" applyBorder="1" applyAlignment="1" applyProtection="1">
      <alignment vertical="top" wrapText="1" readingOrder="1"/>
      <protection locked="0"/>
    </xf>
    <xf numFmtId="0" fontId="41" fillId="0" borderId="0" xfId="37" applyFont="1" applyFill="1" applyBorder="1" applyAlignment="1" applyProtection="1">
      <alignment horizontal="right" vertical="top" wrapText="1" readingOrder="1"/>
      <protection locked="0"/>
    </xf>
    <xf numFmtId="167" fontId="41" fillId="0" borderId="0" xfId="37" applyNumberFormat="1" applyFont="1" applyFill="1" applyBorder="1" applyAlignment="1" applyProtection="1">
      <alignment horizontal="right" vertical="top" wrapText="1" readingOrder="1"/>
      <protection locked="0"/>
    </xf>
    <xf numFmtId="167" fontId="39" fillId="0" borderId="0" xfId="37" applyNumberFormat="1" applyFont="1" applyFill="1" applyBorder="1" applyAlignment="1" applyProtection="1">
      <alignment horizontal="right" vertical="top" wrapText="1" readingOrder="1"/>
      <protection locked="0"/>
    </xf>
    <xf numFmtId="167" fontId="41" fillId="0" borderId="0" xfId="37" applyNumberFormat="1" applyFont="1" applyFill="1" applyBorder="1" applyAlignment="1" applyProtection="1">
      <alignment vertical="top" wrapText="1" readingOrder="1"/>
      <protection locked="0"/>
    </xf>
    <xf numFmtId="167" fontId="39" fillId="0" borderId="0" xfId="37" applyNumberFormat="1" applyFont="1" applyFill="1" applyBorder="1" applyAlignment="1" applyProtection="1">
      <alignment vertical="top" wrapText="1" readingOrder="1"/>
      <protection locked="0"/>
    </xf>
    <xf numFmtId="0" fontId="44" fillId="0" borderId="0" xfId="37" applyFont="1" applyFill="1" applyBorder="1" applyAlignment="1" applyProtection="1">
      <alignment vertical="top" wrapText="1" readingOrder="1"/>
      <protection locked="0"/>
    </xf>
    <xf numFmtId="0" fontId="38" fillId="0" borderId="0" xfId="37" applyFont="1" applyFill="1" applyBorder="1" applyAlignment="1" applyProtection="1">
      <alignment wrapText="1" readingOrder="1"/>
      <protection locked="0"/>
    </xf>
    <xf numFmtId="167" fontId="40" fillId="0" borderId="0" xfId="37" applyNumberFormat="1" applyFont="1" applyAlignment="1" applyProtection="1">
      <alignment horizontal="right" vertical="top" wrapText="1" readingOrder="1"/>
      <protection locked="0"/>
    </xf>
    <xf numFmtId="0" fontId="42" fillId="0" borderId="0" xfId="37" applyFont="1" applyAlignment="1" applyProtection="1">
      <alignment horizontal="right" vertical="top" wrapText="1" readingOrder="1"/>
      <protection locked="0"/>
    </xf>
    <xf numFmtId="167" fontId="42" fillId="0" borderId="0" xfId="37" applyNumberFormat="1" applyFont="1" applyAlignment="1" applyProtection="1">
      <alignment horizontal="right" vertical="top" wrapText="1" readingOrder="1"/>
      <protection locked="0"/>
    </xf>
    <xf numFmtId="0" fontId="42" fillId="0" borderId="4" xfId="37" applyFont="1" applyBorder="1" applyAlignment="1" applyProtection="1">
      <alignment horizontal="right" vertical="top" wrapText="1" readingOrder="1"/>
      <protection locked="0"/>
    </xf>
    <xf numFmtId="0" fontId="42" fillId="0" borderId="0" xfId="37" applyFont="1" applyBorder="1" applyAlignment="1" applyProtection="1">
      <alignment horizontal="right" vertical="top" wrapText="1" readingOrder="1"/>
      <protection locked="0"/>
    </xf>
    <xf numFmtId="0" fontId="38" fillId="0" borderId="0" xfId="37" applyFont="1" applyBorder="1" applyAlignment="1" applyProtection="1">
      <alignment wrapText="1" readingOrder="1"/>
      <protection locked="0"/>
    </xf>
    <xf numFmtId="0" fontId="38" fillId="0" borderId="0" xfId="37" applyFont="1" applyBorder="1" applyAlignment="1" applyProtection="1">
      <alignment horizontal="left" vertical="top" wrapText="1" readingOrder="1"/>
      <protection locked="0"/>
    </xf>
    <xf numFmtId="0" fontId="12" fillId="0" borderId="0" xfId="37"/>
    <xf numFmtId="0" fontId="12" fillId="0" borderId="0" xfId="37" applyAlignment="1">
      <alignment readingOrder="1"/>
    </xf>
    <xf numFmtId="0" fontId="0" fillId="0" borderId="15" xfId="60" applyFont="1" applyFill="1" applyBorder="1" applyProtection="1">
      <protection locked="0"/>
    </xf>
    <xf numFmtId="0" fontId="41" fillId="0" borderId="4" xfId="37" applyFont="1" applyBorder="1" applyAlignment="1" applyProtection="1">
      <alignment horizontal="right" vertical="top" wrapText="1" readingOrder="1"/>
      <protection locked="0"/>
    </xf>
    <xf numFmtId="0" fontId="41" fillId="0" borderId="0" xfId="37" applyFont="1" applyBorder="1" applyAlignment="1" applyProtection="1">
      <alignment horizontal="right" vertical="top" wrapText="1" readingOrder="1"/>
      <protection locked="0"/>
    </xf>
    <xf numFmtId="0" fontId="48" fillId="17" borderId="0" xfId="0" applyNumberFormat="1" applyFont="1" applyFill="1"/>
    <xf numFmtId="0" fontId="49" fillId="17" borderId="0" xfId="0" applyFont="1" applyFill="1"/>
    <xf numFmtId="0" fontId="49" fillId="17" borderId="0" xfId="0" applyFont="1" applyFill="1" applyAlignment="1">
      <alignment horizontal="right"/>
    </xf>
    <xf numFmtId="10" fontId="12" fillId="17" borderId="0" xfId="4" applyNumberFormat="1" applyFont="1" applyFill="1" applyAlignment="1">
      <alignment horizontal="right"/>
    </xf>
    <xf numFmtId="0" fontId="12" fillId="19" borderId="0" xfId="0" applyFont="1" applyFill="1" applyBorder="1" applyAlignment="1">
      <alignment wrapText="1"/>
    </xf>
    <xf numFmtId="0" fontId="14" fillId="17" borderId="4" xfId="0" applyFont="1" applyFill="1" applyBorder="1"/>
    <xf numFmtId="0" fontId="13" fillId="19" borderId="22" xfId="60" applyFont="1" applyFill="1" applyBorder="1" applyProtection="1"/>
    <xf numFmtId="0" fontId="13" fillId="0" borderId="0" xfId="0" applyFont="1" applyFill="1" applyBorder="1" applyProtection="1"/>
    <xf numFmtId="0" fontId="12" fillId="0" borderId="0" xfId="0" applyFont="1" applyFill="1" applyBorder="1" applyAlignment="1" applyProtection="1">
      <alignment wrapText="1"/>
      <protection locked="0"/>
    </xf>
    <xf numFmtId="0" fontId="12" fillId="0" borderId="0" xfId="0" applyFont="1" applyFill="1" applyBorder="1" applyProtection="1">
      <protection locked="0"/>
    </xf>
    <xf numFmtId="0" fontId="0" fillId="0" borderId="0" xfId="0" applyFill="1" applyBorder="1" applyProtection="1">
      <protection locked="0"/>
    </xf>
    <xf numFmtId="0" fontId="50" fillId="17" borderId="1" xfId="0" applyFont="1" applyFill="1" applyBorder="1"/>
    <xf numFmtId="0" fontId="50" fillId="17" borderId="0" xfId="0" applyFont="1" applyFill="1"/>
    <xf numFmtId="0" fontId="50" fillId="17" borderId="1" xfId="0" applyNumberFormat="1" applyFont="1" applyFill="1" applyBorder="1" applyAlignment="1">
      <alignment horizontal="left"/>
    </xf>
    <xf numFmtId="165" fontId="51" fillId="17" borderId="0" xfId="54" applyNumberFormat="1" applyFont="1" applyFill="1" applyBorder="1" applyAlignment="1">
      <alignment horizontal="right"/>
    </xf>
    <xf numFmtId="0" fontId="51" fillId="17" borderId="0" xfId="0" applyFont="1" applyFill="1" applyBorder="1"/>
    <xf numFmtId="0" fontId="51" fillId="17" borderId="3" xfId="0" applyFont="1" applyFill="1" applyBorder="1"/>
    <xf numFmtId="0" fontId="51" fillId="17" borderId="4" xfId="0" applyFont="1" applyFill="1" applyBorder="1"/>
    <xf numFmtId="0" fontId="50" fillId="17" borderId="0" xfId="0" applyFont="1" applyFill="1" applyBorder="1"/>
    <xf numFmtId="1" fontId="50" fillId="17" borderId="0" xfId="0" applyNumberFormat="1" applyFont="1" applyFill="1" applyBorder="1" applyAlignment="1">
      <alignment horizontal="left"/>
    </xf>
    <xf numFmtId="0" fontId="50" fillId="17" borderId="0" xfId="0" applyNumberFormat="1" applyFont="1" applyFill="1" applyBorder="1" applyAlignment="1">
      <alignment horizontal="left"/>
    </xf>
    <xf numFmtId="0" fontId="50" fillId="17" borderId="1" xfId="0" applyNumberFormat="1" applyFont="1" applyFill="1" applyBorder="1" applyAlignment="1">
      <alignment wrapText="1"/>
    </xf>
    <xf numFmtId="0" fontId="50" fillId="17" borderId="0" xfId="0" applyNumberFormat="1" applyFont="1" applyFill="1" applyBorder="1" applyAlignment="1">
      <alignment wrapText="1"/>
    </xf>
    <xf numFmtId="1" fontId="50" fillId="17" borderId="1" xfId="0" applyNumberFormat="1" applyFont="1" applyFill="1" applyBorder="1" applyAlignment="1">
      <alignment horizontal="left"/>
    </xf>
    <xf numFmtId="0" fontId="41" fillId="0" borderId="0" xfId="37" applyFont="1" applyFill="1" applyBorder="1" applyAlignment="1" applyProtection="1">
      <alignment horizontal="right" vertical="top" wrapText="1" readingOrder="1"/>
      <protection locked="0"/>
    </xf>
    <xf numFmtId="167" fontId="41" fillId="0" borderId="0" xfId="37" applyNumberFormat="1" applyFont="1" applyFill="1" applyBorder="1" applyAlignment="1" applyProtection="1">
      <alignment horizontal="right" vertical="top" wrapText="1" readingOrder="1"/>
      <protection locked="0"/>
    </xf>
    <xf numFmtId="0" fontId="0" fillId="0" borderId="0" xfId="0" quotePrefix="1"/>
    <xf numFmtId="0" fontId="0" fillId="0" borderId="0" xfId="0" quotePrefix="1" applyAlignment="1">
      <alignment wrapText="1"/>
    </xf>
    <xf numFmtId="0" fontId="13" fillId="17" borderId="8" xfId="0" applyFont="1" applyFill="1" applyBorder="1"/>
    <xf numFmtId="0" fontId="13" fillId="17" borderId="7" xfId="0" applyFont="1" applyFill="1" applyBorder="1"/>
    <xf numFmtId="0" fontId="53" fillId="0" borderId="25" xfId="60" applyFont="1" applyFill="1" applyBorder="1" applyAlignment="1" applyProtection="1">
      <alignment wrapText="1"/>
      <protection locked="0"/>
    </xf>
    <xf numFmtId="0" fontId="53" fillId="0" borderId="26" xfId="60" applyFont="1" applyFill="1" applyBorder="1" applyAlignment="1" applyProtection="1">
      <alignment wrapText="1"/>
      <protection locked="0"/>
    </xf>
    <xf numFmtId="0" fontId="53" fillId="0" borderId="27" xfId="60" applyFont="1" applyFill="1" applyBorder="1" applyAlignment="1" applyProtection="1">
      <alignment wrapText="1"/>
      <protection locked="0"/>
    </xf>
    <xf numFmtId="0" fontId="53" fillId="0" borderId="23" xfId="60" applyFont="1" applyFill="1" applyBorder="1" applyAlignment="1" applyProtection="1">
      <alignment wrapText="1"/>
      <protection locked="0"/>
    </xf>
    <xf numFmtId="0" fontId="53" fillId="0" borderId="28" xfId="60" applyFont="1" applyFill="1" applyBorder="1" applyAlignment="1" applyProtection="1">
      <alignment wrapText="1"/>
      <protection locked="0"/>
    </xf>
    <xf numFmtId="0" fontId="53" fillId="0" borderId="24" xfId="60" applyFont="1" applyFill="1" applyBorder="1" applyAlignment="1" applyProtection="1">
      <alignment wrapText="1"/>
      <protection locked="0"/>
    </xf>
    <xf numFmtId="0" fontId="53" fillId="0" borderId="29" xfId="60" applyFont="1" applyFill="1" applyBorder="1" applyAlignment="1" applyProtection="1">
      <alignment wrapText="1"/>
      <protection locked="0"/>
    </xf>
    <xf numFmtId="0" fontId="53" fillId="0" borderId="30" xfId="60" applyFont="1" applyFill="1" applyBorder="1" applyAlignment="1" applyProtection="1">
      <alignment vertical="top" wrapText="1"/>
      <protection locked="0"/>
    </xf>
    <xf numFmtId="0" fontId="13" fillId="17" borderId="31" xfId="0" applyFont="1" applyFill="1" applyBorder="1"/>
    <xf numFmtId="0" fontId="53" fillId="0" borderId="32" xfId="60" applyFont="1" applyFill="1" applyBorder="1" applyAlignment="1" applyProtection="1">
      <alignment wrapText="1"/>
      <protection locked="0"/>
    </xf>
    <xf numFmtId="0" fontId="53" fillId="0" borderId="33" xfId="60" applyFont="1" applyFill="1" applyBorder="1" applyAlignment="1" applyProtection="1">
      <alignment vertical="top" wrapText="1"/>
      <protection locked="0"/>
    </xf>
    <xf numFmtId="0" fontId="0" fillId="19" borderId="0" xfId="0" applyFill="1"/>
    <xf numFmtId="0" fontId="53" fillId="0" borderId="31" xfId="60" applyFont="1" applyFill="1" applyBorder="1" applyAlignment="1" applyProtection="1">
      <alignment wrapText="1"/>
      <protection locked="0"/>
    </xf>
    <xf numFmtId="0" fontId="53" fillId="0" borderId="35" xfId="60" applyFont="1" applyFill="1" applyBorder="1" applyAlignment="1" applyProtection="1">
      <alignment wrapText="1"/>
      <protection locked="0"/>
    </xf>
    <xf numFmtId="0" fontId="0" fillId="0" borderId="34" xfId="0" applyBorder="1" applyAlignment="1">
      <alignment horizontal="center"/>
    </xf>
    <xf numFmtId="0" fontId="52" fillId="19" borderId="0" xfId="0" applyFont="1" applyFill="1"/>
    <xf numFmtId="0" fontId="0" fillId="0" borderId="0" xfId="0" quotePrefix="1" applyAlignment="1">
      <alignment horizontal="left" indent="2"/>
    </xf>
    <xf numFmtId="0" fontId="0" fillId="0" borderId="36" xfId="0" applyBorder="1"/>
    <xf numFmtId="0" fontId="0" fillId="0" borderId="11" xfId="0" applyBorder="1"/>
    <xf numFmtId="0" fontId="0" fillId="0" borderId="9" xfId="0" applyBorder="1"/>
    <xf numFmtId="0" fontId="0" fillId="0" borderId="37" xfId="0" applyBorder="1"/>
    <xf numFmtId="0" fontId="0" fillId="0" borderId="34" xfId="0" applyBorder="1"/>
    <xf numFmtId="0" fontId="7" fillId="0" borderId="15" xfId="60" applyFont="1" applyFill="1" applyBorder="1" applyAlignment="1" applyProtection="1">
      <alignment wrapText="1"/>
      <protection locked="0"/>
    </xf>
    <xf numFmtId="0" fontId="53" fillId="0" borderId="0" xfId="0" applyFont="1"/>
    <xf numFmtId="0" fontId="0" fillId="20" borderId="0" xfId="0" applyFill="1"/>
    <xf numFmtId="0" fontId="34" fillId="20" borderId="0" xfId="0" quotePrefix="1" applyFont="1" applyFill="1"/>
    <xf numFmtId="0" fontId="0" fillId="20" borderId="1" xfId="0" applyFill="1" applyBorder="1"/>
    <xf numFmtId="0" fontId="0" fillId="20" borderId="0" xfId="0" applyFill="1" applyBorder="1"/>
    <xf numFmtId="0" fontId="0" fillId="20" borderId="0" xfId="0" applyFont="1" applyFill="1" applyBorder="1"/>
    <xf numFmtId="0" fontId="0" fillId="20" borderId="2" xfId="0" applyFill="1" applyBorder="1"/>
    <xf numFmtId="0" fontId="0" fillId="20" borderId="3" xfId="0" applyFill="1" applyBorder="1"/>
    <xf numFmtId="0" fontId="0" fillId="20" borderId="4" xfId="0" applyFill="1" applyBorder="1"/>
    <xf numFmtId="0" fontId="0" fillId="20" borderId="5" xfId="0" applyFill="1" applyBorder="1"/>
    <xf numFmtId="43" fontId="21" fillId="20" borderId="6" xfId="54" applyNumberFormat="1" applyFont="1" applyFill="1" applyBorder="1"/>
    <xf numFmtId="43" fontId="35" fillId="20" borderId="6" xfId="54" applyNumberFormat="1" applyFont="1" applyFill="1" applyBorder="1" applyAlignment="1">
      <alignment horizontal="center"/>
    </xf>
    <xf numFmtId="43" fontId="21" fillId="20" borderId="6" xfId="54" applyNumberFormat="1" applyFont="1" applyFill="1" applyBorder="1" applyAlignment="1"/>
    <xf numFmtId="0" fontId="20" fillId="20" borderId="6" xfId="0" applyFont="1" applyFill="1" applyBorder="1" applyAlignment="1">
      <alignment horizontal="center"/>
    </xf>
    <xf numFmtId="43" fontId="19" fillId="20" borderId="6" xfId="54" applyNumberFormat="1" applyFont="1" applyFill="1" applyBorder="1" applyAlignment="1">
      <alignment horizontal="center"/>
    </xf>
    <xf numFmtId="0" fontId="19" fillId="20" borderId="6" xfId="0" applyFont="1" applyFill="1" applyBorder="1" applyAlignment="1">
      <alignment horizontal="center"/>
    </xf>
    <xf numFmtId="43" fontId="12" fillId="20" borderId="0" xfId="54" applyNumberFormat="1" applyFont="1" applyFill="1" applyBorder="1" applyAlignment="1">
      <alignment vertical="center" textRotation="90"/>
    </xf>
    <xf numFmtId="43" fontId="19" fillId="20" borderId="14" xfId="54" applyNumberFormat="1" applyFont="1" applyFill="1" applyBorder="1" applyAlignment="1">
      <alignment horizontal="center"/>
    </xf>
    <xf numFmtId="0" fontId="12" fillId="20" borderId="0" xfId="0" applyFont="1" applyFill="1" applyBorder="1" applyAlignment="1">
      <alignment horizontal="center" vertical="center" textRotation="90"/>
    </xf>
    <xf numFmtId="0" fontId="19" fillId="20" borderId="0" xfId="0" applyFont="1" applyFill="1" applyBorder="1" applyAlignment="1">
      <alignment horizontal="center"/>
    </xf>
    <xf numFmtId="2" fontId="0" fillId="20" borderId="0" xfId="0" applyNumberFormat="1" applyFill="1" applyBorder="1" applyAlignment="1">
      <alignment horizontal="center"/>
    </xf>
    <xf numFmtId="2" fontId="0" fillId="20" borderId="0" xfId="0" applyNumberFormat="1" applyFill="1" applyBorder="1" applyAlignment="1"/>
    <xf numFmtId="0" fontId="0" fillId="20" borderId="0" xfId="0" applyFill="1" applyBorder="1" applyAlignment="1">
      <alignment horizontal="center"/>
    </xf>
    <xf numFmtId="0" fontId="12" fillId="20" borderId="0" xfId="0" applyFont="1" applyFill="1" applyBorder="1" applyAlignment="1">
      <alignment horizontal="center"/>
    </xf>
    <xf numFmtId="0" fontId="12" fillId="20" borderId="4" xfId="0" applyFont="1" applyFill="1" applyBorder="1" applyAlignment="1">
      <alignment vertical="top" wrapText="1"/>
    </xf>
    <xf numFmtId="0" fontId="0" fillId="20" borderId="1" xfId="0" applyFont="1" applyFill="1" applyBorder="1"/>
    <xf numFmtId="10" fontId="0" fillId="20" borderId="0" xfId="0" applyNumberFormat="1" applyFont="1" applyFill="1"/>
    <xf numFmtId="0" fontId="0" fillId="20" borderId="0" xfId="0" applyFont="1" applyFill="1"/>
    <xf numFmtId="0" fontId="0" fillId="20" borderId="3" xfId="0" applyFont="1" applyFill="1" applyBorder="1"/>
    <xf numFmtId="0" fontId="0" fillId="20" borderId="4" xfId="0" applyFont="1" applyFill="1" applyBorder="1"/>
    <xf numFmtId="0" fontId="0" fillId="20" borderId="7" xfId="0" applyFill="1" applyBorder="1"/>
    <xf numFmtId="0" fontId="55" fillId="20" borderId="0" xfId="0" applyFont="1" applyFill="1"/>
    <xf numFmtId="0" fontId="55" fillId="20" borderId="0" xfId="0" applyFont="1" applyFill="1" applyAlignment="1">
      <alignment horizontal="left"/>
    </xf>
    <xf numFmtId="0" fontId="59" fillId="20" borderId="0" xfId="0" quotePrefix="1" applyFont="1" applyFill="1"/>
    <xf numFmtId="43" fontId="58" fillId="20" borderId="6" xfId="54" applyNumberFormat="1" applyFont="1" applyFill="1" applyBorder="1"/>
    <xf numFmtId="43" fontId="55" fillId="20" borderId="6" xfId="54" applyNumberFormat="1" applyFont="1" applyFill="1" applyBorder="1"/>
    <xf numFmtId="43" fontId="55" fillId="20" borderId="6" xfId="54" applyNumberFormat="1" applyFont="1" applyFill="1" applyBorder="1" applyAlignment="1"/>
    <xf numFmtId="43" fontId="60" fillId="20" borderId="0" xfId="54" applyNumberFormat="1" applyFont="1" applyFill="1"/>
    <xf numFmtId="43" fontId="60" fillId="20" borderId="6" xfId="54" applyNumberFormat="1" applyFont="1" applyFill="1" applyBorder="1" applyAlignment="1">
      <alignment horizontal="center"/>
    </xf>
    <xf numFmtId="0" fontId="55" fillId="20" borderId="0" xfId="0" applyFont="1" applyFill="1" applyAlignment="1">
      <alignment vertical="top" wrapText="1"/>
    </xf>
    <xf numFmtId="0" fontId="58" fillId="20" borderId="0" xfId="0" applyFont="1" applyFill="1"/>
    <xf numFmtId="0" fontId="58" fillId="20" borderId="0" xfId="0" applyFont="1" applyFill="1" applyAlignment="1"/>
    <xf numFmtId="0" fontId="55" fillId="20" borderId="0" xfId="0" applyFont="1" applyFill="1" applyAlignment="1"/>
    <xf numFmtId="0" fontId="61" fillId="20" borderId="0" xfId="0" applyFont="1" applyFill="1" applyAlignment="1"/>
    <xf numFmtId="0" fontId="55" fillId="20" borderId="0" xfId="0" applyFont="1" applyFill="1" applyAlignment="1">
      <alignment horizontal="center"/>
    </xf>
    <xf numFmtId="2" fontId="55" fillId="20" borderId="0" xfId="0" applyNumberFormat="1" applyFont="1" applyFill="1" applyAlignment="1">
      <alignment horizontal="center"/>
    </xf>
    <xf numFmtId="0" fontId="63" fillId="20" borderId="0" xfId="0" applyFont="1" applyFill="1"/>
    <xf numFmtId="2" fontId="62" fillId="20" borderId="0" xfId="0" applyNumberFormat="1" applyFont="1" applyFill="1" applyAlignment="1"/>
    <xf numFmtId="0" fontId="64" fillId="20" borderId="0" xfId="0" applyFont="1" applyFill="1"/>
    <xf numFmtId="0" fontId="0" fillId="0" borderId="0" xfId="5" applyFont="1" applyFill="1" applyAlignment="1">
      <alignment horizontal="center"/>
    </xf>
    <xf numFmtId="0" fontId="6" fillId="0" borderId="15" xfId="60" applyFont="1" applyFill="1" applyBorder="1" applyAlignment="1" applyProtection="1">
      <alignment wrapText="1"/>
      <protection locked="0"/>
    </xf>
    <xf numFmtId="0" fontId="58" fillId="20" borderId="0" xfId="0" applyFont="1" applyFill="1" applyAlignment="1">
      <alignment horizontal="left"/>
    </xf>
    <xf numFmtId="0" fontId="5" fillId="0" borderId="15" xfId="60" applyFont="1" applyFill="1" applyBorder="1" applyAlignment="1" applyProtection="1">
      <alignment wrapText="1"/>
      <protection locked="0"/>
    </xf>
    <xf numFmtId="0" fontId="41" fillId="0" borderId="0" xfId="37" applyFont="1" applyFill="1" applyBorder="1" applyAlignment="1" applyProtection="1">
      <alignment horizontal="right" vertical="top" wrapText="1" readingOrder="1"/>
      <protection locked="0"/>
    </xf>
    <xf numFmtId="167" fontId="41" fillId="0" borderId="0" xfId="37" applyNumberFormat="1" applyFont="1" applyFill="1" applyBorder="1" applyAlignment="1" applyProtection="1">
      <alignment horizontal="right" vertical="top" wrapText="1" readingOrder="1"/>
      <protection locked="0"/>
    </xf>
    <xf numFmtId="0" fontId="4" fillId="0" borderId="15" xfId="60" applyFont="1" applyFill="1" applyBorder="1" applyAlignment="1" applyProtection="1">
      <alignment wrapText="1"/>
      <protection locked="0"/>
    </xf>
    <xf numFmtId="43" fontId="55" fillId="20" borderId="0" xfId="54" applyNumberFormat="1" applyFont="1" applyFill="1" applyBorder="1" applyAlignment="1">
      <alignment vertical="center" textRotation="90"/>
    </xf>
    <xf numFmtId="43" fontId="55" fillId="20" borderId="14" xfId="54" applyNumberFormat="1" applyFont="1" applyFill="1" applyBorder="1"/>
    <xf numFmtId="43" fontId="55" fillId="20" borderId="14" xfId="54" applyNumberFormat="1" applyFont="1" applyFill="1" applyBorder="1" applyAlignment="1"/>
    <xf numFmtId="43" fontId="0" fillId="20" borderId="0" xfId="54" applyNumberFormat="1" applyFont="1" applyFill="1" applyBorder="1"/>
    <xf numFmtId="43" fontId="19" fillId="20" borderId="0" xfId="54" applyNumberFormat="1" applyFont="1" applyFill="1" applyBorder="1" applyAlignment="1">
      <alignment horizontal="center"/>
    </xf>
    <xf numFmtId="43" fontId="0" fillId="20" borderId="0" xfId="54" applyNumberFormat="1" applyFont="1" applyFill="1" applyBorder="1" applyAlignment="1"/>
    <xf numFmtId="43" fontId="0" fillId="20" borderId="0" xfId="0" applyNumberFormat="1" applyFont="1" applyFill="1"/>
    <xf numFmtId="0" fontId="3" fillId="0" borderId="16" xfId="60" applyFont="1" applyFill="1" applyBorder="1" applyAlignment="1" applyProtection="1">
      <protection locked="0"/>
    </xf>
    <xf numFmtId="0" fontId="3" fillId="0" borderId="15" xfId="60" applyFont="1" applyFill="1" applyBorder="1" applyAlignment="1" applyProtection="1">
      <alignment wrapText="1"/>
      <protection locked="0"/>
    </xf>
    <xf numFmtId="0" fontId="2" fillId="0" borderId="15" xfId="60" applyFont="1" applyFill="1" applyBorder="1" applyAlignment="1" applyProtection="1">
      <alignment wrapText="1"/>
      <protection locked="0"/>
    </xf>
    <xf numFmtId="0" fontId="1" fillId="0" borderId="15" xfId="60" applyFont="1" applyFill="1" applyBorder="1" applyAlignment="1" applyProtection="1">
      <alignment wrapText="1"/>
      <protection locked="0"/>
    </xf>
    <xf numFmtId="0" fontId="12" fillId="0" borderId="0" xfId="0" applyFont="1" applyAlignment="1">
      <alignment horizontal="left"/>
    </xf>
    <xf numFmtId="0" fontId="12" fillId="0" borderId="0" xfId="5" applyFont="1" applyAlignment="1">
      <alignment horizontal="center"/>
    </xf>
    <xf numFmtId="0" fontId="28" fillId="0" borderId="0" xfId="0" applyFont="1"/>
    <xf numFmtId="0" fontId="0" fillId="0" borderId="0" xfId="0" applyAlignment="1">
      <alignment horizontal="left"/>
    </xf>
    <xf numFmtId="2" fontId="0" fillId="20" borderId="0" xfId="0" applyNumberFormat="1" applyFill="1" applyBorder="1" applyAlignment="1">
      <alignment horizontal="center"/>
    </xf>
    <xf numFmtId="166" fontId="0" fillId="20" borderId="0" xfId="54" applyNumberFormat="1" applyFont="1" applyFill="1" applyAlignment="1">
      <alignment horizontal="center"/>
    </xf>
    <xf numFmtId="0" fontId="0" fillId="20" borderId="0" xfId="0" applyFill="1" applyBorder="1" applyAlignment="1">
      <alignment horizontal="center"/>
    </xf>
    <xf numFmtId="0" fontId="58" fillId="20" borderId="0" xfId="0" applyFont="1" applyFill="1" applyAlignment="1">
      <alignment horizontal="left"/>
    </xf>
    <xf numFmtId="0" fontId="55" fillId="20" borderId="0" xfId="0" applyFont="1" applyFill="1" applyAlignment="1">
      <alignment horizontal="left"/>
    </xf>
    <xf numFmtId="1" fontId="55" fillId="20" borderId="0" xfId="0" applyNumberFormat="1" applyFont="1" applyFill="1" applyAlignment="1">
      <alignment horizontal="center"/>
    </xf>
    <xf numFmtId="0" fontId="55" fillId="20" borderId="0" xfId="0" applyFont="1" applyFill="1" applyAlignment="1">
      <alignment horizontal="center"/>
    </xf>
    <xf numFmtId="2" fontId="55" fillId="20" borderId="0" xfId="52" applyNumberFormat="1" applyFont="1" applyFill="1" applyAlignment="1">
      <alignment horizontal="center"/>
    </xf>
    <xf numFmtId="0" fontId="54" fillId="19" borderId="0" xfId="0" applyFont="1" applyFill="1" applyAlignment="1">
      <alignment horizontal="center" vertical="center"/>
    </xf>
    <xf numFmtId="0" fontId="61" fillId="20" borderId="0" xfId="0" applyFont="1" applyFill="1" applyAlignment="1">
      <alignment horizontal="center"/>
    </xf>
    <xf numFmtId="0" fontId="55" fillId="20" borderId="0" xfId="0" quotePrefix="1" applyNumberFormat="1" applyFont="1" applyFill="1" applyAlignment="1">
      <alignment horizontal="center"/>
    </xf>
    <xf numFmtId="0" fontId="13" fillId="20" borderId="9" xfId="0" applyFont="1" applyFill="1" applyBorder="1" applyAlignment="1">
      <alignment horizontal="left" vertical="center" wrapText="1"/>
    </xf>
    <xf numFmtId="0" fontId="13" fillId="20" borderId="7" xfId="0" applyFont="1" applyFill="1" applyBorder="1" applyAlignment="1">
      <alignment horizontal="left" vertical="center" wrapText="1"/>
    </xf>
    <xf numFmtId="0" fontId="13" fillId="20" borderId="0" xfId="0" applyFont="1" applyFill="1" applyBorder="1" applyAlignment="1">
      <alignment horizontal="left" vertical="center" wrapText="1"/>
    </xf>
    <xf numFmtId="0" fontId="13" fillId="20" borderId="2" xfId="0" applyFont="1" applyFill="1" applyBorder="1" applyAlignment="1">
      <alignment horizontal="left" vertical="center" wrapText="1"/>
    </xf>
    <xf numFmtId="0" fontId="13" fillId="20" borderId="8" xfId="0" applyFont="1" applyFill="1" applyBorder="1" applyAlignment="1">
      <alignment horizontal="center" vertical="center"/>
    </xf>
    <xf numFmtId="0" fontId="13" fillId="20" borderId="9" xfId="0" applyFont="1" applyFill="1" applyBorder="1" applyAlignment="1">
      <alignment horizontal="center" vertical="center"/>
    </xf>
    <xf numFmtId="0" fontId="13" fillId="20" borderId="1" xfId="0" applyFont="1" applyFill="1" applyBorder="1" applyAlignment="1">
      <alignment horizontal="center" vertical="center"/>
    </xf>
    <xf numFmtId="0" fontId="13" fillId="20" borderId="0" xfId="0" applyFont="1" applyFill="1" applyBorder="1" applyAlignment="1">
      <alignment horizontal="center" vertical="center"/>
    </xf>
    <xf numFmtId="0" fontId="58" fillId="20" borderId="0" xfId="0" applyFont="1" applyFill="1" applyAlignment="1">
      <alignment horizontal="center"/>
    </xf>
    <xf numFmtId="164" fontId="60" fillId="20" borderId="6" xfId="54" applyNumberFormat="1" applyFont="1" applyFill="1" applyBorder="1" applyAlignment="1">
      <alignment horizontal="center"/>
    </xf>
    <xf numFmtId="43" fontId="0" fillId="20" borderId="0" xfId="54" applyNumberFormat="1" applyFont="1" applyFill="1" applyBorder="1" applyAlignment="1">
      <alignment horizontal="center"/>
    </xf>
    <xf numFmtId="0" fontId="56" fillId="19" borderId="0" xfId="0" applyFont="1" applyFill="1" applyAlignment="1">
      <alignment horizontal="center" vertical="center"/>
    </xf>
    <xf numFmtId="0" fontId="58" fillId="17" borderId="1" xfId="0" applyFont="1" applyFill="1" applyBorder="1" applyAlignment="1" applyProtection="1">
      <alignment horizontal="center" vertical="center" wrapText="1"/>
      <protection locked="0"/>
    </xf>
    <xf numFmtId="0" fontId="58" fillId="17" borderId="0" xfId="0" applyFont="1" applyFill="1" applyBorder="1" applyAlignment="1" applyProtection="1">
      <alignment horizontal="center" vertical="center" wrapText="1"/>
      <protection locked="0"/>
    </xf>
    <xf numFmtId="0" fontId="58" fillId="17" borderId="2" xfId="0" applyFont="1" applyFill="1" applyBorder="1" applyAlignment="1" applyProtection="1">
      <alignment horizontal="center" vertical="center" wrapText="1"/>
      <protection locked="0"/>
    </xf>
    <xf numFmtId="0" fontId="15" fillId="20" borderId="4" xfId="0" applyFont="1" applyFill="1" applyBorder="1" applyAlignment="1">
      <alignment horizontal="center"/>
    </xf>
    <xf numFmtId="43" fontId="60" fillId="20" borderId="6" xfId="54" applyNumberFormat="1" applyFont="1" applyFill="1" applyBorder="1" applyAlignment="1">
      <alignment horizontal="center"/>
    </xf>
    <xf numFmtId="43" fontId="55" fillId="20" borderId="14" xfId="54" applyNumberFormat="1" applyFont="1" applyFill="1" applyBorder="1" applyAlignment="1">
      <alignment horizontal="center"/>
    </xf>
    <xf numFmtId="43" fontId="55" fillId="20" borderId="6" xfId="54" applyNumberFormat="1" applyFont="1" applyFill="1" applyBorder="1" applyAlignment="1">
      <alignment horizontal="center"/>
    </xf>
    <xf numFmtId="164" fontId="60" fillId="20" borderId="14" xfId="54" applyNumberFormat="1" applyFont="1" applyFill="1" applyBorder="1" applyAlignment="1">
      <alignment horizontal="center"/>
    </xf>
    <xf numFmtId="164" fontId="0" fillId="20" borderId="0" xfId="54" applyNumberFormat="1" applyFont="1" applyFill="1" applyBorder="1" applyAlignment="1">
      <alignment horizontal="center"/>
    </xf>
    <xf numFmtId="43" fontId="60" fillId="20" borderId="14" xfId="54" applyNumberFormat="1" applyFont="1" applyFill="1" applyBorder="1" applyAlignment="1">
      <alignment horizontal="center"/>
    </xf>
    <xf numFmtId="1" fontId="14" fillId="20" borderId="4" xfId="4" applyNumberFormat="1" applyFont="1" applyFill="1" applyBorder="1" applyAlignment="1">
      <alignment horizontal="center"/>
    </xf>
    <xf numFmtId="43" fontId="12" fillId="20" borderId="0" xfId="54" applyNumberFormat="1" applyFont="1" applyFill="1" applyBorder="1" applyAlignment="1">
      <alignment horizontal="center"/>
    </xf>
    <xf numFmtId="0" fontId="55" fillId="20" borderId="0" xfId="0" applyFont="1" applyFill="1" applyAlignment="1">
      <alignment horizontal="left" vertical="top" wrapText="1"/>
    </xf>
    <xf numFmtId="0" fontId="62" fillId="20" borderId="0" xfId="0" quotePrefix="1" applyNumberFormat="1" applyFont="1" applyFill="1" applyAlignment="1">
      <alignment horizontal="center"/>
    </xf>
    <xf numFmtId="0" fontId="55" fillId="20" borderId="8" xfId="0" applyFont="1" applyFill="1" applyBorder="1" applyAlignment="1">
      <alignment horizontal="left"/>
    </xf>
    <xf numFmtId="0" fontId="55" fillId="20" borderId="9" xfId="0" applyFont="1" applyFill="1" applyBorder="1" applyAlignment="1">
      <alignment horizontal="left"/>
    </xf>
    <xf numFmtId="0" fontId="55" fillId="20" borderId="7" xfId="0" applyFont="1" applyFill="1" applyBorder="1" applyAlignment="1">
      <alignment horizontal="left"/>
    </xf>
    <xf numFmtId="0" fontId="57" fillId="17" borderId="1" xfId="0" applyFont="1" applyFill="1" applyBorder="1" applyAlignment="1" applyProtection="1">
      <alignment horizontal="center" vertical="center" wrapText="1"/>
      <protection locked="0"/>
    </xf>
    <xf numFmtId="0" fontId="57" fillId="17" borderId="0" xfId="0" applyFont="1" applyFill="1" applyBorder="1" applyAlignment="1" applyProtection="1">
      <alignment horizontal="center" vertical="center" wrapText="1"/>
      <protection locked="0"/>
    </xf>
    <xf numFmtId="0" fontId="57" fillId="17" borderId="2" xfId="0" applyFont="1" applyFill="1" applyBorder="1" applyAlignment="1" applyProtection="1">
      <alignment horizontal="center" vertical="center" wrapText="1"/>
      <protection locked="0"/>
    </xf>
    <xf numFmtId="0" fontId="58" fillId="20" borderId="3" xfId="0" applyFont="1" applyFill="1" applyBorder="1" applyAlignment="1" applyProtection="1">
      <alignment horizontal="center" vertical="center" wrapText="1"/>
      <protection locked="0"/>
    </xf>
    <xf numFmtId="0" fontId="58" fillId="20" borderId="4" xfId="0" applyFont="1" applyFill="1" applyBorder="1" applyAlignment="1" applyProtection="1">
      <alignment horizontal="center" vertical="center" wrapText="1"/>
      <protection locked="0"/>
    </xf>
    <xf numFmtId="0" fontId="58" fillId="20" borderId="5" xfId="0" applyFont="1" applyFill="1" applyBorder="1" applyAlignment="1" applyProtection="1">
      <alignment horizontal="center" vertical="center" wrapText="1"/>
      <protection locked="0"/>
    </xf>
    <xf numFmtId="0" fontId="55" fillId="20" borderId="1" xfId="0" applyFont="1" applyFill="1" applyBorder="1" applyAlignment="1" applyProtection="1">
      <alignment horizontal="left" vertical="center" wrapText="1"/>
      <protection locked="0"/>
    </xf>
    <xf numFmtId="0" fontId="55" fillId="20" borderId="0" xfId="0" applyFont="1" applyFill="1" applyBorder="1" applyAlignment="1" applyProtection="1">
      <alignment horizontal="left" vertical="center" wrapText="1"/>
      <protection locked="0"/>
    </xf>
    <xf numFmtId="0" fontId="55" fillId="20" borderId="2" xfId="0" applyFont="1" applyFill="1" applyBorder="1" applyAlignment="1" applyProtection="1">
      <alignment horizontal="left" vertical="center" wrapText="1"/>
      <protection locked="0"/>
    </xf>
    <xf numFmtId="43" fontId="21" fillId="20" borderId="6" xfId="54" applyNumberFormat="1" applyFont="1" applyFill="1" applyBorder="1" applyAlignment="1">
      <alignment horizontal="center"/>
    </xf>
    <xf numFmtId="43" fontId="58" fillId="20" borderId="6" xfId="54" applyNumberFormat="1" applyFont="1" applyFill="1" applyBorder="1" applyAlignment="1">
      <alignment horizontal="center"/>
    </xf>
    <xf numFmtId="0" fontId="13" fillId="20" borderId="8" xfId="0" applyFont="1" applyFill="1" applyBorder="1" applyAlignment="1">
      <alignment horizontal="left" vertical="top"/>
    </xf>
    <xf numFmtId="0" fontId="13" fillId="20" borderId="9" xfId="0" applyFont="1" applyFill="1" applyBorder="1" applyAlignment="1">
      <alignment horizontal="left" vertical="top"/>
    </xf>
    <xf numFmtId="0" fontId="13" fillId="20" borderId="7" xfId="0" applyFont="1" applyFill="1" applyBorder="1" applyAlignment="1">
      <alignment horizontal="left" vertical="top"/>
    </xf>
    <xf numFmtId="0" fontId="13" fillId="20" borderId="1" xfId="0" applyFont="1" applyFill="1" applyBorder="1" applyAlignment="1">
      <alignment horizontal="left" vertical="top"/>
    </xf>
    <xf numFmtId="0" fontId="13" fillId="20" borderId="0" xfId="0" applyFont="1" applyFill="1" applyBorder="1" applyAlignment="1">
      <alignment horizontal="left" vertical="top"/>
    </xf>
    <xf numFmtId="0" fontId="13" fillId="20" borderId="2" xfId="0" applyFont="1" applyFill="1" applyBorder="1" applyAlignment="1">
      <alignment horizontal="left" vertical="top"/>
    </xf>
    <xf numFmtId="0" fontId="0" fillId="20" borderId="4" xfId="0" applyFont="1" applyFill="1" applyBorder="1" applyAlignment="1">
      <alignment horizontal="center"/>
    </xf>
    <xf numFmtId="0" fontId="57" fillId="17" borderId="0" xfId="0" applyFont="1" applyFill="1" applyAlignment="1" applyProtection="1">
      <alignment horizontal="left" vertical="top" wrapText="1"/>
      <protection locked="0"/>
    </xf>
    <xf numFmtId="43" fontId="65" fillId="20" borderId="14" xfId="54" applyNumberFormat="1" applyFont="1" applyFill="1" applyBorder="1" applyAlignment="1">
      <alignment horizontal="center" vertical="center" textRotation="90"/>
    </xf>
    <xf numFmtId="43" fontId="65" fillId="20" borderId="0" xfId="54" applyNumberFormat="1" applyFont="1" applyFill="1" applyBorder="1" applyAlignment="1">
      <alignment horizontal="center" vertical="center" textRotation="90"/>
    </xf>
    <xf numFmtId="2" fontId="55" fillId="20" borderId="0" xfId="52" applyNumberFormat="1" applyFont="1" applyFill="1" applyAlignment="1">
      <alignment horizontal="right"/>
    </xf>
    <xf numFmtId="2" fontId="58" fillId="20" borderId="0" xfId="4" applyNumberFormat="1" applyFont="1" applyFill="1" applyAlignment="1">
      <alignment horizontal="center"/>
    </xf>
    <xf numFmtId="2" fontId="0" fillId="20" borderId="0" xfId="4" applyNumberFormat="1" applyFont="1" applyFill="1" applyAlignment="1">
      <alignment horizontal="left" vertical="top"/>
    </xf>
    <xf numFmtId="2" fontId="58" fillId="20" borderId="0" xfId="4" applyNumberFormat="1" applyFont="1" applyFill="1" applyAlignment="1">
      <alignment horizontal="right"/>
    </xf>
    <xf numFmtId="0" fontId="24" fillId="17" borderId="1" xfId="0" applyNumberFormat="1" applyFont="1" applyFill="1" applyBorder="1" applyAlignment="1">
      <alignment horizontal="left" wrapText="1"/>
    </xf>
    <xf numFmtId="0" fontId="24" fillId="17" borderId="0" xfId="0" applyNumberFormat="1" applyFont="1" applyFill="1" applyBorder="1" applyAlignment="1">
      <alignment horizontal="left" wrapText="1"/>
    </xf>
    <xf numFmtId="0" fontId="50" fillId="17" borderId="1" xfId="0" applyFont="1" applyFill="1" applyBorder="1" applyAlignment="1">
      <alignment horizontal="left" vertical="top" wrapText="1"/>
    </xf>
    <xf numFmtId="0" fontId="50" fillId="17" borderId="0" xfId="0" applyFont="1" applyFill="1" applyBorder="1" applyAlignment="1">
      <alignment horizontal="left" vertical="top" wrapText="1"/>
    </xf>
    <xf numFmtId="0" fontId="50" fillId="17" borderId="2" xfId="0" applyFont="1" applyFill="1" applyBorder="1" applyAlignment="1">
      <alignment horizontal="left" vertical="top" wrapText="1"/>
    </xf>
    <xf numFmtId="0" fontId="13" fillId="19" borderId="18" xfId="60" applyFont="1" applyFill="1" applyBorder="1" applyAlignment="1" applyProtection="1">
      <alignment horizontal="left" vertical="center" wrapText="1"/>
    </xf>
    <xf numFmtId="0" fontId="13" fillId="19" borderId="19" xfId="60" applyFont="1" applyFill="1" applyBorder="1" applyAlignment="1" applyProtection="1">
      <alignment horizontal="left" vertical="center" wrapText="1"/>
    </xf>
    <xf numFmtId="167" fontId="39" fillId="0" borderId="0" xfId="37" applyNumberFormat="1" applyFont="1" applyFill="1" applyBorder="1" applyAlignment="1" applyProtection="1">
      <alignment horizontal="right" vertical="top" wrapText="1" readingOrder="1"/>
      <protection locked="0"/>
    </xf>
    <xf numFmtId="0" fontId="0" fillId="0" borderId="0" xfId="0" applyAlignment="1">
      <alignment horizontal="left" vertical="top" wrapText="1"/>
    </xf>
  </cellXfs>
  <cellStyles count="63">
    <cellStyle name="%" xfId="6" xr:uid="{00000000-0005-0000-0000-000000000000}"/>
    <cellStyle name="20% - Accent1 2" xfId="7" xr:uid="{00000000-0005-0000-0000-000001000000}"/>
    <cellStyle name="20% - Accent1 3" xfId="8" xr:uid="{00000000-0005-0000-0000-000002000000}"/>
    <cellStyle name="20% - Accent2 2" xfId="9" xr:uid="{00000000-0005-0000-0000-000003000000}"/>
    <cellStyle name="20% - Accent2 3" xfId="10" xr:uid="{00000000-0005-0000-0000-000004000000}"/>
    <cellStyle name="20% - Accent3 2" xfId="11" xr:uid="{00000000-0005-0000-0000-000005000000}"/>
    <cellStyle name="20% - Accent3 3" xfId="12" xr:uid="{00000000-0005-0000-0000-000006000000}"/>
    <cellStyle name="20% - Accent4 2" xfId="13" xr:uid="{00000000-0005-0000-0000-000007000000}"/>
    <cellStyle name="20% - Accent4 3" xfId="14" xr:uid="{00000000-0005-0000-0000-000008000000}"/>
    <cellStyle name="20% - Accent5 2" xfId="15" xr:uid="{00000000-0005-0000-0000-000009000000}"/>
    <cellStyle name="20% - Accent5 3" xfId="16" xr:uid="{00000000-0005-0000-0000-00000A000000}"/>
    <cellStyle name="20% - Accent6 2" xfId="17" xr:uid="{00000000-0005-0000-0000-00000B000000}"/>
    <cellStyle name="20% - Accent6 3" xfId="18" xr:uid="{00000000-0005-0000-0000-00000C000000}"/>
    <cellStyle name="40% - Accent1 2" xfId="19" xr:uid="{00000000-0005-0000-0000-00000D000000}"/>
    <cellStyle name="40% - Accent1 3" xfId="20" xr:uid="{00000000-0005-0000-0000-00000E000000}"/>
    <cellStyle name="40% - Accent2 2" xfId="21" xr:uid="{00000000-0005-0000-0000-00000F000000}"/>
    <cellStyle name="40% - Accent2 3" xfId="22" xr:uid="{00000000-0005-0000-0000-000010000000}"/>
    <cellStyle name="40% - Accent3 2" xfId="23" xr:uid="{00000000-0005-0000-0000-000011000000}"/>
    <cellStyle name="40% - Accent3 3" xfId="24" xr:uid="{00000000-0005-0000-0000-000012000000}"/>
    <cellStyle name="40% - Accent4 2" xfId="25" xr:uid="{00000000-0005-0000-0000-000013000000}"/>
    <cellStyle name="40% - Accent4 3" xfId="26" xr:uid="{00000000-0005-0000-0000-000014000000}"/>
    <cellStyle name="40% - Accent5 2" xfId="27" xr:uid="{00000000-0005-0000-0000-000015000000}"/>
    <cellStyle name="40% - Accent5 3" xfId="28" xr:uid="{00000000-0005-0000-0000-000016000000}"/>
    <cellStyle name="40% - Accent6 2" xfId="29" xr:uid="{00000000-0005-0000-0000-000017000000}"/>
    <cellStyle name="40% - Accent6 3" xfId="30" xr:uid="{00000000-0005-0000-0000-000018000000}"/>
    <cellStyle name="Comma" xfId="54" builtinId="3"/>
    <cellStyle name="Comma 2" xfId="31" xr:uid="{00000000-0005-0000-0000-00001A000000}"/>
    <cellStyle name="Comma 2 2" xfId="32" xr:uid="{00000000-0005-0000-0000-00001B000000}"/>
    <cellStyle name="Comma 2 3" xfId="33" xr:uid="{00000000-0005-0000-0000-00001C000000}"/>
    <cellStyle name="Comma 2 4" xfId="53" xr:uid="{00000000-0005-0000-0000-00001D000000}"/>
    <cellStyle name="Comma 3" xfId="1" xr:uid="{00000000-0005-0000-0000-00001E000000}"/>
    <cellStyle name="Comma 4" xfId="34" xr:uid="{00000000-0005-0000-0000-00001F000000}"/>
    <cellStyle name="Comma 5" xfId="61" xr:uid="{00000000-0005-0000-0000-000020000000}"/>
    <cellStyle name="Comma_Sheet16" xfId="57" xr:uid="{00000000-0005-0000-0000-000021000000}"/>
    <cellStyle name="Currency 2" xfId="56" xr:uid="{00000000-0005-0000-0000-000022000000}"/>
    <cellStyle name="Hyperlink 2" xfId="35" xr:uid="{00000000-0005-0000-0000-000023000000}"/>
    <cellStyle name="Hyperlink 3" xfId="36" xr:uid="{00000000-0005-0000-0000-000024000000}"/>
    <cellStyle name="Normal" xfId="0" builtinId="0"/>
    <cellStyle name="Normal 2" xfId="37" xr:uid="{00000000-0005-0000-0000-000026000000}"/>
    <cellStyle name="Normal 2 2" xfId="38" xr:uid="{00000000-0005-0000-0000-000027000000}"/>
    <cellStyle name="Normal 2 2 2" xfId="39" xr:uid="{00000000-0005-0000-0000-000028000000}"/>
    <cellStyle name="Normal 2 2 3" xfId="40" xr:uid="{00000000-0005-0000-0000-000029000000}"/>
    <cellStyle name="Normal 2 2 4" xfId="41" xr:uid="{00000000-0005-0000-0000-00002A000000}"/>
    <cellStyle name="Normal 2 2 5" xfId="42" xr:uid="{00000000-0005-0000-0000-00002B000000}"/>
    <cellStyle name="Normal 3" xfId="2" xr:uid="{00000000-0005-0000-0000-00002C000000}"/>
    <cellStyle name="Normal 4" xfId="3" xr:uid="{00000000-0005-0000-0000-00002D000000}"/>
    <cellStyle name="Normal 4 2" xfId="43" xr:uid="{00000000-0005-0000-0000-00002E000000}"/>
    <cellStyle name="Normal 4 3" xfId="44" xr:uid="{00000000-0005-0000-0000-00002F000000}"/>
    <cellStyle name="Normal 4 4" xfId="45" xr:uid="{00000000-0005-0000-0000-000030000000}"/>
    <cellStyle name="Normal 4 5" xfId="46" xr:uid="{00000000-0005-0000-0000-000031000000}"/>
    <cellStyle name="Normal 5" xfId="47" xr:uid="{00000000-0005-0000-0000-000032000000}"/>
    <cellStyle name="Normal 6" xfId="51" xr:uid="{00000000-0005-0000-0000-000033000000}"/>
    <cellStyle name="Normal 7" xfId="55" xr:uid="{00000000-0005-0000-0000-000034000000}"/>
    <cellStyle name="Normal 8" xfId="59" xr:uid="{00000000-0005-0000-0000-000035000000}"/>
    <cellStyle name="Normal 9" xfId="60" xr:uid="{00000000-0005-0000-0000-000036000000}"/>
    <cellStyle name="Normal_Dist_OA_Jun_05_class" xfId="5" xr:uid="{00000000-0005-0000-0000-000037000000}"/>
    <cellStyle name="Normal_QB11" xfId="58" xr:uid="{00000000-0005-0000-0000-000038000000}"/>
    <cellStyle name="Note 2" xfId="48" xr:uid="{00000000-0005-0000-0000-000039000000}"/>
    <cellStyle name="Note 3" xfId="49" xr:uid="{00000000-0005-0000-0000-00003A000000}"/>
    <cellStyle name="Percent" xfId="4" builtinId="5"/>
    <cellStyle name="Percent 2" xfId="50" xr:uid="{00000000-0005-0000-0000-00003C000000}"/>
    <cellStyle name="Percent 3" xfId="52" xr:uid="{00000000-0005-0000-0000-00003D000000}"/>
    <cellStyle name="Percent 4" xfId="62" xr:uid="{00000000-0005-0000-0000-00003E000000}"/>
  </cellStyles>
  <dxfs count="33">
    <dxf>
      <numFmt numFmtId="13" formatCode="0%"/>
    </dxf>
    <dxf>
      <font>
        <color theme="0"/>
      </font>
      <fill>
        <patternFill>
          <bgColor theme="7" tint="0.39994506668294322"/>
        </patternFill>
      </fill>
    </dxf>
    <dxf>
      <font>
        <b val="0"/>
        <i val="0"/>
        <color auto="1"/>
      </font>
      <numFmt numFmtId="0" formatCode="General"/>
      <fill>
        <patternFill patternType="solid">
          <bgColor rgb="FFF8F8F8"/>
        </patternFill>
      </fill>
    </dxf>
    <dxf>
      <font>
        <color theme="0"/>
      </font>
      <fill>
        <patternFill>
          <bgColor theme="7" tint="0.39994506668294322"/>
        </patternFill>
      </fill>
    </dxf>
    <dxf>
      <numFmt numFmtId="14" formatCode="0.00%"/>
    </dxf>
    <dxf>
      <numFmt numFmtId="14" formatCode="0.00%"/>
    </dxf>
    <dxf>
      <numFmt numFmtId="14" formatCode="0.00%"/>
    </dxf>
    <dxf>
      <numFmt numFmtId="14" formatCode="0.00%"/>
    </dxf>
    <dxf>
      <font>
        <b/>
        <i val="0"/>
        <color theme="0"/>
      </font>
      <fill>
        <patternFill>
          <bgColor theme="7" tint="0.39994506668294322"/>
        </patternFill>
      </fill>
    </dxf>
    <dxf>
      <font>
        <b/>
        <i val="0"/>
        <color theme="0"/>
      </font>
      <fill>
        <patternFill>
          <bgColor theme="7" tint="0.39994506668294322"/>
        </patternFill>
      </fill>
    </dxf>
    <dxf>
      <font>
        <b/>
        <i val="0"/>
        <color theme="0"/>
      </font>
      <fill>
        <patternFill>
          <bgColor theme="7" tint="0.39994506668294322"/>
        </patternFill>
      </fill>
    </dxf>
    <dxf>
      <font>
        <b/>
        <i val="0"/>
        <color theme="0"/>
      </font>
      <fill>
        <patternFill>
          <bgColor theme="7" tint="0.39994506668294322"/>
        </patternFill>
      </fill>
    </dxf>
    <dxf>
      <font>
        <b/>
        <i val="0"/>
        <color theme="0"/>
      </font>
      <fill>
        <patternFill>
          <bgColor theme="7" tint="0.39994506668294322"/>
        </patternFill>
      </fill>
    </dxf>
    <dxf>
      <font>
        <b/>
        <i val="0"/>
        <color theme="0"/>
      </font>
      <fill>
        <patternFill>
          <bgColor theme="7" tint="0.39994506668294322"/>
        </patternFill>
      </fill>
    </dxf>
    <dxf>
      <font>
        <b/>
        <i val="0"/>
        <color theme="0"/>
      </font>
      <fill>
        <patternFill>
          <bgColor theme="7" tint="0.39994506668294322"/>
        </patternFill>
      </fill>
    </dxf>
    <dxf>
      <font>
        <b/>
        <i val="0"/>
        <color theme="0"/>
      </font>
      <fill>
        <patternFill>
          <bgColor theme="7" tint="0.39994506668294322"/>
        </patternFill>
      </fill>
    </dxf>
    <dxf>
      <font>
        <b/>
        <i val="0"/>
        <color theme="0"/>
      </font>
      <fill>
        <patternFill>
          <bgColor theme="7" tint="0.39994506668294322"/>
        </patternFill>
      </fill>
    </dxf>
    <dxf>
      <font>
        <b/>
        <i val="0"/>
        <color theme="0"/>
      </font>
      <fill>
        <patternFill>
          <bgColor theme="7" tint="0.39994506668294322"/>
        </patternFill>
      </fill>
    </dxf>
    <dxf>
      <font>
        <color theme="0"/>
      </font>
      <fill>
        <patternFill>
          <bgColor theme="0"/>
        </patternFill>
      </fill>
    </dxf>
    <dxf>
      <font>
        <color theme="0"/>
      </font>
      <fill>
        <patternFill>
          <bgColor theme="0"/>
        </patternFill>
      </fill>
    </dxf>
    <dxf>
      <font>
        <color theme="0"/>
      </font>
      <fill>
        <patternFill>
          <bgColor theme="7" tint="0.39994506668294322"/>
        </patternFill>
      </fill>
    </dxf>
    <dxf>
      <font>
        <color theme="0"/>
      </font>
      <fill>
        <patternFill>
          <bgColor theme="0"/>
        </patternFill>
      </fill>
    </dxf>
    <dxf>
      <font>
        <color theme="0"/>
      </font>
      <fill>
        <patternFill>
          <bgColor theme="7" tint="0.39994506668294322"/>
        </patternFill>
      </fill>
    </dxf>
    <dxf>
      <font>
        <b/>
        <i val="0"/>
        <condense val="0"/>
        <extend val="0"/>
        <color indexed="9"/>
      </font>
      <fill>
        <patternFill>
          <bgColor theme="7" tint="0.39994506668294322"/>
        </patternFill>
      </fill>
    </dxf>
    <dxf>
      <font>
        <b/>
        <i val="0"/>
        <color rgb="FF92D050"/>
      </font>
      <fill>
        <patternFill>
          <bgColor theme="7" tint="-0.24994659260841701"/>
        </patternFill>
      </fill>
      <border>
        <left style="thin">
          <color rgb="FF92D050"/>
        </left>
        <right style="thin">
          <color rgb="FF92D050"/>
        </right>
        <top style="thin">
          <color rgb="FF92D050"/>
        </top>
        <bottom style="thin">
          <color rgb="FF92D050"/>
        </bottom>
      </border>
    </dxf>
    <dxf>
      <font>
        <color rgb="FFFCF305"/>
      </font>
      <fill>
        <patternFill>
          <bgColor theme="7" tint="0.39994506668294322"/>
        </patternFill>
      </fill>
      <border>
        <left style="thin">
          <color rgb="FFFFFF00"/>
        </left>
        <right style="thin">
          <color rgb="FFFFFF00"/>
        </right>
        <top style="thin">
          <color rgb="FFFFFF00"/>
        </top>
        <bottom style="thin">
          <color rgb="FFFFFF00"/>
        </bottom>
      </border>
    </dxf>
    <dxf>
      <font>
        <color rgb="FFFF9900"/>
      </font>
      <fill>
        <patternFill>
          <bgColor theme="7" tint="0.59996337778862885"/>
        </patternFill>
      </fill>
      <border>
        <left style="thin">
          <color rgb="FFFF9900"/>
        </left>
        <right style="thin">
          <color rgb="FFFF9900"/>
        </right>
        <top style="thin">
          <color rgb="FFFF9900"/>
        </top>
        <bottom style="thin">
          <color rgb="FFFF9900"/>
        </bottom>
      </border>
    </dxf>
    <dxf>
      <font>
        <color rgb="FFFF0000"/>
      </font>
      <fill>
        <patternFill>
          <bgColor theme="7" tint="0.79998168889431442"/>
        </patternFill>
      </fill>
      <border>
        <left style="thin">
          <color rgb="FFFF0000"/>
        </left>
        <right style="thin">
          <color rgb="FFFF0000"/>
        </right>
        <top style="thin">
          <color rgb="FFFF0000"/>
        </top>
        <bottom style="thin">
          <color rgb="FFFF0000"/>
        </bottom>
      </border>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lor theme="0"/>
      </font>
      <fill>
        <patternFill patternType="solid">
          <bgColor rgb="FFF8F8F8"/>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8F8F8"/>
      <color rgb="FFFF9900"/>
      <color rgb="FF336600"/>
      <color rgb="FFFCF305"/>
      <color rgb="FFFFFF00"/>
      <color rgb="FFFFFF66"/>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811382090846033E-2"/>
          <c:y val="0.10656910066260319"/>
          <c:w val="0.94318861790915465"/>
          <c:h val="0.79816523433588016"/>
        </c:manualLayout>
      </c:layout>
      <c:barChart>
        <c:barDir val="col"/>
        <c:grouping val="clustered"/>
        <c:varyColors val="0"/>
        <c:ser>
          <c:idx val="0"/>
          <c:order val="0"/>
          <c:tx>
            <c:strRef>
              <c:f>Profile!$E$32</c:f>
              <c:strCache>
                <c:ptCount val="1"/>
                <c:pt idx="0">
                  <c:v>Top Quartile</c:v>
                </c:pt>
              </c:strCache>
            </c:strRef>
          </c:tx>
          <c:spPr>
            <a:solidFill>
              <a:srgbClr val="8064A2">
                <a:lumMod val="75000"/>
                <a:alpha val="50000"/>
              </a:srgbClr>
            </a:solidFill>
            <a:ln w="25400">
              <a:solidFill>
                <a:srgbClr val="00B050"/>
              </a:solidFill>
            </a:ln>
          </c:spPr>
          <c:invertIfNegative val="0"/>
          <c:cat>
            <c:strRef>
              <c:f>[0]!Marker</c:f>
              <c:strCache>
                <c:ptCount val="103"/>
                <c:pt idx="102">
                  <c:v>u</c:v>
                </c:pt>
              </c:strCache>
            </c:strRef>
          </c:cat>
          <c:val>
            <c:numRef>
              <c:f>[0]!TopQuart</c:f>
              <c:numCache>
                <c:formatCode>General</c:formatCode>
                <c:ptCount val="192"/>
                <c:pt idx="0">
                  <c:v>89.096389225280319</c:v>
                </c:pt>
                <c:pt idx="1">
                  <c:v>87.849849296209598</c:v>
                </c:pt>
                <c:pt idx="2">
                  <c:v>87.387814475626797</c:v>
                </c:pt>
                <c:pt idx="3">
                  <c:v>87.271203980687972</c:v>
                </c:pt>
                <c:pt idx="4">
                  <c:v>87.125749547120805</c:v>
                </c:pt>
                <c:pt idx="5">
                  <c:v>87.100026452317209</c:v>
                </c:pt>
                <c:pt idx="6">
                  <c:v>87.086289157111082</c:v>
                </c:pt>
                <c:pt idx="7">
                  <c:v>86.958562974579777</c:v>
                </c:pt>
                <c:pt idx="8">
                  <c:v>86.887516701888018</c:v>
                </c:pt>
                <c:pt idx="9">
                  <c:v>86.859304329799087</c:v>
                </c:pt>
                <c:pt idx="10">
                  <c:v>86.735237422815842</c:v>
                </c:pt>
                <c:pt idx="11">
                  <c:v>86.548326647473345</c:v>
                </c:pt>
                <c:pt idx="12">
                  <c:v>86.48148459683577</c:v>
                </c:pt>
                <c:pt idx="13">
                  <c:v>86.428841112143985</c:v>
                </c:pt>
                <c:pt idx="14">
                  <c:v>86.379262892419391</c:v>
                </c:pt>
                <c:pt idx="15">
                  <c:v>86.265798297340964</c:v>
                </c:pt>
                <c:pt idx="16">
                  <c:v>86.243288658425897</c:v>
                </c:pt>
                <c:pt idx="17">
                  <c:v>86.042324820859747</c:v>
                </c:pt>
                <c:pt idx="18">
                  <c:v>85.935779844222566</c:v>
                </c:pt>
                <c:pt idx="19">
                  <c:v>85.933136408770679</c:v>
                </c:pt>
                <c:pt idx="20">
                  <c:v>85.86811617148318</c:v>
                </c:pt>
                <c:pt idx="21">
                  <c:v>85.843279685738466</c:v>
                </c:pt>
                <c:pt idx="22">
                  <c:v>85.480716182285775</c:v>
                </c:pt>
                <c:pt idx="23">
                  <c:v>85.408739884561712</c:v>
                </c:pt>
                <c:pt idx="24">
                  <c:v>85.366352980366827</c:v>
                </c:pt>
                <c:pt idx="25">
                  <c:v>85.304403770001343</c:v>
                </c:pt>
                <c:pt idx="26">
                  <c:v>85.253874322530251</c:v>
                </c:pt>
                <c:pt idx="27">
                  <c:v>85.145310565461088</c:v>
                </c:pt>
                <c:pt idx="28">
                  <c:v>85.003927852800842</c:v>
                </c:pt>
                <c:pt idx="29">
                  <c:v>84.992900604276272</c:v>
                </c:pt>
                <c:pt idx="30">
                  <c:v>84.940364870534182</c:v>
                </c:pt>
                <c:pt idx="31">
                  <c:v>84.906687458766484</c:v>
                </c:pt>
                <c:pt idx="32">
                  <c:v>84.906661624415875</c:v>
                </c:pt>
                <c:pt idx="33">
                  <c:v>84.838104587117726</c:v>
                </c:pt>
                <c:pt idx="34">
                  <c:v>84.820275705397847</c:v>
                </c:pt>
                <c:pt idx="35">
                  <c:v>84.741384313012247</c:v>
                </c:pt>
                <c:pt idx="36">
                  <c:v>84.717303427909457</c:v>
                </c:pt>
                <c:pt idx="37">
                  <c:v>84.701153180655609</c:v>
                </c:pt>
                <c:pt idx="38">
                  <c:v>84.514725319808676</c:v>
                </c:pt>
                <c:pt idx="39">
                  <c:v>84.42401847183821</c:v>
                </c:pt>
                <c:pt idx="40">
                  <c:v>84.374301378764812</c:v>
                </c:pt>
                <c:pt idx="41">
                  <c:v>84.334564848336342</c:v>
                </c:pt>
                <c:pt idx="42">
                  <c:v>84.247914936955652</c:v>
                </c:pt>
                <c:pt idx="43">
                  <c:v>84.154504337307344</c:v>
                </c:pt>
                <c:pt idx="44">
                  <c:v>84.115691474297307</c:v>
                </c:pt>
                <c:pt idx="45">
                  <c:v>83.9788150549292</c:v>
                </c:pt>
                <c:pt idx="46">
                  <c:v>83.882245443162091</c:v>
                </c:pt>
                <c:pt idx="47">
                  <c:v>83.694914028500719</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numCache>
            </c:numRef>
          </c:val>
          <c:extLst>
            <c:ext xmlns:c16="http://schemas.microsoft.com/office/drawing/2014/chart" uri="{C3380CC4-5D6E-409C-BE32-E72D297353CC}">
              <c16:uniqueId val="{00000000-8939-4CD9-8009-FAED3202DE5D}"/>
            </c:ext>
          </c:extLst>
        </c:ser>
        <c:ser>
          <c:idx val="1"/>
          <c:order val="1"/>
          <c:tx>
            <c:strRef>
              <c:f>Profile!$N$32</c:f>
              <c:strCache>
                <c:ptCount val="1"/>
                <c:pt idx="0">
                  <c:v>2nd Quartile</c:v>
                </c:pt>
              </c:strCache>
            </c:strRef>
          </c:tx>
          <c:spPr>
            <a:solidFill>
              <a:srgbClr val="8064A2">
                <a:lumMod val="60000"/>
                <a:lumOff val="40000"/>
                <a:alpha val="50000"/>
              </a:srgbClr>
            </a:solidFill>
            <a:ln w="25400">
              <a:solidFill>
                <a:srgbClr val="FFFF99"/>
              </a:solidFill>
            </a:ln>
          </c:spPr>
          <c:invertIfNegative val="0"/>
          <c:cat>
            <c:strRef>
              <c:f>[0]!Marker</c:f>
              <c:strCache>
                <c:ptCount val="103"/>
                <c:pt idx="102">
                  <c:v>u</c:v>
                </c:pt>
              </c:strCache>
            </c:strRef>
          </c:cat>
          <c:val>
            <c:numRef>
              <c:f>[0]!SecQuart</c:f>
              <c:numCache>
                <c:formatCode>General</c:formatCode>
                <c:ptCount val="19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83.502992137546002</c:v>
                </c:pt>
                <c:pt idx="49">
                  <c:v>83.476919786746151</c:v>
                </c:pt>
                <c:pt idx="50">
                  <c:v>83.467095515138581</c:v>
                </c:pt>
                <c:pt idx="51">
                  <c:v>83.458805242596696</c:v>
                </c:pt>
                <c:pt idx="52">
                  <c:v>83.288485527931542</c:v>
                </c:pt>
                <c:pt idx="53">
                  <c:v>83.251610631426161</c:v>
                </c:pt>
                <c:pt idx="54">
                  <c:v>83.210609729168269</c:v>
                </c:pt>
                <c:pt idx="55">
                  <c:v>83.136481738788177</c:v>
                </c:pt>
                <c:pt idx="56">
                  <c:v>83.083729736789735</c:v>
                </c:pt>
                <c:pt idx="57">
                  <c:v>83.032002727096341</c:v>
                </c:pt>
                <c:pt idx="58">
                  <c:v>83.013741593227948</c:v>
                </c:pt>
                <c:pt idx="59">
                  <c:v>82.982175152784492</c:v>
                </c:pt>
                <c:pt idx="60">
                  <c:v>82.91320054160262</c:v>
                </c:pt>
                <c:pt idx="61">
                  <c:v>82.784798386782171</c:v>
                </c:pt>
                <c:pt idx="62">
                  <c:v>82.701001066661945</c:v>
                </c:pt>
                <c:pt idx="63">
                  <c:v>82.624085134057736</c:v>
                </c:pt>
                <c:pt idx="64">
                  <c:v>82.620404052100412</c:v>
                </c:pt>
                <c:pt idx="65">
                  <c:v>82.5506700380799</c:v>
                </c:pt>
                <c:pt idx="66">
                  <c:v>82.545700078353448</c:v>
                </c:pt>
                <c:pt idx="67">
                  <c:v>82.507883514142037</c:v>
                </c:pt>
                <c:pt idx="68">
                  <c:v>82.402575319559759</c:v>
                </c:pt>
                <c:pt idx="69">
                  <c:v>82.387796833472166</c:v>
                </c:pt>
                <c:pt idx="70">
                  <c:v>82.360675429974577</c:v>
                </c:pt>
                <c:pt idx="71">
                  <c:v>82.335363809376105</c:v>
                </c:pt>
                <c:pt idx="72">
                  <c:v>82.319682741807654</c:v>
                </c:pt>
                <c:pt idx="73">
                  <c:v>82.281951366995557</c:v>
                </c:pt>
                <c:pt idx="74">
                  <c:v>82.24698005383091</c:v>
                </c:pt>
                <c:pt idx="75">
                  <c:v>82.037877068464695</c:v>
                </c:pt>
                <c:pt idx="76">
                  <c:v>82.007260096217237</c:v>
                </c:pt>
                <c:pt idx="77">
                  <c:v>81.981863208624958</c:v>
                </c:pt>
                <c:pt idx="78">
                  <c:v>81.958114409887827</c:v>
                </c:pt>
                <c:pt idx="79">
                  <c:v>81.927842885542788</c:v>
                </c:pt>
                <c:pt idx="80">
                  <c:v>81.876495715951663</c:v>
                </c:pt>
                <c:pt idx="81">
                  <c:v>81.833029922135211</c:v>
                </c:pt>
                <c:pt idx="82">
                  <c:v>81.794245862792948</c:v>
                </c:pt>
                <c:pt idx="83">
                  <c:v>81.746156529307754</c:v>
                </c:pt>
                <c:pt idx="84">
                  <c:v>81.740853917601498</c:v>
                </c:pt>
                <c:pt idx="85">
                  <c:v>81.719020609499452</c:v>
                </c:pt>
                <c:pt idx="86">
                  <c:v>81.456419870507062</c:v>
                </c:pt>
                <c:pt idx="87">
                  <c:v>81.417583763416488</c:v>
                </c:pt>
                <c:pt idx="88">
                  <c:v>81.405018315126512</c:v>
                </c:pt>
                <c:pt idx="89">
                  <c:v>81.292981100585621</c:v>
                </c:pt>
                <c:pt idx="90">
                  <c:v>81.265007706828655</c:v>
                </c:pt>
                <c:pt idx="91">
                  <c:v>81.243010989059002</c:v>
                </c:pt>
                <c:pt idx="92">
                  <c:v>81.22234754703922</c:v>
                </c:pt>
                <c:pt idx="93">
                  <c:v>81.11129786496501</c:v>
                </c:pt>
                <c:pt idx="94">
                  <c:v>81.080410908300962</c:v>
                </c:pt>
                <c:pt idx="95">
                  <c:v>81.02170787711259</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numCache>
            </c:numRef>
          </c:val>
          <c:extLst>
            <c:ext xmlns:c16="http://schemas.microsoft.com/office/drawing/2014/chart" uri="{C3380CC4-5D6E-409C-BE32-E72D297353CC}">
              <c16:uniqueId val="{00000001-8939-4CD9-8009-FAED3202DE5D}"/>
            </c:ext>
          </c:extLst>
        </c:ser>
        <c:ser>
          <c:idx val="2"/>
          <c:order val="2"/>
          <c:tx>
            <c:strRef>
              <c:f>Profile!$X$32</c:f>
              <c:strCache>
                <c:ptCount val="1"/>
                <c:pt idx="0">
                  <c:v>3rd Quartile</c:v>
                </c:pt>
              </c:strCache>
            </c:strRef>
          </c:tx>
          <c:spPr>
            <a:solidFill>
              <a:srgbClr val="8064A2">
                <a:lumMod val="40000"/>
                <a:lumOff val="60000"/>
                <a:alpha val="50000"/>
              </a:srgbClr>
            </a:solidFill>
            <a:ln w="25400">
              <a:solidFill>
                <a:schemeClr val="accent6">
                  <a:lumMod val="60000"/>
                  <a:lumOff val="40000"/>
                </a:schemeClr>
              </a:solidFill>
            </a:ln>
          </c:spPr>
          <c:invertIfNegative val="0"/>
          <c:cat>
            <c:strRef>
              <c:f>[0]!Marker</c:f>
              <c:strCache>
                <c:ptCount val="103"/>
                <c:pt idx="102">
                  <c:v>u</c:v>
                </c:pt>
              </c:strCache>
            </c:strRef>
          </c:cat>
          <c:val>
            <c:numRef>
              <c:f>[0]!ThirdQuart</c:f>
              <c:numCache>
                <c:formatCode>General</c:formatCode>
                <c:ptCount val="19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80.952621005839859</c:v>
                </c:pt>
                <c:pt idx="97">
                  <c:v>80.817995230448389</c:v>
                </c:pt>
                <c:pt idx="98">
                  <c:v>80.802168649499023</c:v>
                </c:pt>
                <c:pt idx="99">
                  <c:v>80.768145290725784</c:v>
                </c:pt>
                <c:pt idx="100">
                  <c:v>80.767974982154783</c:v>
                </c:pt>
                <c:pt idx="101">
                  <c:v>80.665375065265906</c:v>
                </c:pt>
                <c:pt idx="102">
                  <c:v>80.664917544522837</c:v>
                </c:pt>
                <c:pt idx="103">
                  <c:v>80.635663596705356</c:v>
                </c:pt>
                <c:pt idx="104">
                  <c:v>80.594473970476059</c:v>
                </c:pt>
                <c:pt idx="105">
                  <c:v>80.58383595886491</c:v>
                </c:pt>
                <c:pt idx="106">
                  <c:v>80.548246886857143</c:v>
                </c:pt>
                <c:pt idx="107">
                  <c:v>80.522649706930295</c:v>
                </c:pt>
                <c:pt idx="108">
                  <c:v>80.495725927230666</c:v>
                </c:pt>
                <c:pt idx="109">
                  <c:v>80.469223947879229</c:v>
                </c:pt>
                <c:pt idx="110">
                  <c:v>80.450599677789896</c:v>
                </c:pt>
                <c:pt idx="111">
                  <c:v>80.304261084662869</c:v>
                </c:pt>
                <c:pt idx="112">
                  <c:v>80.262016971920374</c:v>
                </c:pt>
                <c:pt idx="113">
                  <c:v>80.166102948644138</c:v>
                </c:pt>
                <c:pt idx="114">
                  <c:v>80.023065629365846</c:v>
                </c:pt>
                <c:pt idx="115">
                  <c:v>79.98234966638357</c:v>
                </c:pt>
                <c:pt idx="116">
                  <c:v>79.921381954611164</c:v>
                </c:pt>
                <c:pt idx="117">
                  <c:v>79.916617070522307</c:v>
                </c:pt>
                <c:pt idx="118">
                  <c:v>79.865505920133472</c:v>
                </c:pt>
                <c:pt idx="119">
                  <c:v>79.864117668556673</c:v>
                </c:pt>
                <c:pt idx="120">
                  <c:v>79.811729444586859</c:v>
                </c:pt>
                <c:pt idx="121">
                  <c:v>79.769579178071908</c:v>
                </c:pt>
                <c:pt idx="122">
                  <c:v>79.658934383201213</c:v>
                </c:pt>
                <c:pt idx="123">
                  <c:v>79.634605853074532</c:v>
                </c:pt>
                <c:pt idx="124">
                  <c:v>79.622714647428467</c:v>
                </c:pt>
                <c:pt idx="125">
                  <c:v>79.605148666688692</c:v>
                </c:pt>
                <c:pt idx="126">
                  <c:v>79.476376362365343</c:v>
                </c:pt>
                <c:pt idx="127">
                  <c:v>79.473990455873462</c:v>
                </c:pt>
                <c:pt idx="128">
                  <c:v>79.438780140503624</c:v>
                </c:pt>
                <c:pt idx="129">
                  <c:v>79.374804851569777</c:v>
                </c:pt>
                <c:pt idx="130">
                  <c:v>79.348127844807593</c:v>
                </c:pt>
                <c:pt idx="131">
                  <c:v>79.330089108755686</c:v>
                </c:pt>
                <c:pt idx="132">
                  <c:v>79.285588018207903</c:v>
                </c:pt>
                <c:pt idx="133">
                  <c:v>79.266523104778315</c:v>
                </c:pt>
                <c:pt idx="134">
                  <c:v>79.19619175087098</c:v>
                </c:pt>
                <c:pt idx="135">
                  <c:v>78.956322709094479</c:v>
                </c:pt>
                <c:pt idx="136">
                  <c:v>78.883653322357262</c:v>
                </c:pt>
                <c:pt idx="137">
                  <c:v>78.824074242019719</c:v>
                </c:pt>
                <c:pt idx="138">
                  <c:v>78.803169739999944</c:v>
                </c:pt>
                <c:pt idx="139">
                  <c:v>78.742156783431966</c:v>
                </c:pt>
                <c:pt idx="140">
                  <c:v>78.669032275220886</c:v>
                </c:pt>
                <c:pt idx="141">
                  <c:v>78.660073450737343</c:v>
                </c:pt>
                <c:pt idx="142">
                  <c:v>78.644615528903913</c:v>
                </c:pt>
                <c:pt idx="143">
                  <c:v>78.627178356786359</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numCache>
            </c:numRef>
          </c:val>
          <c:extLst>
            <c:ext xmlns:c16="http://schemas.microsoft.com/office/drawing/2014/chart" uri="{C3380CC4-5D6E-409C-BE32-E72D297353CC}">
              <c16:uniqueId val="{00000002-8939-4CD9-8009-FAED3202DE5D}"/>
            </c:ext>
          </c:extLst>
        </c:ser>
        <c:ser>
          <c:idx val="3"/>
          <c:order val="3"/>
          <c:tx>
            <c:strRef>
              <c:f>Profile!$AF$32</c:f>
              <c:strCache>
                <c:ptCount val="1"/>
                <c:pt idx="0">
                  <c:v>Bottom Quartile</c:v>
                </c:pt>
              </c:strCache>
            </c:strRef>
          </c:tx>
          <c:spPr>
            <a:solidFill>
              <a:srgbClr val="8064A2">
                <a:lumMod val="20000"/>
                <a:lumOff val="80000"/>
                <a:alpha val="50000"/>
              </a:srgbClr>
            </a:solidFill>
            <a:ln w="25400">
              <a:solidFill>
                <a:srgbClr val="FF0000"/>
              </a:solidFill>
            </a:ln>
          </c:spPr>
          <c:invertIfNegative val="0"/>
          <c:cat>
            <c:strRef>
              <c:f>[0]!Marker</c:f>
              <c:strCache>
                <c:ptCount val="103"/>
                <c:pt idx="102">
                  <c:v>u</c:v>
                </c:pt>
              </c:strCache>
            </c:strRef>
          </c:cat>
          <c:val>
            <c:numRef>
              <c:f>[0]!BotQuart</c:f>
              <c:numCache>
                <c:formatCode>General</c:formatCode>
                <c:ptCount val="19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78.614964147202414</c:v>
                </c:pt>
                <c:pt idx="145">
                  <c:v>78.610915016735788</c:v>
                </c:pt>
                <c:pt idx="146">
                  <c:v>78.593721958095685</c:v>
                </c:pt>
                <c:pt idx="147">
                  <c:v>78.572724688355649</c:v>
                </c:pt>
                <c:pt idx="148">
                  <c:v>78.518699438510566</c:v>
                </c:pt>
                <c:pt idx="149">
                  <c:v>78.278033490637441</c:v>
                </c:pt>
                <c:pt idx="150">
                  <c:v>78.048988136066228</c:v>
                </c:pt>
                <c:pt idx="151">
                  <c:v>77.942065091262734</c:v>
                </c:pt>
                <c:pt idx="152">
                  <c:v>77.654289052948997</c:v>
                </c:pt>
                <c:pt idx="153">
                  <c:v>77.648096291680531</c:v>
                </c:pt>
                <c:pt idx="154">
                  <c:v>77.603153628558843</c:v>
                </c:pt>
                <c:pt idx="155">
                  <c:v>77.582938181002405</c:v>
                </c:pt>
                <c:pt idx="156">
                  <c:v>77.517422619143645</c:v>
                </c:pt>
                <c:pt idx="157">
                  <c:v>77.489347327528819</c:v>
                </c:pt>
                <c:pt idx="158">
                  <c:v>77.483389981559796</c:v>
                </c:pt>
                <c:pt idx="159">
                  <c:v>77.140040482717126</c:v>
                </c:pt>
                <c:pt idx="160">
                  <c:v>76.805453253673065</c:v>
                </c:pt>
                <c:pt idx="161">
                  <c:v>76.533598646171697</c:v>
                </c:pt>
                <c:pt idx="162">
                  <c:v>76.47326266238025</c:v>
                </c:pt>
                <c:pt idx="163">
                  <c:v>76.422949572140297</c:v>
                </c:pt>
                <c:pt idx="164">
                  <c:v>76.415405003842181</c:v>
                </c:pt>
                <c:pt idx="165">
                  <c:v>76.401895334125243</c:v>
                </c:pt>
                <c:pt idx="166">
                  <c:v>76.375281453278546</c:v>
                </c:pt>
                <c:pt idx="167">
                  <c:v>76.235813453967452</c:v>
                </c:pt>
                <c:pt idx="168">
                  <c:v>76.217957761705563</c:v>
                </c:pt>
                <c:pt idx="169">
                  <c:v>76.18953351514763</c:v>
                </c:pt>
                <c:pt idx="170">
                  <c:v>76.131408364441</c:v>
                </c:pt>
                <c:pt idx="171">
                  <c:v>75.89492254124535</c:v>
                </c:pt>
                <c:pt idx="172">
                  <c:v>75.385373930125724</c:v>
                </c:pt>
                <c:pt idx="173">
                  <c:v>75.281586388392768</c:v>
                </c:pt>
                <c:pt idx="174">
                  <c:v>75.244431660961723</c:v>
                </c:pt>
                <c:pt idx="175">
                  <c:v>75.223251401087737</c:v>
                </c:pt>
                <c:pt idx="176">
                  <c:v>75.166650807951314</c:v>
                </c:pt>
                <c:pt idx="177">
                  <c:v>75.152118132009605</c:v>
                </c:pt>
                <c:pt idx="178">
                  <c:v>74.80645961219075</c:v>
                </c:pt>
                <c:pt idx="179">
                  <c:v>74.741479084428349</c:v>
                </c:pt>
                <c:pt idx="180">
                  <c:v>74.34559789460593</c:v>
                </c:pt>
                <c:pt idx="181">
                  <c:v>74.189896490200681</c:v>
                </c:pt>
                <c:pt idx="182">
                  <c:v>74.018597968929896</c:v>
                </c:pt>
                <c:pt idx="183">
                  <c:v>73.836644973957874</c:v>
                </c:pt>
                <c:pt idx="184">
                  <c:v>73.836303309698209</c:v>
                </c:pt>
                <c:pt idx="185">
                  <c:v>73.809805282781127</c:v>
                </c:pt>
                <c:pt idx="186">
                  <c:v>73.347914819097085</c:v>
                </c:pt>
                <c:pt idx="187">
                  <c:v>73.029566226241215</c:v>
                </c:pt>
                <c:pt idx="188">
                  <c:v>72.492816346787393</c:v>
                </c:pt>
                <c:pt idx="189">
                  <c:v>71.690616979243487</c:v>
                </c:pt>
                <c:pt idx="190">
                  <c:v>70.591637842088218</c:v>
                </c:pt>
                <c:pt idx="191">
                  <c:v>70.443513596076485</c:v>
                </c:pt>
              </c:numCache>
            </c:numRef>
          </c:val>
          <c:extLst>
            <c:ext xmlns:c16="http://schemas.microsoft.com/office/drawing/2014/chart" uri="{C3380CC4-5D6E-409C-BE32-E72D297353CC}">
              <c16:uniqueId val="{00000003-8939-4CD9-8009-FAED3202DE5D}"/>
            </c:ext>
          </c:extLst>
        </c:ser>
        <c:ser>
          <c:idx val="4"/>
          <c:order val="4"/>
          <c:spPr>
            <a:noFill/>
            <a:ln>
              <a:noFill/>
            </a:ln>
          </c:spPr>
          <c:invertIfNegative val="0"/>
          <c:dLbls>
            <c:spPr>
              <a:noFill/>
              <a:ln>
                <a:noFill/>
              </a:ln>
              <a:effectLst/>
            </c:spPr>
            <c:txPr>
              <a:bodyPr/>
              <a:lstStyle/>
              <a:p>
                <a:pPr>
                  <a:defRPr>
                    <a:solidFill>
                      <a:srgbClr val="0070C0"/>
                    </a:solidFill>
                    <a:latin typeface="Wingdings" panose="05000000000000000000" pitchFamily="2" charset="2"/>
                  </a:defRPr>
                </a:pPr>
                <a:endParaRPr lang="en-US"/>
              </a:p>
            </c:txPr>
            <c:dLblPos val="outEnd"/>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strRef>
              <c:f>[0]!Marker</c:f>
              <c:strCache>
                <c:ptCount val="103"/>
                <c:pt idx="102">
                  <c:v>u</c:v>
                </c:pt>
              </c:strCache>
            </c:strRef>
          </c:cat>
          <c:val>
            <c:numRef>
              <c:f>[0]!MarkData</c:f>
              <c:numCache>
                <c:formatCode>0.00</c:formatCode>
                <c:ptCount val="192"/>
                <c:pt idx="0">
                  <c:v>89.096389225280319</c:v>
                </c:pt>
                <c:pt idx="1">
                  <c:v>87.849849296209598</c:v>
                </c:pt>
                <c:pt idx="2">
                  <c:v>87.387814475626797</c:v>
                </c:pt>
                <c:pt idx="3">
                  <c:v>87.271203980687972</c:v>
                </c:pt>
                <c:pt idx="4">
                  <c:v>87.125749547120805</c:v>
                </c:pt>
                <c:pt idx="5">
                  <c:v>87.100026452317209</c:v>
                </c:pt>
                <c:pt idx="6">
                  <c:v>87.086289157111082</c:v>
                </c:pt>
                <c:pt idx="7">
                  <c:v>86.958562974579777</c:v>
                </c:pt>
                <c:pt idx="8">
                  <c:v>86.887516701888018</c:v>
                </c:pt>
                <c:pt idx="9">
                  <c:v>86.859304329799087</c:v>
                </c:pt>
                <c:pt idx="10">
                  <c:v>86.735237422815842</c:v>
                </c:pt>
                <c:pt idx="11">
                  <c:v>86.548326647473345</c:v>
                </c:pt>
                <c:pt idx="12">
                  <c:v>86.48148459683577</c:v>
                </c:pt>
                <c:pt idx="13">
                  <c:v>86.428841112143985</c:v>
                </c:pt>
                <c:pt idx="14">
                  <c:v>86.379262892419391</c:v>
                </c:pt>
                <c:pt idx="15">
                  <c:v>86.265798297340964</c:v>
                </c:pt>
                <c:pt idx="16">
                  <c:v>86.243288658425897</c:v>
                </c:pt>
                <c:pt idx="17">
                  <c:v>86.042324820859747</c:v>
                </c:pt>
                <c:pt idx="18">
                  <c:v>85.935779844222566</c:v>
                </c:pt>
                <c:pt idx="19">
                  <c:v>85.933136408770679</c:v>
                </c:pt>
                <c:pt idx="20">
                  <c:v>85.86811617148318</c:v>
                </c:pt>
                <c:pt idx="21">
                  <c:v>85.843279685738466</c:v>
                </c:pt>
                <c:pt idx="22">
                  <c:v>85.480716182285775</c:v>
                </c:pt>
                <c:pt idx="23">
                  <c:v>85.408739884561712</c:v>
                </c:pt>
                <c:pt idx="24">
                  <c:v>85.366352980366827</c:v>
                </c:pt>
                <c:pt idx="25">
                  <c:v>85.304403770001343</c:v>
                </c:pt>
                <c:pt idx="26">
                  <c:v>85.253874322530251</c:v>
                </c:pt>
                <c:pt idx="27">
                  <c:v>85.145310565461088</c:v>
                </c:pt>
                <c:pt idx="28">
                  <c:v>85.003927852800842</c:v>
                </c:pt>
                <c:pt idx="29">
                  <c:v>84.992900604276272</c:v>
                </c:pt>
                <c:pt idx="30">
                  <c:v>84.940364870534182</c:v>
                </c:pt>
                <c:pt idx="31">
                  <c:v>84.906687458766484</c:v>
                </c:pt>
                <c:pt idx="32">
                  <c:v>84.906661624415875</c:v>
                </c:pt>
                <c:pt idx="33">
                  <c:v>84.838104587117726</c:v>
                </c:pt>
                <c:pt idx="34">
                  <c:v>84.820275705397847</c:v>
                </c:pt>
                <c:pt idx="35">
                  <c:v>84.741384313012247</c:v>
                </c:pt>
                <c:pt idx="36">
                  <c:v>84.717303427909457</c:v>
                </c:pt>
                <c:pt idx="37">
                  <c:v>84.701153180655609</c:v>
                </c:pt>
                <c:pt idx="38">
                  <c:v>84.514725319808676</c:v>
                </c:pt>
                <c:pt idx="39">
                  <c:v>84.42401847183821</c:v>
                </c:pt>
                <c:pt idx="40">
                  <c:v>84.374301378764812</c:v>
                </c:pt>
                <c:pt idx="41">
                  <c:v>84.334564848336342</c:v>
                </c:pt>
                <c:pt idx="42">
                  <c:v>84.247914936955652</c:v>
                </c:pt>
                <c:pt idx="43">
                  <c:v>84.154504337307344</c:v>
                </c:pt>
                <c:pt idx="44">
                  <c:v>84.115691474297307</c:v>
                </c:pt>
                <c:pt idx="45">
                  <c:v>83.9788150549292</c:v>
                </c:pt>
                <c:pt idx="46">
                  <c:v>83.882245443162091</c:v>
                </c:pt>
                <c:pt idx="47">
                  <c:v>83.694914028500719</c:v>
                </c:pt>
                <c:pt idx="48">
                  <c:v>83.502992137546002</c:v>
                </c:pt>
                <c:pt idx="49">
                  <c:v>83.476919786746151</c:v>
                </c:pt>
                <c:pt idx="50">
                  <c:v>83.467095515138581</c:v>
                </c:pt>
                <c:pt idx="51">
                  <c:v>83.458805242596696</c:v>
                </c:pt>
                <c:pt idx="52">
                  <c:v>83.288485527931542</c:v>
                </c:pt>
                <c:pt idx="53">
                  <c:v>83.251610631426161</c:v>
                </c:pt>
                <c:pt idx="54">
                  <c:v>83.210609729168269</c:v>
                </c:pt>
                <c:pt idx="55">
                  <c:v>83.136481738788177</c:v>
                </c:pt>
                <c:pt idx="56">
                  <c:v>83.083729736789735</c:v>
                </c:pt>
                <c:pt idx="57">
                  <c:v>83.032002727096341</c:v>
                </c:pt>
                <c:pt idx="58">
                  <c:v>83.013741593227948</c:v>
                </c:pt>
                <c:pt idx="59">
                  <c:v>82.982175152784492</c:v>
                </c:pt>
                <c:pt idx="60">
                  <c:v>82.91320054160262</c:v>
                </c:pt>
                <c:pt idx="61">
                  <c:v>82.784798386782171</c:v>
                </c:pt>
                <c:pt idx="62">
                  <c:v>82.701001066661945</c:v>
                </c:pt>
                <c:pt idx="63">
                  <c:v>82.624085134057736</c:v>
                </c:pt>
                <c:pt idx="64">
                  <c:v>82.620404052100412</c:v>
                </c:pt>
                <c:pt idx="65">
                  <c:v>82.5506700380799</c:v>
                </c:pt>
                <c:pt idx="66">
                  <c:v>82.545700078353448</c:v>
                </c:pt>
                <c:pt idx="67">
                  <c:v>82.507883514142037</c:v>
                </c:pt>
                <c:pt idx="68">
                  <c:v>82.402575319559759</c:v>
                </c:pt>
                <c:pt idx="69">
                  <c:v>82.387796833472166</c:v>
                </c:pt>
                <c:pt idx="70">
                  <c:v>82.360675429974577</c:v>
                </c:pt>
                <c:pt idx="71">
                  <c:v>82.335363809376105</c:v>
                </c:pt>
                <c:pt idx="72">
                  <c:v>82.319682741807654</c:v>
                </c:pt>
                <c:pt idx="73">
                  <c:v>82.281951366995557</c:v>
                </c:pt>
                <c:pt idx="74">
                  <c:v>82.24698005383091</c:v>
                </c:pt>
                <c:pt idx="75">
                  <c:v>82.037877068464695</c:v>
                </c:pt>
                <c:pt idx="76">
                  <c:v>82.007260096217237</c:v>
                </c:pt>
                <c:pt idx="77">
                  <c:v>81.981863208624958</c:v>
                </c:pt>
                <c:pt idx="78">
                  <c:v>81.958114409887827</c:v>
                </c:pt>
                <c:pt idx="79">
                  <c:v>81.927842885542788</c:v>
                </c:pt>
                <c:pt idx="80">
                  <c:v>81.876495715951663</c:v>
                </c:pt>
                <c:pt idx="81">
                  <c:v>81.833029922135211</c:v>
                </c:pt>
                <c:pt idx="82">
                  <c:v>81.794245862792948</c:v>
                </c:pt>
                <c:pt idx="83">
                  <c:v>81.746156529307754</c:v>
                </c:pt>
                <c:pt idx="84">
                  <c:v>81.740853917601498</c:v>
                </c:pt>
                <c:pt idx="85">
                  <c:v>81.719020609499452</c:v>
                </c:pt>
                <c:pt idx="86">
                  <c:v>81.456419870507062</c:v>
                </c:pt>
                <c:pt idx="87">
                  <c:v>81.417583763416488</c:v>
                </c:pt>
                <c:pt idx="88">
                  <c:v>81.405018315126512</c:v>
                </c:pt>
                <c:pt idx="89">
                  <c:v>81.292981100585621</c:v>
                </c:pt>
                <c:pt idx="90">
                  <c:v>81.265007706828655</c:v>
                </c:pt>
                <c:pt idx="91">
                  <c:v>81.243010989059002</c:v>
                </c:pt>
                <c:pt idx="92">
                  <c:v>81.22234754703922</c:v>
                </c:pt>
                <c:pt idx="93">
                  <c:v>81.11129786496501</c:v>
                </c:pt>
                <c:pt idx="94">
                  <c:v>81.080410908300962</c:v>
                </c:pt>
                <c:pt idx="95">
                  <c:v>81.02170787711259</c:v>
                </c:pt>
                <c:pt idx="96">
                  <c:v>80.952621005839859</c:v>
                </c:pt>
                <c:pt idx="97">
                  <c:v>80.817995230448389</c:v>
                </c:pt>
                <c:pt idx="98">
                  <c:v>80.802168649499023</c:v>
                </c:pt>
                <c:pt idx="99">
                  <c:v>80.768145290725784</c:v>
                </c:pt>
                <c:pt idx="100">
                  <c:v>80.767974982154783</c:v>
                </c:pt>
                <c:pt idx="101">
                  <c:v>80.665375065265906</c:v>
                </c:pt>
                <c:pt idx="102">
                  <c:v>80.664917544522837</c:v>
                </c:pt>
                <c:pt idx="103">
                  <c:v>80.635663596705356</c:v>
                </c:pt>
                <c:pt idx="104">
                  <c:v>80.594473970476059</c:v>
                </c:pt>
                <c:pt idx="105">
                  <c:v>80.58383595886491</c:v>
                </c:pt>
                <c:pt idx="106">
                  <c:v>80.548246886857143</c:v>
                </c:pt>
                <c:pt idx="107">
                  <c:v>80.522649706930295</c:v>
                </c:pt>
                <c:pt idx="108">
                  <c:v>80.495725927230666</c:v>
                </c:pt>
                <c:pt idx="109">
                  <c:v>80.469223947879229</c:v>
                </c:pt>
                <c:pt idx="110">
                  <c:v>80.450599677789896</c:v>
                </c:pt>
                <c:pt idx="111">
                  <c:v>80.304261084662869</c:v>
                </c:pt>
                <c:pt idx="112">
                  <c:v>80.262016971920374</c:v>
                </c:pt>
                <c:pt idx="113">
                  <c:v>80.166102948644138</c:v>
                </c:pt>
                <c:pt idx="114">
                  <c:v>80.023065629365846</c:v>
                </c:pt>
                <c:pt idx="115">
                  <c:v>79.98234966638357</c:v>
                </c:pt>
                <c:pt idx="116">
                  <c:v>79.921381954611164</c:v>
                </c:pt>
                <c:pt idx="117">
                  <c:v>79.916617070522307</c:v>
                </c:pt>
                <c:pt idx="118">
                  <c:v>79.865505920133472</c:v>
                </c:pt>
                <c:pt idx="119">
                  <c:v>79.864117668556673</c:v>
                </c:pt>
                <c:pt idx="120">
                  <c:v>79.811729444586859</c:v>
                </c:pt>
                <c:pt idx="121">
                  <c:v>79.769579178071908</c:v>
                </c:pt>
                <c:pt idx="122">
                  <c:v>79.658934383201213</c:v>
                </c:pt>
                <c:pt idx="123">
                  <c:v>79.634605853074532</c:v>
                </c:pt>
                <c:pt idx="124">
                  <c:v>79.622714647428467</c:v>
                </c:pt>
                <c:pt idx="125">
                  <c:v>79.605148666688692</c:v>
                </c:pt>
                <c:pt idx="126">
                  <c:v>79.476376362365343</c:v>
                </c:pt>
                <c:pt idx="127">
                  <c:v>79.473990455873462</c:v>
                </c:pt>
                <c:pt idx="128">
                  <c:v>79.438780140503624</c:v>
                </c:pt>
                <c:pt idx="129">
                  <c:v>79.374804851569777</c:v>
                </c:pt>
                <c:pt idx="130">
                  <c:v>79.348127844807593</c:v>
                </c:pt>
                <c:pt idx="131">
                  <c:v>79.330089108755686</c:v>
                </c:pt>
                <c:pt idx="132">
                  <c:v>79.285588018207903</c:v>
                </c:pt>
                <c:pt idx="133">
                  <c:v>79.266523104778315</c:v>
                </c:pt>
                <c:pt idx="134">
                  <c:v>79.19619175087098</c:v>
                </c:pt>
                <c:pt idx="135">
                  <c:v>78.956322709094479</c:v>
                </c:pt>
                <c:pt idx="136">
                  <c:v>78.883653322357262</c:v>
                </c:pt>
                <c:pt idx="137">
                  <c:v>78.824074242019719</c:v>
                </c:pt>
                <c:pt idx="138">
                  <c:v>78.803169739999944</c:v>
                </c:pt>
                <c:pt idx="139">
                  <c:v>78.742156783431966</c:v>
                </c:pt>
                <c:pt idx="140">
                  <c:v>78.669032275220886</c:v>
                </c:pt>
                <c:pt idx="141">
                  <c:v>78.660073450737343</c:v>
                </c:pt>
                <c:pt idx="142">
                  <c:v>78.644615528903913</c:v>
                </c:pt>
                <c:pt idx="143">
                  <c:v>78.627178356786359</c:v>
                </c:pt>
                <c:pt idx="144">
                  <c:v>78.614964147202414</c:v>
                </c:pt>
                <c:pt idx="145">
                  <c:v>78.610915016735788</c:v>
                </c:pt>
                <c:pt idx="146">
                  <c:v>78.593721958095685</c:v>
                </c:pt>
                <c:pt idx="147">
                  <c:v>78.572724688355649</c:v>
                </c:pt>
                <c:pt idx="148">
                  <c:v>78.518699438510566</c:v>
                </c:pt>
                <c:pt idx="149">
                  <c:v>78.278033490637441</c:v>
                </c:pt>
                <c:pt idx="150">
                  <c:v>78.048988136066228</c:v>
                </c:pt>
                <c:pt idx="151">
                  <c:v>77.942065091262734</c:v>
                </c:pt>
                <c:pt idx="152">
                  <c:v>77.654289052948997</c:v>
                </c:pt>
                <c:pt idx="153">
                  <c:v>77.648096291680531</c:v>
                </c:pt>
                <c:pt idx="154">
                  <c:v>77.603153628558843</c:v>
                </c:pt>
                <c:pt idx="155">
                  <c:v>77.582938181002405</c:v>
                </c:pt>
                <c:pt idx="156">
                  <c:v>77.517422619143645</c:v>
                </c:pt>
                <c:pt idx="157">
                  <c:v>77.489347327528819</c:v>
                </c:pt>
                <c:pt idx="158">
                  <c:v>77.483389981559796</c:v>
                </c:pt>
                <c:pt idx="159">
                  <c:v>77.140040482717126</c:v>
                </c:pt>
                <c:pt idx="160">
                  <c:v>76.805453253673065</c:v>
                </c:pt>
                <c:pt idx="161">
                  <c:v>76.533598646171697</c:v>
                </c:pt>
                <c:pt idx="162">
                  <c:v>76.47326266238025</c:v>
                </c:pt>
                <c:pt idx="163">
                  <c:v>76.422949572140297</c:v>
                </c:pt>
                <c:pt idx="164">
                  <c:v>76.415405003842181</c:v>
                </c:pt>
                <c:pt idx="165">
                  <c:v>76.401895334125243</c:v>
                </c:pt>
                <c:pt idx="166">
                  <c:v>76.375281453278546</c:v>
                </c:pt>
                <c:pt idx="167">
                  <c:v>76.235813453967452</c:v>
                </c:pt>
                <c:pt idx="168">
                  <c:v>76.217957761705563</c:v>
                </c:pt>
                <c:pt idx="169">
                  <c:v>76.18953351514763</c:v>
                </c:pt>
                <c:pt idx="170">
                  <c:v>76.131408364441</c:v>
                </c:pt>
                <c:pt idx="171">
                  <c:v>75.89492254124535</c:v>
                </c:pt>
                <c:pt idx="172">
                  <c:v>75.385373930125724</c:v>
                </c:pt>
                <c:pt idx="173">
                  <c:v>75.281586388392768</c:v>
                </c:pt>
                <c:pt idx="174">
                  <c:v>75.244431660961723</c:v>
                </c:pt>
                <c:pt idx="175">
                  <c:v>75.223251401087737</c:v>
                </c:pt>
                <c:pt idx="176">
                  <c:v>75.166650807951314</c:v>
                </c:pt>
                <c:pt idx="177">
                  <c:v>75.152118132009605</c:v>
                </c:pt>
                <c:pt idx="178">
                  <c:v>74.80645961219075</c:v>
                </c:pt>
                <c:pt idx="179">
                  <c:v>74.741479084428349</c:v>
                </c:pt>
                <c:pt idx="180">
                  <c:v>74.34559789460593</c:v>
                </c:pt>
                <c:pt idx="181">
                  <c:v>74.189896490200681</c:v>
                </c:pt>
                <c:pt idx="182">
                  <c:v>74.018597968929896</c:v>
                </c:pt>
                <c:pt idx="183">
                  <c:v>73.836644973957874</c:v>
                </c:pt>
                <c:pt idx="184">
                  <c:v>73.836303309698209</c:v>
                </c:pt>
                <c:pt idx="185">
                  <c:v>73.809805282781127</c:v>
                </c:pt>
                <c:pt idx="186">
                  <c:v>73.347914819097085</c:v>
                </c:pt>
                <c:pt idx="187">
                  <c:v>73.029566226241215</c:v>
                </c:pt>
                <c:pt idx="188">
                  <c:v>72.492816346787393</c:v>
                </c:pt>
                <c:pt idx="189">
                  <c:v>71.690616979243487</c:v>
                </c:pt>
                <c:pt idx="190">
                  <c:v>70.591637842088218</c:v>
                </c:pt>
                <c:pt idx="191">
                  <c:v>70.443513596076485</c:v>
                </c:pt>
              </c:numCache>
            </c:numRef>
          </c:val>
          <c:extLst>
            <c:ext xmlns:c16="http://schemas.microsoft.com/office/drawing/2014/chart" uri="{C3380CC4-5D6E-409C-BE32-E72D297353CC}">
              <c16:uniqueId val="{00000004-8939-4CD9-8009-FAED3202DE5D}"/>
            </c:ext>
          </c:extLst>
        </c:ser>
        <c:dLbls>
          <c:showLegendKey val="0"/>
          <c:showVal val="0"/>
          <c:showCatName val="0"/>
          <c:showSerName val="0"/>
          <c:showPercent val="0"/>
          <c:showBubbleSize val="0"/>
        </c:dLbls>
        <c:gapWidth val="0"/>
        <c:overlap val="100"/>
        <c:axId val="238838912"/>
        <c:axId val="238840448"/>
      </c:barChart>
      <c:catAx>
        <c:axId val="238838912"/>
        <c:scaling>
          <c:orientation val="minMax"/>
        </c:scaling>
        <c:delete val="0"/>
        <c:axPos val="b"/>
        <c:numFmt formatCode="General" sourceLinked="1"/>
        <c:majorTickMark val="none"/>
        <c:minorTickMark val="none"/>
        <c:tickLblPos val="none"/>
        <c:crossAx val="238840448"/>
        <c:crosses val="autoZero"/>
        <c:auto val="1"/>
        <c:lblAlgn val="ctr"/>
        <c:lblOffset val="100"/>
        <c:noMultiLvlLbl val="0"/>
      </c:catAx>
      <c:valAx>
        <c:axId val="238840448"/>
        <c:scaling>
          <c:orientation val="minMax"/>
        </c:scaling>
        <c:delete val="0"/>
        <c:axPos val="l"/>
        <c:numFmt formatCode="0" sourceLinked="0"/>
        <c:majorTickMark val="out"/>
        <c:minorTickMark val="none"/>
        <c:tickLblPos val="nextTo"/>
        <c:txPr>
          <a:bodyPr rot="0" vert="horz"/>
          <a:lstStyle/>
          <a:p>
            <a:pPr>
              <a:defRPr/>
            </a:pPr>
            <a:endParaRPr lang="en-US"/>
          </a:p>
        </c:txPr>
        <c:crossAx val="238838912"/>
        <c:crosses val="autoZero"/>
        <c:crossBetween val="between"/>
      </c:valAx>
      <c:spPr>
        <a:ln>
          <a:noFill/>
        </a:ln>
      </c:spPr>
    </c:plotArea>
    <c:plotVisOnly val="1"/>
    <c:dispBlanksAs val="gap"/>
    <c:showDLblsOverMax val="0"/>
  </c:chart>
  <c:spPr>
    <a:ln>
      <a:noFill/>
    </a:ln>
  </c:spPr>
  <c:printSettings>
    <c:headerFooter alignWithMargins="0"/>
    <c:pageMargins b="0.75000000000000377" l="0.70000000000000062" r="0.70000000000000062" t="0.75000000000000377"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874634301285582E-2"/>
          <c:y val="9.1248268821218684E-2"/>
          <c:w val="0.9123717337880537"/>
          <c:h val="0.66160783888545516"/>
        </c:manualLayout>
      </c:layout>
      <c:barChart>
        <c:barDir val="col"/>
        <c:grouping val="clustered"/>
        <c:varyColors val="0"/>
        <c:ser>
          <c:idx val="9"/>
          <c:order val="0"/>
          <c:tx>
            <c:v>Block Data</c:v>
          </c:tx>
          <c:spPr>
            <a:solidFill>
              <a:schemeClr val="accent3">
                <a:lumMod val="75000"/>
              </a:schemeClr>
            </a:solidFill>
          </c:spPr>
          <c:invertIfNegative val="0"/>
          <c:dPt>
            <c:idx val="0"/>
            <c:invertIfNegative val="0"/>
            <c:bubble3D val="0"/>
            <c:spPr>
              <a:solidFill>
                <a:schemeClr val="accent4">
                  <a:lumMod val="75000"/>
                  <a:alpha val="75000"/>
                </a:schemeClr>
              </a:solidFill>
            </c:spPr>
            <c:extLst>
              <c:ext xmlns:c16="http://schemas.microsoft.com/office/drawing/2014/chart" uri="{C3380CC4-5D6E-409C-BE32-E72D297353CC}">
                <c16:uniqueId val="{00000000-BF53-469E-9419-AE56A74E864B}"/>
              </c:ext>
            </c:extLst>
          </c:dPt>
          <c:dPt>
            <c:idx val="1"/>
            <c:invertIfNegative val="0"/>
            <c:bubble3D val="0"/>
            <c:spPr>
              <a:solidFill>
                <a:schemeClr val="accent4">
                  <a:lumMod val="75000"/>
                  <a:alpha val="50000"/>
                </a:schemeClr>
              </a:solidFill>
            </c:spPr>
            <c:extLst>
              <c:ext xmlns:c16="http://schemas.microsoft.com/office/drawing/2014/chart" uri="{C3380CC4-5D6E-409C-BE32-E72D297353CC}">
                <c16:uniqueId val="{00000001-BF53-469E-9419-AE56A74E864B}"/>
              </c:ext>
            </c:extLst>
          </c:dPt>
          <c:dPt>
            <c:idx val="2"/>
            <c:invertIfNegative val="0"/>
            <c:bubble3D val="0"/>
            <c:spPr>
              <a:solidFill>
                <a:schemeClr val="accent4">
                  <a:lumMod val="75000"/>
                  <a:alpha val="50000"/>
                </a:schemeClr>
              </a:solidFill>
            </c:spPr>
            <c:extLst>
              <c:ext xmlns:c16="http://schemas.microsoft.com/office/drawing/2014/chart" uri="{C3380CC4-5D6E-409C-BE32-E72D297353CC}">
                <c16:uniqueId val="{00000002-BF53-469E-9419-AE56A74E864B}"/>
              </c:ext>
            </c:extLst>
          </c:dPt>
          <c:dPt>
            <c:idx val="3"/>
            <c:invertIfNegative val="0"/>
            <c:bubble3D val="0"/>
            <c:spPr>
              <a:solidFill>
                <a:schemeClr val="accent4">
                  <a:lumMod val="75000"/>
                  <a:alpha val="50000"/>
                </a:schemeClr>
              </a:solidFill>
            </c:spPr>
            <c:extLst>
              <c:ext xmlns:c16="http://schemas.microsoft.com/office/drawing/2014/chart" uri="{C3380CC4-5D6E-409C-BE32-E72D297353CC}">
                <c16:uniqueId val="{00000003-BF53-469E-9419-AE56A74E864B}"/>
              </c:ext>
            </c:extLst>
          </c:dPt>
          <c:dPt>
            <c:idx val="4"/>
            <c:invertIfNegative val="0"/>
            <c:bubble3D val="0"/>
            <c:spPr>
              <a:solidFill>
                <a:schemeClr val="accent4">
                  <a:lumMod val="75000"/>
                  <a:alpha val="50000"/>
                </a:schemeClr>
              </a:solidFill>
            </c:spPr>
            <c:extLst>
              <c:ext xmlns:c16="http://schemas.microsoft.com/office/drawing/2014/chart" uri="{C3380CC4-5D6E-409C-BE32-E72D297353CC}">
                <c16:uniqueId val="{00000004-BF53-469E-9419-AE56A74E864B}"/>
              </c:ext>
            </c:extLst>
          </c:dPt>
          <c:cat>
            <c:strRef>
              <c:f>Profile!$D$48:$D$53</c:f>
              <c:strCache>
                <c:ptCount val="4"/>
                <c:pt idx="0">
                  <c:v>Allerdale</c:v>
                </c:pt>
                <c:pt idx="1">
                  <c:v>Districts</c:v>
                </c:pt>
                <c:pt idx="2">
                  <c:v>Cumbria</c:v>
                </c:pt>
                <c:pt idx="3">
                  <c:v> Mainly Rural (rural including hub towns &gt;=80%)  </c:v>
                </c:pt>
              </c:strCache>
            </c:strRef>
          </c:cat>
          <c:val>
            <c:numRef>
              <c:f>Profile!$E$48:$E$51</c:f>
              <c:numCache>
                <c:formatCode>0.00</c:formatCode>
                <c:ptCount val="4"/>
                <c:pt idx="0">
                  <c:v>80.664917544522837</c:v>
                </c:pt>
                <c:pt idx="1">
                  <c:v>80.892616842679516</c:v>
                </c:pt>
                <c:pt idx="2">
                  <c:v>81.771635936917235</c:v>
                </c:pt>
                <c:pt idx="3">
                  <c:v>81.585817249144441</c:v>
                </c:pt>
              </c:numCache>
            </c:numRef>
          </c:val>
          <c:extLst>
            <c:ext xmlns:c16="http://schemas.microsoft.com/office/drawing/2014/chart" uri="{C3380CC4-5D6E-409C-BE32-E72D297353CC}">
              <c16:uniqueId val="{00000005-BF53-469E-9419-AE56A74E864B}"/>
            </c:ext>
          </c:extLst>
        </c:ser>
        <c:dLbls>
          <c:showLegendKey val="0"/>
          <c:showVal val="0"/>
          <c:showCatName val="0"/>
          <c:showSerName val="0"/>
          <c:showPercent val="0"/>
          <c:showBubbleSize val="0"/>
        </c:dLbls>
        <c:gapWidth val="39"/>
        <c:overlap val="100"/>
        <c:axId val="239601920"/>
        <c:axId val="239611904"/>
      </c:barChart>
      <c:lineChart>
        <c:grouping val="standard"/>
        <c:varyColors val="0"/>
        <c:ser>
          <c:idx val="0"/>
          <c:order val="1"/>
          <c:tx>
            <c:v>Top Quartile Benchmark</c:v>
          </c:tx>
          <c:spPr>
            <a:ln>
              <a:solidFill>
                <a:schemeClr val="bg2">
                  <a:lumMod val="25000"/>
                </a:schemeClr>
              </a:solidFill>
            </a:ln>
          </c:spPr>
          <c:marker>
            <c:symbol val="none"/>
          </c:marker>
          <c:val>
            <c:numRef>
              <c:f>(Profile!$K$48,Profile!$K$49,Profile!$K$50,Profile!$K$51)</c:f>
              <c:numCache>
                <c:formatCode>General</c:formatCode>
                <c:ptCount val="4"/>
                <c:pt idx="0">
                  <c:v>83.550972610284674</c:v>
                </c:pt>
                <c:pt idx="1">
                  <c:v>83.550972610284674</c:v>
                </c:pt>
                <c:pt idx="2">
                  <c:v>83.550972610284674</c:v>
                </c:pt>
                <c:pt idx="3">
                  <c:v>83.550972610284674</c:v>
                </c:pt>
              </c:numCache>
            </c:numRef>
          </c:val>
          <c:smooth val="0"/>
          <c:extLst>
            <c:ext xmlns:c16="http://schemas.microsoft.com/office/drawing/2014/chart" uri="{C3380CC4-5D6E-409C-BE32-E72D297353CC}">
              <c16:uniqueId val="{00000006-BF53-469E-9419-AE56A74E864B}"/>
            </c:ext>
          </c:extLst>
        </c:ser>
        <c:ser>
          <c:idx val="1"/>
          <c:order val="2"/>
          <c:tx>
            <c:v>Median</c:v>
          </c:tx>
          <c:spPr>
            <a:ln>
              <a:solidFill>
                <a:srgbClr val="FFFF00"/>
              </a:solidFill>
            </a:ln>
          </c:spPr>
          <c:marker>
            <c:symbol val="none"/>
          </c:marker>
          <c:val>
            <c:numRef>
              <c:f>(Profile!$M$48,Profile!$M$49,Profile!$M$50,Profile!$M$51)</c:f>
              <c:numCache>
                <c:formatCode>General</c:formatCode>
                <c:ptCount val="4"/>
                <c:pt idx="0">
                  <c:v>80.987164441476224</c:v>
                </c:pt>
                <c:pt idx="1">
                  <c:v>80.987164441476224</c:v>
                </c:pt>
                <c:pt idx="2">
                  <c:v>80.987164441476224</c:v>
                </c:pt>
                <c:pt idx="3">
                  <c:v>80.987164441476224</c:v>
                </c:pt>
              </c:numCache>
            </c:numRef>
          </c:val>
          <c:smooth val="0"/>
          <c:extLst>
            <c:ext xmlns:c16="http://schemas.microsoft.com/office/drawing/2014/chart" uri="{C3380CC4-5D6E-409C-BE32-E72D297353CC}">
              <c16:uniqueId val="{00000007-BF53-469E-9419-AE56A74E864B}"/>
            </c:ext>
          </c:extLst>
        </c:ser>
        <c:ser>
          <c:idx val="2"/>
          <c:order val="3"/>
          <c:tx>
            <c:v>Bottom Quartile Benchmark</c:v>
          </c:tx>
          <c:spPr>
            <a:ln>
              <a:solidFill>
                <a:srgbClr val="FF0000"/>
              </a:solidFill>
            </a:ln>
          </c:spPr>
          <c:marker>
            <c:symbol val="none"/>
          </c:marker>
          <c:val>
            <c:numRef>
              <c:f>(Profile!$O$48,Profile!$O$49,Profile!$O$50,Profile!$O$51)</c:f>
              <c:numCache>
                <c:formatCode>General</c:formatCode>
                <c:ptCount val="4"/>
                <c:pt idx="0">
                  <c:v>78.624124804390377</c:v>
                </c:pt>
                <c:pt idx="1">
                  <c:v>78.624124804390377</c:v>
                </c:pt>
                <c:pt idx="2">
                  <c:v>78.624124804390377</c:v>
                </c:pt>
                <c:pt idx="3">
                  <c:v>78.624124804390377</c:v>
                </c:pt>
              </c:numCache>
            </c:numRef>
          </c:val>
          <c:smooth val="0"/>
          <c:extLst>
            <c:ext xmlns:c16="http://schemas.microsoft.com/office/drawing/2014/chart" uri="{C3380CC4-5D6E-409C-BE32-E72D297353CC}">
              <c16:uniqueId val="{00000008-BF53-469E-9419-AE56A74E864B}"/>
            </c:ext>
          </c:extLst>
        </c:ser>
        <c:dLbls>
          <c:showLegendKey val="0"/>
          <c:showVal val="0"/>
          <c:showCatName val="0"/>
          <c:showSerName val="0"/>
          <c:showPercent val="0"/>
          <c:showBubbleSize val="0"/>
        </c:dLbls>
        <c:marker val="1"/>
        <c:smooth val="0"/>
        <c:axId val="239601920"/>
        <c:axId val="239611904"/>
      </c:lineChart>
      <c:catAx>
        <c:axId val="239601920"/>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700" b="0" i="0" u="none" strike="noStrike" baseline="0">
                <a:solidFill>
                  <a:srgbClr val="000000"/>
                </a:solidFill>
                <a:latin typeface="Calibri"/>
                <a:ea typeface="Calibri"/>
                <a:cs typeface="Calibri"/>
              </a:defRPr>
            </a:pPr>
            <a:endParaRPr lang="en-US"/>
          </a:p>
        </c:txPr>
        <c:crossAx val="239611904"/>
        <c:crosses val="autoZero"/>
        <c:auto val="1"/>
        <c:lblAlgn val="ctr"/>
        <c:lblOffset val="100"/>
        <c:noMultiLvlLbl val="0"/>
      </c:catAx>
      <c:valAx>
        <c:axId val="239611904"/>
        <c:scaling>
          <c:orientation val="minMax"/>
        </c:scaling>
        <c:delete val="0"/>
        <c:axPos val="l"/>
        <c:majorGridlines>
          <c:spPr>
            <a:ln>
              <a:noFill/>
            </a:ln>
          </c:spPr>
        </c:majorGridlines>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239601920"/>
        <c:crosses val="autoZero"/>
        <c:crossBetween val="between"/>
      </c:valAx>
    </c:plotArea>
    <c:legend>
      <c:legendPos val="b"/>
      <c:legendEntry>
        <c:idx val="0"/>
        <c:delete val="1"/>
      </c:legendEntry>
      <c:layout>
        <c:manualLayout>
          <c:xMode val="edge"/>
          <c:yMode val="edge"/>
          <c:x val="0.10120783739241856"/>
          <c:y val="0.90916944591436222"/>
          <c:w val="0.85546529939571503"/>
          <c:h val="8.4690001676023266E-2"/>
        </c:manualLayout>
      </c:layout>
      <c:overlay val="0"/>
      <c:txPr>
        <a:bodyPr/>
        <a:lstStyle/>
        <a:p>
          <a:pPr>
            <a:defRPr sz="800"/>
          </a:pPr>
          <a:endParaRPr lang="en-US"/>
        </a:p>
      </c:txPr>
    </c:legend>
    <c:plotVisOnly val="1"/>
    <c:dispBlanksAs val="gap"/>
    <c:showDLblsOverMax val="0"/>
  </c:chart>
  <c:spPr>
    <a:solidFill>
      <a:schemeClr val="bg1"/>
    </a:solid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000000000000344" l="0.70000000000000062" r="0.70000000000000062" t="0.75000000000000344"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733469848777178E-2"/>
          <c:y val="6.0725521892544924E-2"/>
          <c:w val="0.93589299789538694"/>
          <c:h val="0.6666037440684186"/>
        </c:manualLayout>
      </c:layout>
      <c:barChart>
        <c:barDir val="col"/>
        <c:grouping val="clustered"/>
        <c:varyColors val="0"/>
        <c:ser>
          <c:idx val="0"/>
          <c:order val="0"/>
          <c:spPr>
            <a:solidFill>
              <a:schemeClr val="accent3">
                <a:lumMod val="75000"/>
              </a:schemeClr>
            </a:solidFill>
          </c:spPr>
          <c:invertIfNegative val="0"/>
          <c:dPt>
            <c:idx val="0"/>
            <c:invertIfNegative val="0"/>
            <c:bubble3D val="0"/>
            <c:spPr>
              <a:solidFill>
                <a:schemeClr val="accent4">
                  <a:lumMod val="75000"/>
                  <a:alpha val="75000"/>
                </a:schemeClr>
              </a:solidFill>
            </c:spPr>
            <c:extLst>
              <c:ext xmlns:c16="http://schemas.microsoft.com/office/drawing/2014/chart" uri="{C3380CC4-5D6E-409C-BE32-E72D297353CC}">
                <c16:uniqueId val="{00000000-229B-4DAA-8B5C-9373DF008B63}"/>
              </c:ext>
            </c:extLst>
          </c:dPt>
          <c:dPt>
            <c:idx val="1"/>
            <c:invertIfNegative val="0"/>
            <c:bubble3D val="0"/>
            <c:spPr>
              <a:solidFill>
                <a:srgbClr val="8064A2">
                  <a:lumMod val="75000"/>
                  <a:alpha val="50000"/>
                </a:srgbClr>
              </a:solidFill>
            </c:spPr>
            <c:extLst>
              <c:ext xmlns:c16="http://schemas.microsoft.com/office/drawing/2014/chart" uri="{C3380CC4-5D6E-409C-BE32-E72D297353CC}">
                <c16:uniqueId val="{00000001-229B-4DAA-8B5C-9373DF008B63}"/>
              </c:ext>
            </c:extLst>
          </c:dPt>
          <c:dPt>
            <c:idx val="2"/>
            <c:invertIfNegative val="0"/>
            <c:bubble3D val="0"/>
            <c:spPr>
              <a:solidFill>
                <a:srgbClr val="8064A2">
                  <a:lumMod val="75000"/>
                  <a:alpha val="50000"/>
                </a:srgbClr>
              </a:solidFill>
            </c:spPr>
            <c:extLst>
              <c:ext xmlns:c16="http://schemas.microsoft.com/office/drawing/2014/chart" uri="{C3380CC4-5D6E-409C-BE32-E72D297353CC}">
                <c16:uniqueId val="{00000002-229B-4DAA-8B5C-9373DF008B63}"/>
              </c:ext>
            </c:extLst>
          </c:dPt>
          <c:dPt>
            <c:idx val="3"/>
            <c:invertIfNegative val="0"/>
            <c:bubble3D val="0"/>
            <c:spPr>
              <a:solidFill>
                <a:schemeClr val="accent4">
                  <a:lumMod val="75000"/>
                  <a:alpha val="50000"/>
                </a:schemeClr>
              </a:solidFill>
            </c:spPr>
            <c:extLst>
              <c:ext xmlns:c16="http://schemas.microsoft.com/office/drawing/2014/chart" uri="{C3380CC4-5D6E-409C-BE32-E72D297353CC}">
                <c16:uniqueId val="{00000003-229B-4DAA-8B5C-9373DF008B63}"/>
              </c:ext>
            </c:extLst>
          </c:dPt>
          <c:cat>
            <c:strRef>
              <c:f>Profile!$F$118:$F$121</c:f>
              <c:strCache>
                <c:ptCount val="4"/>
                <c:pt idx="0">
                  <c:v>Allerdale</c:v>
                </c:pt>
                <c:pt idx="1">
                  <c:v>Predominantly Rural</c:v>
                </c:pt>
                <c:pt idx="2">
                  <c:v>Predominantly Urban</c:v>
                </c:pt>
                <c:pt idx="3">
                  <c:v>Significant Rural</c:v>
                </c:pt>
              </c:strCache>
            </c:strRef>
          </c:cat>
          <c:val>
            <c:numRef>
              <c:f>Profile!$G$118:$G$121</c:f>
              <c:numCache>
                <c:formatCode>0.00</c:formatCode>
                <c:ptCount val="4"/>
                <c:pt idx="0">
                  <c:v>80.664917544522837</c:v>
                </c:pt>
                <c:pt idx="1">
                  <c:v>81.524787428206025</c:v>
                </c:pt>
                <c:pt idx="2">
                  <c:v>80.040956220098408</c:v>
                </c:pt>
                <c:pt idx="3">
                  <c:v>81.242769735845187</c:v>
                </c:pt>
              </c:numCache>
            </c:numRef>
          </c:val>
          <c:extLst>
            <c:ext xmlns:c16="http://schemas.microsoft.com/office/drawing/2014/chart" uri="{C3380CC4-5D6E-409C-BE32-E72D297353CC}">
              <c16:uniqueId val="{00000004-229B-4DAA-8B5C-9373DF008B63}"/>
            </c:ext>
          </c:extLst>
        </c:ser>
        <c:dLbls>
          <c:showLegendKey val="0"/>
          <c:showVal val="0"/>
          <c:showCatName val="0"/>
          <c:showSerName val="0"/>
          <c:showPercent val="0"/>
          <c:showBubbleSize val="0"/>
        </c:dLbls>
        <c:gapWidth val="39"/>
        <c:overlap val="100"/>
        <c:axId val="239640576"/>
        <c:axId val="239642112"/>
      </c:barChart>
      <c:lineChart>
        <c:grouping val="standard"/>
        <c:varyColors val="0"/>
        <c:ser>
          <c:idx val="1"/>
          <c:order val="1"/>
          <c:tx>
            <c:v>Top Quartile Benchmark</c:v>
          </c:tx>
          <c:spPr>
            <a:ln>
              <a:solidFill>
                <a:schemeClr val="bg2">
                  <a:lumMod val="25000"/>
                </a:schemeClr>
              </a:solidFill>
            </a:ln>
          </c:spPr>
          <c:marker>
            <c:symbol val="none"/>
          </c:marker>
          <c:val>
            <c:numRef>
              <c:f>(Profile!$M$118,Profile!$M$119,Profile!$M$120,Profile!$M$121)</c:f>
              <c:numCache>
                <c:formatCode>General</c:formatCode>
                <c:ptCount val="4"/>
                <c:pt idx="0">
                  <c:v>83.550972610284674</c:v>
                </c:pt>
                <c:pt idx="1">
                  <c:v>83.550972610284674</c:v>
                </c:pt>
                <c:pt idx="2">
                  <c:v>83.550972610284674</c:v>
                </c:pt>
                <c:pt idx="3">
                  <c:v>83.550972610284674</c:v>
                </c:pt>
              </c:numCache>
            </c:numRef>
          </c:val>
          <c:smooth val="0"/>
          <c:extLst>
            <c:ext xmlns:c16="http://schemas.microsoft.com/office/drawing/2014/chart" uri="{C3380CC4-5D6E-409C-BE32-E72D297353CC}">
              <c16:uniqueId val="{00000005-229B-4DAA-8B5C-9373DF008B63}"/>
            </c:ext>
          </c:extLst>
        </c:ser>
        <c:ser>
          <c:idx val="2"/>
          <c:order val="2"/>
          <c:tx>
            <c:v>Median</c:v>
          </c:tx>
          <c:spPr>
            <a:ln>
              <a:solidFill>
                <a:srgbClr val="FFFF00"/>
              </a:solidFill>
            </a:ln>
          </c:spPr>
          <c:marker>
            <c:symbol val="none"/>
          </c:marker>
          <c:val>
            <c:numRef>
              <c:f>(Profile!$O$118,Profile!$O$119,Profile!$O$120,Profile!$O$121)</c:f>
              <c:numCache>
                <c:formatCode>General</c:formatCode>
                <c:ptCount val="4"/>
                <c:pt idx="0">
                  <c:v>80.987164441476224</c:v>
                </c:pt>
                <c:pt idx="1">
                  <c:v>80.987164441476224</c:v>
                </c:pt>
                <c:pt idx="2">
                  <c:v>80.987164441476224</c:v>
                </c:pt>
                <c:pt idx="3">
                  <c:v>80.987164441476224</c:v>
                </c:pt>
              </c:numCache>
            </c:numRef>
          </c:val>
          <c:smooth val="0"/>
          <c:extLst>
            <c:ext xmlns:c16="http://schemas.microsoft.com/office/drawing/2014/chart" uri="{C3380CC4-5D6E-409C-BE32-E72D297353CC}">
              <c16:uniqueId val="{00000006-229B-4DAA-8B5C-9373DF008B63}"/>
            </c:ext>
          </c:extLst>
        </c:ser>
        <c:ser>
          <c:idx val="3"/>
          <c:order val="3"/>
          <c:tx>
            <c:v>Bottom Quartile Benchmark</c:v>
          </c:tx>
          <c:spPr>
            <a:ln>
              <a:solidFill>
                <a:srgbClr val="FF0000"/>
              </a:solidFill>
            </a:ln>
          </c:spPr>
          <c:marker>
            <c:symbol val="none"/>
          </c:marker>
          <c:val>
            <c:numRef>
              <c:f>(Profile!$Q$118,Profile!$Q$119,Profile!$Q$120,Profile!$Q$121)</c:f>
              <c:numCache>
                <c:formatCode>General</c:formatCode>
                <c:ptCount val="4"/>
                <c:pt idx="0">
                  <c:v>78.624124804390377</c:v>
                </c:pt>
                <c:pt idx="1">
                  <c:v>78.624124804390377</c:v>
                </c:pt>
                <c:pt idx="2">
                  <c:v>78.624124804390377</c:v>
                </c:pt>
                <c:pt idx="3">
                  <c:v>78.624124804390377</c:v>
                </c:pt>
              </c:numCache>
            </c:numRef>
          </c:val>
          <c:smooth val="0"/>
          <c:extLst>
            <c:ext xmlns:c16="http://schemas.microsoft.com/office/drawing/2014/chart" uri="{C3380CC4-5D6E-409C-BE32-E72D297353CC}">
              <c16:uniqueId val="{00000007-229B-4DAA-8B5C-9373DF008B63}"/>
            </c:ext>
          </c:extLst>
        </c:ser>
        <c:dLbls>
          <c:showLegendKey val="0"/>
          <c:showVal val="0"/>
          <c:showCatName val="0"/>
          <c:showSerName val="0"/>
          <c:showPercent val="0"/>
          <c:showBubbleSize val="0"/>
        </c:dLbls>
        <c:marker val="1"/>
        <c:smooth val="0"/>
        <c:axId val="239640576"/>
        <c:axId val="239642112"/>
      </c:lineChart>
      <c:catAx>
        <c:axId val="239640576"/>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239642112"/>
        <c:crosses val="autoZero"/>
        <c:auto val="1"/>
        <c:lblAlgn val="ctr"/>
        <c:lblOffset val="100"/>
        <c:noMultiLvlLbl val="0"/>
      </c:catAx>
      <c:valAx>
        <c:axId val="239642112"/>
        <c:scaling>
          <c:orientation val="minMax"/>
        </c:scaling>
        <c:delete val="0"/>
        <c:axPos val="l"/>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239640576"/>
        <c:crosses val="autoZero"/>
        <c:crossBetween val="between"/>
      </c:valAx>
      <c:spPr>
        <a:solidFill>
          <a:srgbClr val="FFFFFF"/>
        </a:solidFill>
        <a:ln w="25400">
          <a:noFill/>
        </a:ln>
      </c:spPr>
    </c:plotArea>
    <c:legend>
      <c:legendPos val="r"/>
      <c:legendEntry>
        <c:idx val="0"/>
        <c:delete val="1"/>
      </c:legendEntry>
      <c:layout>
        <c:manualLayout>
          <c:xMode val="edge"/>
          <c:yMode val="edge"/>
          <c:x val="8.3660564101314519E-2"/>
          <c:y val="0.90819672131147544"/>
          <c:w val="0.82180752947677205"/>
          <c:h val="9.1803278688524559E-2"/>
        </c:manualLayout>
      </c:layout>
      <c:overlay val="0"/>
      <c:spPr>
        <a:noFill/>
        <a:ln w="25400">
          <a:noFill/>
        </a:ln>
      </c:spPr>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000000000000366" l="0.70000000000000062" r="0.70000000000000062" t="0.75000000000000366"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57151</xdr:colOff>
      <xdr:row>16</xdr:row>
      <xdr:rowOff>57152</xdr:rowOff>
    </xdr:from>
    <xdr:to>
      <xdr:col>38</xdr:col>
      <xdr:colOff>47625</xdr:colOff>
      <xdr:row>30</xdr:row>
      <xdr:rowOff>104776</xdr:rowOff>
    </xdr:to>
    <xdr:graphicFrame macro="">
      <xdr:nvGraphicFramePr>
        <xdr:cNvPr id="989264" name="Chart 3">
          <a:extLst>
            <a:ext uri="{FF2B5EF4-FFF2-40B4-BE49-F238E27FC236}">
              <a16:creationId xmlns:a16="http://schemas.microsoft.com/office/drawing/2014/main" id="{00000000-0008-0000-0000-00005018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85725</xdr:colOff>
      <xdr:row>44</xdr:row>
      <xdr:rowOff>28574</xdr:rowOff>
    </xdr:from>
    <xdr:to>
      <xdr:col>38</xdr:col>
      <xdr:colOff>76200</xdr:colOff>
      <xdr:row>56</xdr:row>
      <xdr:rowOff>123825</xdr:rowOff>
    </xdr:to>
    <xdr:graphicFrame macro="">
      <xdr:nvGraphicFramePr>
        <xdr:cNvPr id="989265" name="Chart 2">
          <a:extLst>
            <a:ext uri="{FF2B5EF4-FFF2-40B4-BE49-F238E27FC236}">
              <a16:creationId xmlns:a16="http://schemas.microsoft.com/office/drawing/2014/main" id="{00000000-0008-0000-0000-00005118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19050</xdr:colOff>
      <xdr:row>114</xdr:row>
      <xdr:rowOff>142875</xdr:rowOff>
    </xdr:from>
    <xdr:to>
      <xdr:col>38</xdr:col>
      <xdr:colOff>104775</xdr:colOff>
      <xdr:row>133</xdr:row>
      <xdr:rowOff>85725</xdr:rowOff>
    </xdr:to>
    <xdr:graphicFrame macro="">
      <xdr:nvGraphicFramePr>
        <xdr:cNvPr id="989266" name="Chart 2">
          <a:extLst>
            <a:ext uri="{FF2B5EF4-FFF2-40B4-BE49-F238E27FC236}">
              <a16:creationId xmlns:a16="http://schemas.microsoft.com/office/drawing/2014/main" id="{00000000-0008-0000-0000-00005218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0</xdr:colOff>
      <xdr:row>0</xdr:row>
      <xdr:rowOff>0</xdr:rowOff>
    </xdr:from>
    <xdr:ext cx="409575" cy="247650"/>
    <xdr:pic>
      <xdr:nvPicPr>
        <xdr:cNvPr id="6" name="Picture 4" descr="rsnlogo1.jpg">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647700"/>
          <a:ext cx="4095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57151</xdr:colOff>
      <xdr:row>16</xdr:row>
      <xdr:rowOff>19050</xdr:rowOff>
    </xdr:from>
    <xdr:to>
      <xdr:col>3</xdr:col>
      <xdr:colOff>28575</xdr:colOff>
      <xdr:row>17</xdr:row>
      <xdr:rowOff>123825</xdr:rowOff>
    </xdr:to>
    <xdr:sp macro="" textlink="D21">
      <xdr:nvSpPr>
        <xdr:cNvPr id="2" name="Rectangle 1">
          <a:extLst>
            <a:ext uri="{FF2B5EF4-FFF2-40B4-BE49-F238E27FC236}">
              <a16:creationId xmlns:a16="http://schemas.microsoft.com/office/drawing/2014/main" id="{00000000-0008-0000-0000-000002000000}"/>
            </a:ext>
          </a:extLst>
        </xdr:cNvPr>
        <xdr:cNvSpPr/>
      </xdr:nvSpPr>
      <xdr:spPr>
        <a:xfrm>
          <a:off x="104776" y="3038475"/>
          <a:ext cx="295274" cy="26670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fld id="{4BB4C60A-239C-4D12-BD42-53D8C4E5352D}" type="TxLink">
            <a:rPr lang="en-US" sz="1000" b="0" i="0" u="none" strike="noStrike" cap="none" spc="0">
              <a:ln>
                <a:noFill/>
              </a:ln>
              <a:solidFill>
                <a:srgbClr val="000000"/>
              </a:solidFill>
              <a:effectLst/>
              <a:latin typeface="Arial"/>
              <a:cs typeface="Arial"/>
            </a:rPr>
            <a:pPr algn="l"/>
            <a:t> </a:t>
          </a:fld>
          <a:endParaRPr lang="en-GB" sz="1100" b="0" i="0" u="none" cap="none" spc="0">
            <a:ln>
              <a:noFill/>
            </a:ln>
            <a:solidFill>
              <a:schemeClr val="tx1"/>
            </a:solidFill>
            <a:effectLst/>
            <a:latin typeface="Arial" panose="020B0604020202020204" pitchFamily="34" charset="0"/>
            <a:cs typeface="Arial" panose="020B0604020202020204" pitchFamily="34" charset="0"/>
          </a:endParaRPr>
        </a:p>
      </xdr:txBody>
    </xdr:sp>
    <xdr:clientData/>
  </xdr:twoCellAnchor>
  <xdr:twoCellAnchor>
    <xdr:from>
      <xdr:col>1</xdr:col>
      <xdr:colOff>123825</xdr:colOff>
      <xdr:row>43</xdr:row>
      <xdr:rowOff>66675</xdr:rowOff>
    </xdr:from>
    <xdr:to>
      <xdr:col>3</xdr:col>
      <xdr:colOff>95249</xdr:colOff>
      <xdr:row>45</xdr:row>
      <xdr:rowOff>9525</xdr:rowOff>
    </xdr:to>
    <xdr:sp macro="" textlink="D21">
      <xdr:nvSpPr>
        <xdr:cNvPr id="8" name="Rectangle 7">
          <a:extLst>
            <a:ext uri="{FF2B5EF4-FFF2-40B4-BE49-F238E27FC236}">
              <a16:creationId xmlns:a16="http://schemas.microsoft.com/office/drawing/2014/main" id="{00000000-0008-0000-0000-000008000000}"/>
            </a:ext>
          </a:extLst>
        </xdr:cNvPr>
        <xdr:cNvSpPr/>
      </xdr:nvSpPr>
      <xdr:spPr>
        <a:xfrm>
          <a:off x="171450" y="7458075"/>
          <a:ext cx="295274" cy="26670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fld id="{F1C8DFD4-087F-4F86-92F7-3CE9F906857C}" type="TxLink">
            <a:rPr lang="en-US" sz="1000" b="0" i="0" u="none" strike="noStrike" cap="none" spc="0">
              <a:ln>
                <a:noFill/>
              </a:ln>
              <a:solidFill>
                <a:srgbClr val="000000"/>
              </a:solidFill>
              <a:effectLst/>
              <a:latin typeface="Arial"/>
              <a:cs typeface="Arial"/>
            </a:rPr>
            <a:pPr algn="l"/>
            <a:t> </a:t>
          </a:fld>
          <a:endParaRPr lang="en-GB" sz="1100" b="0" i="0" u="none" cap="none" spc="0">
            <a:ln>
              <a:noFill/>
            </a:ln>
            <a:solidFill>
              <a:schemeClr val="tx1"/>
            </a:solidFill>
            <a:effectLst/>
            <a:latin typeface="Arial" panose="020B0604020202020204" pitchFamily="34" charset="0"/>
            <a:cs typeface="Arial" panose="020B0604020202020204" pitchFamily="34" charset="0"/>
          </a:endParaRPr>
        </a:p>
      </xdr:txBody>
    </xdr:sp>
    <xdr:clientData/>
  </xdr:twoCellAnchor>
  <xdr:twoCellAnchor>
    <xdr:from>
      <xdr:col>1</xdr:col>
      <xdr:colOff>66675</xdr:colOff>
      <xdr:row>114</xdr:row>
      <xdr:rowOff>19050</xdr:rowOff>
    </xdr:from>
    <xdr:to>
      <xdr:col>3</xdr:col>
      <xdr:colOff>38099</xdr:colOff>
      <xdr:row>115</xdr:row>
      <xdr:rowOff>133350</xdr:rowOff>
    </xdr:to>
    <xdr:sp macro="" textlink="D21">
      <xdr:nvSpPr>
        <xdr:cNvPr id="9" name="Rectangle 8">
          <a:extLst>
            <a:ext uri="{FF2B5EF4-FFF2-40B4-BE49-F238E27FC236}">
              <a16:creationId xmlns:a16="http://schemas.microsoft.com/office/drawing/2014/main" id="{00000000-0008-0000-0000-000009000000}"/>
            </a:ext>
          </a:extLst>
        </xdr:cNvPr>
        <xdr:cNvSpPr/>
      </xdr:nvSpPr>
      <xdr:spPr>
        <a:xfrm>
          <a:off x="114300" y="18573750"/>
          <a:ext cx="295274" cy="26670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fld id="{F995019D-F542-44B3-ACF6-F17BAA3220FE}" type="TxLink">
            <a:rPr lang="en-US" sz="1000" b="0" i="0" u="none" strike="noStrike" cap="none" spc="0">
              <a:ln>
                <a:noFill/>
              </a:ln>
              <a:solidFill>
                <a:srgbClr val="000000"/>
              </a:solidFill>
              <a:effectLst/>
              <a:latin typeface="Arial"/>
              <a:cs typeface="Arial"/>
            </a:rPr>
            <a:pPr algn="l"/>
            <a:t> </a:t>
          </a:fld>
          <a:endParaRPr lang="en-GB" sz="1100" b="0" i="0" u="none" cap="none" spc="0">
            <a:ln>
              <a:noFill/>
            </a:ln>
            <a:solidFill>
              <a:schemeClr val="tx1"/>
            </a:solidFill>
            <a:effectLst/>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jects\2007\NNM\Model%20Test%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Model"/>
      <sheetName val="Data"/>
      <sheetName val="YourGroup"/>
      <sheetName val="Macros"/>
      <sheetName val="Master"/>
      <sheetName val="Counties"/>
      <sheetName val="London"/>
      <sheetName val="MetUnit"/>
      <sheetName val="Districts"/>
    </sheetNames>
    <sheetDataSet>
      <sheetData sheetId="0">
        <row r="2">
          <cell r="U2" t="str">
            <v>E0101</v>
          </cell>
        </row>
        <row r="6">
          <cell r="L6" t="e">
            <v>#N/A</v>
          </cell>
        </row>
        <row r="7">
          <cell r="L7" t="e">
            <v>#N/A</v>
          </cell>
        </row>
        <row r="8">
          <cell r="L8" t="e">
            <v>#N/A</v>
          </cell>
        </row>
        <row r="9">
          <cell r="L9" t="e">
            <v>#N/A</v>
          </cell>
        </row>
        <row r="10">
          <cell r="L10" t="e">
            <v>#N/A</v>
          </cell>
        </row>
        <row r="11">
          <cell r="L11" t="e">
            <v>#N/A</v>
          </cell>
        </row>
        <row r="12">
          <cell r="L12" t="e">
            <v>#N/A</v>
          </cell>
        </row>
        <row r="13">
          <cell r="L13" t="e">
            <v>#N/A</v>
          </cell>
        </row>
        <row r="14">
          <cell r="L14" t="e">
            <v>#N/A</v>
          </cell>
        </row>
        <row r="15">
          <cell r="L15" t="e">
            <v>#N/A</v>
          </cell>
        </row>
        <row r="16">
          <cell r="L16" t="e">
            <v>#N/A</v>
          </cell>
        </row>
        <row r="17">
          <cell r="L17" t="e">
            <v>#N/A</v>
          </cell>
        </row>
        <row r="18">
          <cell r="L18" t="e">
            <v>#N/A</v>
          </cell>
        </row>
        <row r="19">
          <cell r="L19" t="e">
            <v>#N/A</v>
          </cell>
        </row>
        <row r="20">
          <cell r="L20" t="e">
            <v>#N/A</v>
          </cell>
        </row>
      </sheetData>
      <sheetData sheetId="1">
        <row r="119">
          <cell r="A119">
            <v>115</v>
          </cell>
          <cell r="AN119">
            <v>0</v>
          </cell>
          <cell r="AW119">
            <v>12.87</v>
          </cell>
        </row>
        <row r="120">
          <cell r="AN120">
            <v>0</v>
          </cell>
          <cell r="AW120">
            <v>8.36</v>
          </cell>
        </row>
        <row r="121">
          <cell r="AN121">
            <v>0</v>
          </cell>
          <cell r="AW121">
            <v>11.66</v>
          </cell>
        </row>
        <row r="122">
          <cell r="AN122">
            <v>0</v>
          </cell>
          <cell r="AW122">
            <v>15.06</v>
          </cell>
        </row>
        <row r="123">
          <cell r="AN123">
            <v>1</v>
          </cell>
          <cell r="AW123">
            <v>22.87</v>
          </cell>
        </row>
        <row r="124">
          <cell r="AN124">
            <v>0</v>
          </cell>
          <cell r="AW124">
            <v>21.61</v>
          </cell>
        </row>
        <row r="125">
          <cell r="AN125">
            <v>0</v>
          </cell>
          <cell r="AW125">
            <v>19.670000000000002</v>
          </cell>
        </row>
        <row r="126">
          <cell r="AN126">
            <v>1</v>
          </cell>
          <cell r="AW126">
            <v>17.41</v>
          </cell>
        </row>
        <row r="127">
          <cell r="AN127">
            <v>0</v>
          </cell>
          <cell r="AW127">
            <v>13.01</v>
          </cell>
        </row>
        <row r="128">
          <cell r="AN128">
            <v>0</v>
          </cell>
          <cell r="AW128">
            <v>28.47</v>
          </cell>
        </row>
        <row r="129">
          <cell r="AN129">
            <v>1</v>
          </cell>
          <cell r="AW129">
            <v>17.3</v>
          </cell>
        </row>
        <row r="130">
          <cell r="AN130">
            <v>1</v>
          </cell>
          <cell r="AW130">
            <v>14.33</v>
          </cell>
        </row>
        <row r="131">
          <cell r="AN131">
            <v>0</v>
          </cell>
          <cell r="AW131">
            <v>13.51</v>
          </cell>
        </row>
        <row r="132">
          <cell r="AN132">
            <v>1</v>
          </cell>
          <cell r="AW132">
            <v>10.039999999999999</v>
          </cell>
        </row>
        <row r="133">
          <cell r="AN133">
            <v>0</v>
          </cell>
          <cell r="AW133">
            <v>14.8</v>
          </cell>
        </row>
        <row r="134">
          <cell r="AN134">
            <v>0</v>
          </cell>
          <cell r="AW134">
            <v>10.76</v>
          </cell>
        </row>
        <row r="135">
          <cell r="AN135">
            <v>1</v>
          </cell>
          <cell r="AW135">
            <v>16.010000000000002</v>
          </cell>
        </row>
        <row r="136">
          <cell r="AN136">
            <v>0</v>
          </cell>
          <cell r="AW136">
            <v>21.8</v>
          </cell>
        </row>
        <row r="137">
          <cell r="AN137">
            <v>0</v>
          </cell>
          <cell r="AW137">
            <v>10.98</v>
          </cell>
        </row>
        <row r="138">
          <cell r="AN138">
            <v>1</v>
          </cell>
          <cell r="AW138">
            <v>18.46</v>
          </cell>
        </row>
        <row r="139">
          <cell r="AN139">
            <v>0</v>
          </cell>
          <cell r="AW139">
            <v>17.93</v>
          </cell>
        </row>
        <row r="140">
          <cell r="AN140">
            <v>0</v>
          </cell>
          <cell r="AW140">
            <v>15.97</v>
          </cell>
        </row>
        <row r="141">
          <cell r="AN141">
            <v>0</v>
          </cell>
          <cell r="AW141">
            <v>21.88</v>
          </cell>
        </row>
        <row r="142">
          <cell r="AN142">
            <v>1</v>
          </cell>
          <cell r="AW142">
            <v>14.03</v>
          </cell>
        </row>
        <row r="143">
          <cell r="AN143">
            <v>0</v>
          </cell>
          <cell r="AW143">
            <v>20.92</v>
          </cell>
        </row>
        <row r="144">
          <cell r="AN144">
            <v>0</v>
          </cell>
          <cell r="AW144">
            <v>10.77</v>
          </cell>
        </row>
        <row r="145">
          <cell r="AN145">
            <v>0</v>
          </cell>
          <cell r="AW145">
            <v>15.39</v>
          </cell>
        </row>
        <row r="146">
          <cell r="AN146">
            <v>0</v>
          </cell>
          <cell r="AW146">
            <v>15.76</v>
          </cell>
        </row>
        <row r="147">
          <cell r="AN147">
            <v>0</v>
          </cell>
          <cell r="AW147">
            <v>16.309999999999999</v>
          </cell>
        </row>
        <row r="148">
          <cell r="AN148">
            <v>0</v>
          </cell>
          <cell r="AW148">
            <v>15.04</v>
          </cell>
        </row>
        <row r="149">
          <cell r="AN149">
            <v>0</v>
          </cell>
          <cell r="AW149">
            <v>7.56</v>
          </cell>
        </row>
        <row r="150">
          <cell r="AN150">
            <v>0</v>
          </cell>
          <cell r="AW150">
            <v>14.41</v>
          </cell>
        </row>
        <row r="151">
          <cell r="AN151">
            <v>1</v>
          </cell>
          <cell r="AW151">
            <v>11.91</v>
          </cell>
        </row>
        <row r="152">
          <cell r="AN152">
            <v>0</v>
          </cell>
          <cell r="AW152">
            <v>10.56</v>
          </cell>
        </row>
        <row r="395">
          <cell r="BA395">
            <v>1</v>
          </cell>
          <cell r="BB395">
            <v>2</v>
          </cell>
          <cell r="BC395">
            <v>3</v>
          </cell>
          <cell r="BD395">
            <v>4</v>
          </cell>
          <cell r="BE395">
            <v>5</v>
          </cell>
          <cell r="BF395">
            <v>6</v>
          </cell>
          <cell r="BG395">
            <v>7</v>
          </cell>
          <cell r="BH395">
            <v>8</v>
          </cell>
          <cell r="BI395">
            <v>9</v>
          </cell>
          <cell r="BJ395">
            <v>10</v>
          </cell>
          <cell r="BK395">
            <v>11</v>
          </cell>
          <cell r="BL395">
            <v>12</v>
          </cell>
          <cell r="BM395">
            <v>13</v>
          </cell>
          <cell r="BN395">
            <v>14</v>
          </cell>
          <cell r="BO395">
            <v>15</v>
          </cell>
          <cell r="BP395">
            <v>16</v>
          </cell>
          <cell r="BQ395">
            <v>17</v>
          </cell>
          <cell r="BR395">
            <v>18</v>
          </cell>
          <cell r="BS395">
            <v>19</v>
          </cell>
          <cell r="BT395">
            <v>20</v>
          </cell>
          <cell r="BU395">
            <v>21</v>
          </cell>
          <cell r="BV395">
            <v>22</v>
          </cell>
          <cell r="BW395">
            <v>23</v>
          </cell>
          <cell r="BX395">
            <v>24</v>
          </cell>
          <cell r="BY395">
            <v>25</v>
          </cell>
          <cell r="BZ395">
            <v>26</v>
          </cell>
          <cell r="CA395">
            <v>27</v>
          </cell>
          <cell r="CB395">
            <v>28</v>
          </cell>
          <cell r="CC395">
            <v>29</v>
          </cell>
          <cell r="CD395">
            <v>30</v>
          </cell>
          <cell r="CE395">
            <v>31</v>
          </cell>
          <cell r="CF395">
            <v>32</v>
          </cell>
          <cell r="CG395">
            <v>33</v>
          </cell>
          <cell r="CH395">
            <v>34</v>
          </cell>
          <cell r="CI395">
            <v>35</v>
          </cell>
          <cell r="CJ395">
            <v>36</v>
          </cell>
          <cell r="CK395">
            <v>37</v>
          </cell>
          <cell r="CL395">
            <v>38</v>
          </cell>
          <cell r="CM395">
            <v>39</v>
          </cell>
          <cell r="CN395">
            <v>40</v>
          </cell>
          <cell r="CO395">
            <v>41</v>
          </cell>
          <cell r="CP395">
            <v>42</v>
          </cell>
          <cell r="CQ395">
            <v>43</v>
          </cell>
          <cell r="CR395">
            <v>44</v>
          </cell>
          <cell r="CS395">
            <v>45</v>
          </cell>
          <cell r="CT395">
            <v>46</v>
          </cell>
          <cell r="CU395">
            <v>47</v>
          </cell>
        </row>
      </sheetData>
      <sheetData sheetId="2">
        <row r="2">
          <cell r="K2">
            <v>0</v>
          </cell>
        </row>
      </sheetData>
      <sheetData sheetId="3">
        <row r="1">
          <cell r="B1" t="b">
            <v>1</v>
          </cell>
        </row>
      </sheetData>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theme="0"/>
  </sheetPr>
  <dimension ref="B1:AV413"/>
  <sheetViews>
    <sheetView showGridLines="0" tabSelected="1" zoomScaleNormal="100" workbookViewId="0">
      <selection activeCell="W6" sqref="W6:AM10"/>
    </sheetView>
  </sheetViews>
  <sheetFormatPr defaultColWidth="0" defaultRowHeight="13.2" zeroHeight="1"/>
  <cols>
    <col min="1" max="1" width="0.6640625" style="219" customWidth="1"/>
    <col min="2" max="39" width="2.44140625" style="219" customWidth="1"/>
    <col min="40" max="40" width="2.33203125" style="219" customWidth="1"/>
    <col min="41" max="41" width="3" style="219" customWidth="1"/>
    <col min="42" max="16384" width="0" style="219" hidden="1"/>
  </cols>
  <sheetData>
    <row r="1" spans="2:40" s="249" customFormat="1" ht="19.5" customHeight="1">
      <c r="B1" s="297" t="str">
        <f>VLOOKUP('Filtered Data'!D1,'Filtered Data'!L1:O6,3,FALSE)</f>
        <v>District</v>
      </c>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row>
    <row r="2" spans="2:40" s="249" customFormat="1"/>
    <row r="3" spans="2:40" s="249" customFormat="1" ht="19.5" customHeight="1">
      <c r="B3" s="311" t="str">
        <f>Data!B3</f>
        <v>Walking Statistics</v>
      </c>
      <c r="C3" s="311"/>
      <c r="D3" s="311"/>
      <c r="E3" s="311"/>
      <c r="F3" s="311"/>
      <c r="G3" s="311"/>
      <c r="H3" s="311"/>
      <c r="I3" s="311"/>
      <c r="J3" s="311"/>
      <c r="K3" s="311"/>
      <c r="L3" s="311"/>
      <c r="M3" s="311"/>
      <c r="N3" s="311"/>
      <c r="O3" s="311"/>
      <c r="P3" s="311"/>
      <c r="Q3" s="311"/>
      <c r="R3" s="311"/>
      <c r="S3" s="311"/>
      <c r="T3" s="311"/>
      <c r="U3" s="311"/>
      <c r="V3" s="311"/>
      <c r="W3" s="311"/>
      <c r="X3" s="311"/>
      <c r="Y3" s="311"/>
      <c r="Z3" s="311"/>
      <c r="AA3" s="311"/>
      <c r="AB3" s="311"/>
      <c r="AC3" s="311"/>
      <c r="AD3" s="311"/>
      <c r="AE3" s="311"/>
      <c r="AF3" s="311"/>
      <c r="AG3" s="311"/>
      <c r="AH3" s="311"/>
      <c r="AI3" s="311"/>
      <c r="AJ3" s="311"/>
      <c r="AK3" s="311"/>
      <c r="AL3" s="311"/>
      <c r="AM3" s="311"/>
      <c r="AN3" s="311"/>
    </row>
    <row r="4" spans="2:40" s="249" customFormat="1">
      <c r="D4" s="250"/>
      <c r="E4" s="250"/>
    </row>
    <row r="5" spans="2:40" s="249" customFormat="1" ht="15.75" customHeight="1">
      <c r="B5" s="293" t="s">
        <v>334</v>
      </c>
      <c r="C5" s="293"/>
      <c r="D5" s="293"/>
      <c r="E5" s="293"/>
      <c r="J5" s="347" t="s">
        <v>6</v>
      </c>
      <c r="K5" s="347"/>
      <c r="L5" s="347"/>
      <c r="M5" s="347"/>
      <c r="N5" s="347"/>
      <c r="O5" s="347"/>
      <c r="P5" s="347"/>
      <c r="Q5" s="347"/>
      <c r="R5" s="347"/>
      <c r="S5" s="347"/>
      <c r="W5" s="326" t="s">
        <v>361</v>
      </c>
      <c r="X5" s="327"/>
      <c r="Y5" s="327"/>
      <c r="Z5" s="327"/>
      <c r="AA5" s="327"/>
      <c r="AB5" s="327"/>
      <c r="AC5" s="327"/>
      <c r="AD5" s="327"/>
      <c r="AE5" s="327"/>
      <c r="AF5" s="327"/>
      <c r="AG5" s="327"/>
      <c r="AH5" s="327"/>
      <c r="AI5" s="327"/>
      <c r="AJ5" s="327"/>
      <c r="AK5" s="327"/>
      <c r="AL5" s="327"/>
      <c r="AM5" s="328"/>
    </row>
    <row r="6" spans="2:40" s="249" customFormat="1" ht="17.25" customHeight="1">
      <c r="J6" s="347"/>
      <c r="K6" s="347"/>
      <c r="L6" s="347"/>
      <c r="M6" s="347"/>
      <c r="N6" s="347"/>
      <c r="O6" s="347"/>
      <c r="P6" s="347"/>
      <c r="Q6" s="347"/>
      <c r="R6" s="347"/>
      <c r="S6" s="347"/>
      <c r="W6" s="329" t="s">
        <v>900</v>
      </c>
      <c r="X6" s="330"/>
      <c r="Y6" s="330"/>
      <c r="Z6" s="330"/>
      <c r="AA6" s="330"/>
      <c r="AB6" s="330"/>
      <c r="AC6" s="330"/>
      <c r="AD6" s="330"/>
      <c r="AE6" s="330"/>
      <c r="AF6" s="330"/>
      <c r="AG6" s="330"/>
      <c r="AH6" s="330"/>
      <c r="AI6" s="330"/>
      <c r="AJ6" s="330"/>
      <c r="AK6" s="330"/>
      <c r="AL6" s="330"/>
      <c r="AM6" s="331"/>
    </row>
    <row r="7" spans="2:40" s="249" customFormat="1" ht="12.75" customHeight="1">
      <c r="W7" s="329"/>
      <c r="X7" s="330"/>
      <c r="Y7" s="330"/>
      <c r="Z7" s="330"/>
      <c r="AA7" s="330"/>
      <c r="AB7" s="330"/>
      <c r="AC7" s="330"/>
      <c r="AD7" s="330"/>
      <c r="AE7" s="330"/>
      <c r="AF7" s="330"/>
      <c r="AG7" s="330"/>
      <c r="AH7" s="330"/>
      <c r="AI7" s="330"/>
      <c r="AJ7" s="330"/>
      <c r="AK7" s="330"/>
      <c r="AL7" s="330"/>
      <c r="AM7" s="331"/>
    </row>
    <row r="8" spans="2:40" s="249" customFormat="1" ht="12.75" customHeight="1">
      <c r="B8" s="293" t="str">
        <f>IF('Filtered Data'!D1="L","County:","Type of Authority:")</f>
        <v>Type of Authority:</v>
      </c>
      <c r="C8" s="293"/>
      <c r="D8" s="293"/>
      <c r="E8" s="293"/>
      <c r="F8" s="293"/>
      <c r="G8" s="293"/>
      <c r="H8" s="293"/>
      <c r="I8" s="293"/>
      <c r="J8" s="250" t="str">
        <f>IF('Filtered Data'!D1="L",'Filtered Data'!I3,VLOOKUP('Filtered Data'!D1,'Filtered Data'!L1:O5,3,FALSE))</f>
        <v>District</v>
      </c>
      <c r="K8" s="250"/>
      <c r="L8" s="250"/>
      <c r="M8" s="250"/>
      <c r="N8" s="250"/>
      <c r="O8" s="250"/>
      <c r="P8" s="250"/>
      <c r="Q8" s="250"/>
      <c r="R8" s="250"/>
      <c r="W8" s="329"/>
      <c r="X8" s="330"/>
      <c r="Y8" s="330"/>
      <c r="Z8" s="330"/>
      <c r="AA8" s="330"/>
      <c r="AB8" s="330"/>
      <c r="AC8" s="330"/>
      <c r="AD8" s="330"/>
      <c r="AE8" s="330"/>
      <c r="AF8" s="330"/>
      <c r="AG8" s="330"/>
      <c r="AH8" s="330"/>
      <c r="AI8" s="330"/>
      <c r="AJ8" s="330"/>
      <c r="AK8" s="330"/>
      <c r="AL8" s="330"/>
      <c r="AM8" s="331"/>
    </row>
    <row r="9" spans="2:40" s="249" customFormat="1" ht="12.75" customHeight="1">
      <c r="B9" s="293" t="str">
        <f>IF('Filtered Data'!D1="L","Rural Classification:","Region:")</f>
        <v>Region:</v>
      </c>
      <c r="C9" s="293"/>
      <c r="D9" s="293"/>
      <c r="E9" s="293"/>
      <c r="F9" s="293"/>
      <c r="G9" s="293"/>
      <c r="H9" s="293"/>
      <c r="I9" s="293"/>
      <c r="J9" s="250" t="str">
        <f>IF('Filtered Data'!D1="L",'Filtered Data'!H3,'Filtered Data'!G3)</f>
        <v>North West</v>
      </c>
      <c r="K9" s="250"/>
      <c r="L9" s="250"/>
      <c r="M9" s="250"/>
      <c r="N9" s="250"/>
      <c r="O9" s="250"/>
      <c r="P9" s="250"/>
      <c r="Q9" s="250"/>
      <c r="R9" s="250"/>
      <c r="W9" s="329"/>
      <c r="X9" s="330"/>
      <c r="Y9" s="330"/>
      <c r="Z9" s="330"/>
      <c r="AA9" s="330"/>
      <c r="AB9" s="330"/>
      <c r="AC9" s="330"/>
      <c r="AD9" s="330"/>
      <c r="AE9" s="330"/>
      <c r="AF9" s="330"/>
      <c r="AG9" s="330"/>
      <c r="AH9" s="330"/>
      <c r="AI9" s="330"/>
      <c r="AJ9" s="330"/>
      <c r="AK9" s="330"/>
      <c r="AL9" s="330"/>
      <c r="AM9" s="331"/>
    </row>
    <row r="10" spans="2:40" s="249" customFormat="1" ht="12.75" customHeight="1">
      <c r="B10" s="293" t="str">
        <f>IF('Filtered Data'!D1="L","",IF('Filtered Data'!D1="SC","Rural Classification:",IF('Filtered Data'!D1="UA","Rural Classification:","County:")))</f>
        <v>County:</v>
      </c>
      <c r="C10" s="293"/>
      <c r="D10" s="293"/>
      <c r="E10" s="293"/>
      <c r="F10" s="293"/>
      <c r="G10" s="293"/>
      <c r="H10" s="293"/>
      <c r="I10" s="293"/>
      <c r="J10" s="293" t="str">
        <f>IF('Filtered Data'!D1="L","",IF('Filtered Data'!D1="MD",'Filtered Data'!I3,IF('Filtered Data'!D1="SD",'Filtered Data'!I3,'Filtered Data'!H3)))</f>
        <v>Cumbria</v>
      </c>
      <c r="K10" s="293"/>
      <c r="L10" s="293"/>
      <c r="M10" s="293"/>
      <c r="N10" s="293"/>
      <c r="O10" s="293"/>
      <c r="P10" s="293"/>
      <c r="Q10" s="293"/>
      <c r="R10" s="293"/>
      <c r="W10" s="329"/>
      <c r="X10" s="330"/>
      <c r="Y10" s="330"/>
      <c r="Z10" s="330"/>
      <c r="AA10" s="330"/>
      <c r="AB10" s="330"/>
      <c r="AC10" s="330"/>
      <c r="AD10" s="330"/>
      <c r="AE10" s="330"/>
      <c r="AF10" s="330"/>
      <c r="AG10" s="330"/>
      <c r="AH10" s="330"/>
      <c r="AI10" s="330"/>
      <c r="AJ10" s="330"/>
      <c r="AK10" s="330"/>
      <c r="AL10" s="330"/>
      <c r="AM10" s="331"/>
    </row>
    <row r="11" spans="2:40" s="249" customFormat="1" ht="12.75" customHeight="1">
      <c r="B11" s="293" t="str">
        <f>IF('Filtered Data'!D1="L","",IF('Filtered Data'!D1="SC","",IF('Filtered Data'!D1="UA","","Rural Classification:")))</f>
        <v>Rural Classification:</v>
      </c>
      <c r="C11" s="293"/>
      <c r="D11" s="293"/>
      <c r="E11" s="293"/>
      <c r="F11" s="293"/>
      <c r="G11" s="293"/>
      <c r="H11" s="293"/>
      <c r="I11" s="293"/>
      <c r="J11" s="250" t="str">
        <f>IF('Filtered Data'!D1="MD",'Filtered Data'!H3,IF('Filtered Data'!D1="SD",'Filtered Data'!H3,""))</f>
        <v xml:space="preserve">Mainly Rural (rural including hub towns &gt;=80%) </v>
      </c>
      <c r="K11" s="250"/>
      <c r="W11" s="335" t="s">
        <v>364</v>
      </c>
      <c r="X11" s="336"/>
      <c r="Y11" s="336"/>
      <c r="Z11" s="336"/>
      <c r="AA11" s="336"/>
      <c r="AB11" s="336"/>
      <c r="AC11" s="336"/>
      <c r="AD11" s="336"/>
      <c r="AE11" s="336"/>
      <c r="AF11" s="336"/>
      <c r="AG11" s="336"/>
      <c r="AH11" s="336"/>
      <c r="AI11" s="336"/>
      <c r="AJ11" s="336"/>
      <c r="AK11" s="336"/>
      <c r="AL11" s="336"/>
      <c r="AM11" s="337"/>
    </row>
    <row r="12" spans="2:40" s="249" customFormat="1" ht="12.75" customHeight="1">
      <c r="W12" s="312" t="s">
        <v>905</v>
      </c>
      <c r="X12" s="313"/>
      <c r="Y12" s="313"/>
      <c r="Z12" s="313"/>
      <c r="AA12" s="313"/>
      <c r="AB12" s="313"/>
      <c r="AC12" s="313"/>
      <c r="AD12" s="313"/>
      <c r="AE12" s="313"/>
      <c r="AF12" s="313"/>
      <c r="AG12" s="313"/>
      <c r="AH12" s="313"/>
      <c r="AI12" s="313"/>
      <c r="AJ12" s="313"/>
      <c r="AK12" s="313"/>
      <c r="AL12" s="313"/>
      <c r="AM12" s="314"/>
    </row>
    <row r="13" spans="2:40" s="249" customFormat="1" ht="12.75" customHeight="1">
      <c r="B13" s="250"/>
      <c r="C13" s="250"/>
      <c r="D13" s="250"/>
      <c r="E13" s="250"/>
      <c r="F13" s="250"/>
      <c r="G13" s="250"/>
      <c r="H13" s="250"/>
      <c r="I13" s="250"/>
      <c r="J13" s="250"/>
      <c r="K13" s="250"/>
      <c r="L13" s="250"/>
      <c r="M13" s="250"/>
      <c r="N13" s="250"/>
      <c r="O13" s="250"/>
      <c r="P13" s="250"/>
      <c r="Q13" s="250"/>
      <c r="R13" s="250"/>
      <c r="W13" s="335" t="s">
        <v>365</v>
      </c>
      <c r="X13" s="336"/>
      <c r="Y13" s="336"/>
      <c r="Z13" s="336"/>
      <c r="AA13" s="336"/>
      <c r="AB13" s="336"/>
      <c r="AC13" s="336"/>
      <c r="AD13" s="336"/>
      <c r="AE13" s="336"/>
      <c r="AF13" s="336"/>
      <c r="AG13" s="336"/>
      <c r="AH13" s="336"/>
      <c r="AI13" s="336"/>
      <c r="AJ13" s="336"/>
      <c r="AK13" s="336"/>
      <c r="AL13" s="336"/>
      <c r="AM13" s="337"/>
    </row>
    <row r="14" spans="2:40" s="249" customFormat="1" ht="25.5" customHeight="1">
      <c r="B14" s="250"/>
      <c r="C14" s="250"/>
      <c r="D14" s="250"/>
      <c r="E14" s="250"/>
      <c r="F14" s="250"/>
      <c r="G14" s="250"/>
      <c r="H14" s="250"/>
      <c r="I14" s="250"/>
      <c r="J14" s="250"/>
      <c r="K14" s="250"/>
      <c r="L14" s="250"/>
      <c r="M14" s="250"/>
      <c r="N14" s="250"/>
      <c r="O14" s="250"/>
      <c r="P14" s="250"/>
      <c r="Q14" s="250"/>
      <c r="R14" s="250"/>
      <c r="W14" s="332" t="str">
        <f>HLOOKUP(W6,Data!4:6,3,FALSE)</f>
        <v>Department for Transport statistics</v>
      </c>
      <c r="X14" s="333"/>
      <c r="Y14" s="333"/>
      <c r="Z14" s="333"/>
      <c r="AA14" s="333"/>
      <c r="AB14" s="333"/>
      <c r="AC14" s="333"/>
      <c r="AD14" s="333"/>
      <c r="AE14" s="333"/>
      <c r="AF14" s="333"/>
      <c r="AG14" s="333"/>
      <c r="AH14" s="333"/>
      <c r="AI14" s="333"/>
      <c r="AJ14" s="333"/>
      <c r="AK14" s="333"/>
      <c r="AL14" s="333"/>
      <c r="AM14" s="334"/>
    </row>
    <row r="15" spans="2:40" s="249" customFormat="1"/>
    <row r="16" spans="2:40">
      <c r="B16" s="340" t="str">
        <f>W6&amp;" - "&amp;W12</f>
        <v>Proportion of residents who walk (for at least 10 minutes) at least once a month - 2018/19</v>
      </c>
      <c r="C16" s="341"/>
      <c r="D16" s="341"/>
      <c r="E16" s="341"/>
      <c r="F16" s="341"/>
      <c r="G16" s="341"/>
      <c r="H16" s="341"/>
      <c r="I16" s="341"/>
      <c r="J16" s="341"/>
      <c r="K16" s="341"/>
      <c r="L16" s="341"/>
      <c r="M16" s="341"/>
      <c r="N16" s="341"/>
      <c r="O16" s="341"/>
      <c r="P16" s="341"/>
      <c r="Q16" s="341"/>
      <c r="R16" s="341"/>
      <c r="S16" s="341"/>
      <c r="T16" s="341"/>
      <c r="U16" s="341"/>
      <c r="V16" s="341"/>
      <c r="W16" s="341"/>
      <c r="X16" s="341"/>
      <c r="Y16" s="341"/>
      <c r="Z16" s="341"/>
      <c r="AA16" s="341"/>
      <c r="AB16" s="341"/>
      <c r="AC16" s="341"/>
      <c r="AD16" s="341"/>
      <c r="AE16" s="341"/>
      <c r="AF16" s="341"/>
      <c r="AG16" s="341"/>
      <c r="AH16" s="341"/>
      <c r="AI16" s="341"/>
      <c r="AJ16" s="341"/>
      <c r="AK16" s="341"/>
      <c r="AL16" s="341"/>
      <c r="AM16" s="342"/>
    </row>
    <row r="17" spans="2:42">
      <c r="B17" s="343"/>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c r="AJ17" s="344"/>
      <c r="AK17" s="344"/>
      <c r="AL17" s="344"/>
      <c r="AM17" s="345"/>
      <c r="AP17" s="220"/>
    </row>
    <row r="18" spans="2:42">
      <c r="B18" s="221"/>
      <c r="C18" s="222"/>
      <c r="D18" s="223"/>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2"/>
      <c r="AI18" s="222"/>
      <c r="AJ18" s="222"/>
      <c r="AK18" s="222"/>
      <c r="AL18" s="222"/>
      <c r="AM18" s="224"/>
      <c r="AP18" s="220"/>
    </row>
    <row r="19" spans="2:42">
      <c r="B19" s="221"/>
      <c r="C19" s="222"/>
      <c r="D19" s="223"/>
      <c r="E19" s="223"/>
      <c r="F19" s="223"/>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2"/>
      <c r="AI19" s="222"/>
      <c r="AJ19" s="222"/>
      <c r="AK19" s="222"/>
      <c r="AL19" s="222"/>
      <c r="AM19" s="224"/>
      <c r="AP19" s="220"/>
    </row>
    <row r="20" spans="2:42">
      <c r="B20" s="221"/>
      <c r="C20" s="222"/>
      <c r="D20" s="223"/>
      <c r="E20" s="223"/>
      <c r="F20" s="223"/>
      <c r="G20" s="223"/>
      <c r="H20" s="223"/>
      <c r="I20" s="223"/>
      <c r="J20" s="223"/>
      <c r="K20" s="223"/>
      <c r="L20" s="223"/>
      <c r="M20" s="223"/>
      <c r="N20" s="223"/>
      <c r="O20" s="223"/>
      <c r="P20" s="223"/>
      <c r="Q20" s="223"/>
      <c r="R20" s="223"/>
      <c r="S20" s="223"/>
      <c r="T20" s="223"/>
      <c r="U20" s="223"/>
      <c r="V20" s="223"/>
      <c r="W20" s="223"/>
      <c r="X20" s="223"/>
      <c r="Y20" s="223"/>
      <c r="Z20" s="223"/>
      <c r="AA20" s="223"/>
      <c r="AB20" s="223"/>
      <c r="AC20" s="223"/>
      <c r="AD20" s="223"/>
      <c r="AE20" s="223"/>
      <c r="AF20" s="223"/>
      <c r="AG20" s="223"/>
      <c r="AH20" s="222"/>
      <c r="AI20" s="222"/>
      <c r="AJ20" s="222"/>
      <c r="AK20" s="222"/>
      <c r="AL20" s="222"/>
      <c r="AM20" s="224"/>
      <c r="AP20" s="220"/>
    </row>
    <row r="21" spans="2:42">
      <c r="B21" s="221"/>
      <c r="C21" s="222"/>
      <c r="D21" s="223" t="str">
        <f>IF('Filtered Data'!D8=".","",'Filtered Data'!D8)</f>
        <v/>
      </c>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2"/>
      <c r="AI21" s="222"/>
      <c r="AJ21" s="222"/>
      <c r="AK21" s="222"/>
      <c r="AL21" s="222"/>
      <c r="AM21" s="224"/>
      <c r="AP21" s="220"/>
    </row>
    <row r="22" spans="2:42">
      <c r="B22" s="221"/>
      <c r="C22" s="222"/>
      <c r="D22" s="223" t="str">
        <f>'Filtered Data'!D8</f>
        <v>.</v>
      </c>
      <c r="E22" s="223"/>
      <c r="F22" s="223"/>
      <c r="G22" s="223"/>
      <c r="H22" s="223"/>
      <c r="I22" s="223"/>
      <c r="J22" s="223"/>
      <c r="K22" s="223"/>
      <c r="L22" s="223"/>
      <c r="M22" s="223"/>
      <c r="N22" s="223"/>
      <c r="O22" s="223"/>
      <c r="P22" s="223"/>
      <c r="Q22" s="223"/>
      <c r="R22" s="223"/>
      <c r="S22" s="223"/>
      <c r="T22" s="223"/>
      <c r="U22" s="223"/>
      <c r="V22" s="223"/>
      <c r="W22" s="223"/>
      <c r="X22" s="223"/>
      <c r="Y22" s="223"/>
      <c r="Z22" s="223"/>
      <c r="AA22" s="223"/>
      <c r="AB22" s="223"/>
      <c r="AC22" s="223"/>
      <c r="AD22" s="223"/>
      <c r="AE22" s="223"/>
      <c r="AF22" s="223"/>
      <c r="AG22" s="223"/>
      <c r="AH22" s="222"/>
      <c r="AI22" s="222"/>
      <c r="AJ22" s="222"/>
      <c r="AK22" s="222"/>
      <c r="AL22" s="222"/>
      <c r="AM22" s="224"/>
      <c r="AP22" s="220"/>
    </row>
    <row r="23" spans="2:42">
      <c r="B23" s="221"/>
      <c r="C23" s="222"/>
      <c r="D23" s="223"/>
      <c r="E23" s="223"/>
      <c r="F23" s="223"/>
      <c r="G23" s="223"/>
      <c r="H23" s="223"/>
      <c r="I23" s="223"/>
      <c r="J23" s="223"/>
      <c r="K23" s="223"/>
      <c r="L23" s="223"/>
      <c r="M23" s="223"/>
      <c r="N23" s="223"/>
      <c r="O23" s="223"/>
      <c r="P23" s="223"/>
      <c r="Q23" s="223"/>
      <c r="R23" s="223"/>
      <c r="S23" s="223"/>
      <c r="T23" s="223"/>
      <c r="U23" s="223"/>
      <c r="V23" s="223"/>
      <c r="W23" s="223"/>
      <c r="X23" s="223"/>
      <c r="Y23" s="223"/>
      <c r="Z23" s="223"/>
      <c r="AA23" s="223"/>
      <c r="AB23" s="223"/>
      <c r="AC23" s="223"/>
      <c r="AD23" s="223"/>
      <c r="AE23" s="223"/>
      <c r="AF23" s="223"/>
      <c r="AG23" s="223"/>
      <c r="AH23" s="222"/>
      <c r="AI23" s="222"/>
      <c r="AJ23" s="222"/>
      <c r="AK23" s="222"/>
      <c r="AL23" s="222"/>
      <c r="AM23" s="224"/>
      <c r="AP23" s="220"/>
    </row>
    <row r="24" spans="2:42">
      <c r="B24" s="221"/>
      <c r="C24" s="222"/>
      <c r="D24" s="223"/>
      <c r="E24" s="223"/>
      <c r="F24" s="223"/>
      <c r="G24" s="223"/>
      <c r="H24" s="223"/>
      <c r="I24" s="223"/>
      <c r="J24" s="223"/>
      <c r="K24" s="223"/>
      <c r="L24" s="223"/>
      <c r="M24" s="223"/>
      <c r="N24" s="223"/>
      <c r="O24" s="223"/>
      <c r="P24" s="223"/>
      <c r="Q24" s="223"/>
      <c r="R24" s="223"/>
      <c r="S24" s="223"/>
      <c r="T24" s="223"/>
      <c r="U24" s="223"/>
      <c r="V24" s="223"/>
      <c r="W24" s="223"/>
      <c r="X24" s="223"/>
      <c r="Y24" s="223"/>
      <c r="Z24" s="223"/>
      <c r="AA24" s="223"/>
      <c r="AB24" s="223"/>
      <c r="AC24" s="223"/>
      <c r="AD24" s="223"/>
      <c r="AE24" s="223"/>
      <c r="AF24" s="223"/>
      <c r="AG24" s="223"/>
      <c r="AH24" s="222"/>
      <c r="AI24" s="222"/>
      <c r="AJ24" s="222"/>
      <c r="AK24" s="222"/>
      <c r="AL24" s="222"/>
      <c r="AM24" s="224"/>
      <c r="AP24" s="220"/>
    </row>
    <row r="25" spans="2:42">
      <c r="B25" s="221"/>
      <c r="C25" s="222"/>
      <c r="D25" s="223"/>
      <c r="E25" s="223"/>
      <c r="F25" s="223"/>
      <c r="G25" s="223"/>
      <c r="H25" s="223"/>
      <c r="I25" s="223"/>
      <c r="J25" s="223"/>
      <c r="K25" s="223"/>
      <c r="L25" s="223"/>
      <c r="M25" s="223"/>
      <c r="N25" s="223"/>
      <c r="O25" s="223"/>
      <c r="P25" s="223"/>
      <c r="Q25" s="223"/>
      <c r="R25" s="223"/>
      <c r="S25" s="223"/>
      <c r="T25" s="223"/>
      <c r="U25" s="223"/>
      <c r="V25" s="223"/>
      <c r="W25" s="223"/>
      <c r="X25" s="223"/>
      <c r="Y25" s="223"/>
      <c r="Z25" s="223"/>
      <c r="AA25" s="223"/>
      <c r="AB25" s="223"/>
      <c r="AC25" s="223"/>
      <c r="AD25" s="223"/>
      <c r="AE25" s="223"/>
      <c r="AF25" s="223"/>
      <c r="AG25" s="223"/>
      <c r="AH25" s="222"/>
      <c r="AI25" s="222"/>
      <c r="AJ25" s="222"/>
      <c r="AK25" s="222"/>
      <c r="AL25" s="222"/>
      <c r="AM25" s="224"/>
      <c r="AP25" s="220"/>
    </row>
    <row r="26" spans="2:42">
      <c r="B26" s="221"/>
      <c r="C26" s="222"/>
      <c r="D26" s="223"/>
      <c r="E26" s="223"/>
      <c r="F26" s="223"/>
      <c r="G26" s="223"/>
      <c r="H26" s="223"/>
      <c r="I26" s="223"/>
      <c r="J26" s="223"/>
      <c r="K26" s="223"/>
      <c r="L26" s="223"/>
      <c r="M26" s="223"/>
      <c r="N26" s="223"/>
      <c r="O26" s="223"/>
      <c r="P26" s="223"/>
      <c r="Q26" s="223"/>
      <c r="R26" s="223"/>
      <c r="S26" s="223"/>
      <c r="T26" s="223"/>
      <c r="U26" s="223"/>
      <c r="V26" s="223"/>
      <c r="W26" s="223"/>
      <c r="X26" s="223"/>
      <c r="Y26" s="223"/>
      <c r="Z26" s="223"/>
      <c r="AA26" s="223"/>
      <c r="AB26" s="223"/>
      <c r="AC26" s="223"/>
      <c r="AD26" s="223"/>
      <c r="AE26" s="223"/>
      <c r="AF26" s="223"/>
      <c r="AG26" s="223"/>
      <c r="AH26" s="222"/>
      <c r="AI26" s="222"/>
      <c r="AJ26" s="222"/>
      <c r="AK26" s="222"/>
      <c r="AL26" s="222"/>
      <c r="AM26" s="224"/>
      <c r="AP26" s="220"/>
    </row>
    <row r="27" spans="2:42">
      <c r="B27" s="221"/>
      <c r="C27" s="222"/>
      <c r="D27" s="223"/>
      <c r="E27" s="223"/>
      <c r="F27" s="223"/>
      <c r="G27" s="223"/>
      <c r="H27" s="223"/>
      <c r="I27" s="223"/>
      <c r="J27" s="223"/>
      <c r="K27" s="223"/>
      <c r="L27" s="223"/>
      <c r="M27" s="223"/>
      <c r="N27" s="223"/>
      <c r="O27" s="223"/>
      <c r="P27" s="223"/>
      <c r="Q27" s="223"/>
      <c r="R27" s="223"/>
      <c r="S27" s="223"/>
      <c r="T27" s="223"/>
      <c r="U27" s="223"/>
      <c r="V27" s="223"/>
      <c r="W27" s="223"/>
      <c r="X27" s="223"/>
      <c r="Y27" s="223"/>
      <c r="Z27" s="223"/>
      <c r="AA27" s="223"/>
      <c r="AB27" s="223"/>
      <c r="AC27" s="223"/>
      <c r="AD27" s="223"/>
      <c r="AE27" s="223"/>
      <c r="AF27" s="223"/>
      <c r="AG27" s="223"/>
      <c r="AH27" s="222"/>
      <c r="AI27" s="222"/>
      <c r="AJ27" s="222"/>
      <c r="AK27" s="222"/>
      <c r="AL27" s="222"/>
      <c r="AM27" s="224"/>
      <c r="AP27" s="220"/>
    </row>
    <row r="28" spans="2:42">
      <c r="B28" s="221"/>
      <c r="C28" s="222"/>
      <c r="D28" s="223"/>
      <c r="E28" s="223"/>
      <c r="F28" s="223"/>
      <c r="G28" s="223"/>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2"/>
      <c r="AI28" s="222"/>
      <c r="AJ28" s="222"/>
      <c r="AK28" s="222"/>
      <c r="AL28" s="222"/>
      <c r="AM28" s="224"/>
      <c r="AP28" s="220"/>
    </row>
    <row r="29" spans="2:42">
      <c r="B29" s="221"/>
      <c r="C29" s="222"/>
      <c r="D29" s="223"/>
      <c r="E29" s="223"/>
      <c r="F29" s="223"/>
      <c r="G29" s="223"/>
      <c r="H29" s="223"/>
      <c r="I29" s="223"/>
      <c r="J29" s="223"/>
      <c r="K29" s="223"/>
      <c r="L29" s="223"/>
      <c r="M29" s="223"/>
      <c r="N29" s="223"/>
      <c r="O29" s="223"/>
      <c r="P29" s="223"/>
      <c r="Q29" s="223"/>
      <c r="R29" s="223"/>
      <c r="S29" s="223"/>
      <c r="T29" s="223"/>
      <c r="U29" s="223"/>
      <c r="V29" s="223"/>
      <c r="W29" s="223"/>
      <c r="X29" s="223"/>
      <c r="Y29" s="223"/>
      <c r="Z29" s="223"/>
      <c r="AA29" s="223"/>
      <c r="AB29" s="223"/>
      <c r="AC29" s="223"/>
      <c r="AD29" s="223"/>
      <c r="AE29" s="223"/>
      <c r="AF29" s="223"/>
      <c r="AG29" s="223"/>
      <c r="AH29" s="222"/>
      <c r="AI29" s="222"/>
      <c r="AJ29" s="222"/>
      <c r="AK29" s="222"/>
      <c r="AL29" s="222"/>
      <c r="AM29" s="224"/>
      <c r="AP29" s="220"/>
    </row>
    <row r="30" spans="2:42">
      <c r="B30" s="221"/>
      <c r="C30" s="222"/>
      <c r="D30" s="223"/>
      <c r="E30" s="223"/>
      <c r="F30" s="223"/>
      <c r="G30" s="223"/>
      <c r="H30" s="223"/>
      <c r="I30" s="223"/>
      <c r="J30" s="223"/>
      <c r="K30" s="223"/>
      <c r="L30" s="223"/>
      <c r="M30" s="223"/>
      <c r="N30" s="223"/>
      <c r="O30" s="223"/>
      <c r="P30" s="223"/>
      <c r="Q30" s="223"/>
      <c r="R30" s="223"/>
      <c r="S30" s="223"/>
      <c r="T30" s="223"/>
      <c r="U30" s="223"/>
      <c r="V30" s="223"/>
      <c r="W30" s="223"/>
      <c r="X30" s="223"/>
      <c r="Y30" s="223"/>
      <c r="Z30" s="223"/>
      <c r="AA30" s="223"/>
      <c r="AB30" s="223"/>
      <c r="AC30" s="223"/>
      <c r="AD30" s="223"/>
      <c r="AE30" s="223"/>
      <c r="AF30" s="223"/>
      <c r="AG30" s="223"/>
      <c r="AH30" s="222"/>
      <c r="AI30" s="222"/>
      <c r="AJ30" s="222"/>
      <c r="AK30" s="222"/>
      <c r="AL30" s="222"/>
      <c r="AM30" s="224"/>
      <c r="AP30" s="220"/>
    </row>
    <row r="31" spans="2:42">
      <c r="B31" s="221"/>
      <c r="C31" s="222"/>
      <c r="D31" s="223"/>
      <c r="E31" s="223"/>
      <c r="F31" s="223"/>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2"/>
      <c r="AI31" s="222"/>
      <c r="AJ31" s="222"/>
      <c r="AK31" s="222"/>
      <c r="AL31" s="222"/>
      <c r="AM31" s="224"/>
      <c r="AP31" s="220"/>
    </row>
    <row r="32" spans="2:42">
      <c r="B32" s="225"/>
      <c r="C32" s="226"/>
      <c r="D32" s="226"/>
      <c r="E32" s="315" t="s">
        <v>340</v>
      </c>
      <c r="F32" s="346"/>
      <c r="G32" s="346"/>
      <c r="H32" s="346"/>
      <c r="I32" s="346"/>
      <c r="J32" s="346"/>
      <c r="K32" s="322">
        <f>IF('Filtered Data'!$H$8="..",'Filtered Data'!O10,'Filtered Data'!O10/100)</f>
        <v>83.550972610284674</v>
      </c>
      <c r="L32" s="322"/>
      <c r="M32" s="322"/>
      <c r="N32" s="315" t="s">
        <v>351</v>
      </c>
      <c r="O32" s="315"/>
      <c r="P32" s="315"/>
      <c r="Q32" s="315"/>
      <c r="R32" s="315"/>
      <c r="S32" s="315"/>
      <c r="T32" s="322">
        <f>IF('Filtered Data'!$H$8="..",'Filtered Data'!P10,'Filtered Data'!P10/100)</f>
        <v>80.987164441476224</v>
      </c>
      <c r="U32" s="322"/>
      <c r="V32" s="322"/>
      <c r="W32" s="322"/>
      <c r="X32" s="315" t="s">
        <v>352</v>
      </c>
      <c r="Y32" s="315"/>
      <c r="Z32" s="315"/>
      <c r="AA32" s="315"/>
      <c r="AB32" s="315"/>
      <c r="AC32" s="322">
        <f>IF('Filtered Data'!$H$8="..",'Filtered Data'!Q10,'Filtered Data'!Q10/100)</f>
        <v>78.624124804390377</v>
      </c>
      <c r="AD32" s="322"/>
      <c r="AE32" s="322"/>
      <c r="AF32" s="315" t="s">
        <v>341</v>
      </c>
      <c r="AG32" s="315"/>
      <c r="AH32" s="315"/>
      <c r="AI32" s="315"/>
      <c r="AJ32" s="315"/>
      <c r="AK32" s="315"/>
      <c r="AL32" s="315"/>
      <c r="AM32" s="227"/>
      <c r="AP32" s="220"/>
    </row>
    <row r="33" spans="2:42" s="249" customFormat="1">
      <c r="B33" s="249" t="str">
        <f>"The graph &amp; quartile information show data for all "&amp;V37&amp;" "&amp;VLOOKUP('Filtered Data'!D1,'Filtered Data'!L1:O6,3,FALSE)&amp;" councils in England."</f>
        <v>The graph &amp; quartile information show data for all 188 District councils in England.</v>
      </c>
      <c r="AP33" s="251"/>
    </row>
    <row r="34" spans="2:42" s="249" customFormat="1">
      <c r="AP34" s="251"/>
    </row>
    <row r="35" spans="2:42">
      <c r="B35" s="252" t="str">
        <f>J5</f>
        <v>Allerdale</v>
      </c>
      <c r="C35" s="252"/>
      <c r="D35" s="252"/>
      <c r="E35" s="252"/>
      <c r="F35" s="252"/>
      <c r="G35" s="252"/>
      <c r="H35" s="252"/>
      <c r="I35" s="252"/>
      <c r="J35" s="228"/>
      <c r="K35" s="229" t="s">
        <v>355</v>
      </c>
      <c r="L35" s="339">
        <f>IF(ISERROR(IF('Filtered Data'!$H$8="%.",(VLOOKUP(J5,'Filtered Data'!C:H,4,FALSE))/100,(VLOOKUP(J5,'Filtered Data'!C:H,4,FALSE)))),"",(IF('Filtered Data'!$H$8="%.",(VLOOKUP(J5,'Filtered Data'!C:H,4,FALSE))/100,(VLOOKUP(J5,'Filtered Data'!C:H,4,FALSE)))))</f>
        <v>80.664917544522837</v>
      </c>
      <c r="M35" s="339"/>
      <c r="N35" s="339"/>
      <c r="O35" s="339"/>
      <c r="P35" s="230"/>
      <c r="Q35" s="339" t="s">
        <v>353</v>
      </c>
      <c r="R35" s="339"/>
      <c r="S35" s="339"/>
      <c r="T35" s="339"/>
      <c r="U35" s="339"/>
      <c r="V35" s="339"/>
      <c r="W35" s="339"/>
      <c r="AB35" s="249"/>
      <c r="AC35" s="249"/>
      <c r="AD35" s="249"/>
      <c r="AE35" s="249"/>
      <c r="AF35" s="249"/>
      <c r="AG35" s="249"/>
      <c r="AH35" s="249"/>
      <c r="AI35" s="249"/>
      <c r="AJ35" s="249"/>
      <c r="AK35" s="249"/>
      <c r="AL35" s="249"/>
      <c r="AM35" s="249"/>
      <c r="AP35" s="220"/>
    </row>
    <row r="36" spans="2:42" ht="12.75" customHeight="1">
      <c r="B36" s="338" t="str">
        <f>'Filtered Data'!R8&amp;" Quartile"</f>
        <v>Third Quartile</v>
      </c>
      <c r="C36" s="338"/>
      <c r="D36" s="338"/>
      <c r="E36" s="338"/>
      <c r="F36" s="338"/>
      <c r="G36" s="338"/>
      <c r="H36" s="338"/>
      <c r="I36" s="338"/>
      <c r="J36" s="338"/>
      <c r="K36" s="338"/>
      <c r="L36" s="338"/>
      <c r="M36" s="338"/>
      <c r="N36" s="338"/>
      <c r="O36" s="338"/>
      <c r="P36" s="338"/>
      <c r="Q36" s="338"/>
      <c r="R36" s="338"/>
      <c r="S36" s="338"/>
      <c r="T36" s="338"/>
      <c r="U36" s="338"/>
      <c r="V36" s="338"/>
      <c r="W36" s="338"/>
      <c r="Z36" s="231" t="s">
        <v>357</v>
      </c>
      <c r="AB36" s="324" t="s">
        <v>359</v>
      </c>
      <c r="AC36" s="324"/>
      <c r="AD36" s="324"/>
      <c r="AE36" s="324"/>
      <c r="AF36" s="324"/>
      <c r="AG36" s="324"/>
      <c r="AH36" s="324"/>
      <c r="AI36" s="324"/>
      <c r="AJ36" s="324"/>
      <c r="AK36" s="324"/>
      <c r="AL36" s="324"/>
      <c r="AM36" s="257"/>
      <c r="AP36" s="220"/>
    </row>
    <row r="37" spans="2:42" ht="12.75" customHeight="1">
      <c r="B37" s="253" t="str">
        <f>VLOOKUP('Filtered Data'!D1,'Filtered Data'!L1:O6,2,FALSE)</f>
        <v>Districts</v>
      </c>
      <c r="C37" s="253"/>
      <c r="D37" s="253"/>
      <c r="E37" s="253"/>
      <c r="F37" s="253"/>
      <c r="G37" s="253"/>
      <c r="H37" s="253"/>
      <c r="I37" s="253"/>
      <c r="J37" s="348" t="s">
        <v>799</v>
      </c>
      <c r="K37" s="232" t="str">
        <f>IF(Q37="","",IF('Filtered Data'!I8="D",IF($L$35&gt;=L37,"J","L"),IF('Filtered Data'!I8="A",IF($L$35&lt;=L37,"J","L"))))</f>
        <v>L</v>
      </c>
      <c r="L37" s="318">
        <f>'Filtered Data'!M9</f>
        <v>80.892616842679516</v>
      </c>
      <c r="M37" s="318"/>
      <c r="N37" s="318"/>
      <c r="O37" s="318"/>
      <c r="P37" s="254"/>
      <c r="Q37" s="309">
        <f>VLOOKUP(J5,'Filtered Data'!C:I,7,FALSE)</f>
        <v>103</v>
      </c>
      <c r="R37" s="309"/>
      <c r="S37" s="255"/>
      <c r="T37" s="256" t="s">
        <v>354</v>
      </c>
      <c r="U37" s="256"/>
      <c r="V37" s="309">
        <f>COUNT('Filtered Data'!I11:I363)</f>
        <v>188</v>
      </c>
      <c r="W37" s="309"/>
      <c r="AB37" s="324"/>
      <c r="AC37" s="324"/>
      <c r="AD37" s="324"/>
      <c r="AE37" s="324"/>
      <c r="AF37" s="324"/>
      <c r="AG37" s="324"/>
      <c r="AH37" s="324"/>
      <c r="AI37" s="324"/>
      <c r="AJ37" s="324"/>
      <c r="AK37" s="324"/>
      <c r="AL37" s="324"/>
      <c r="AM37" s="257"/>
      <c r="AP37" s="220"/>
    </row>
    <row r="38" spans="2:42">
      <c r="B38" s="253" t="str">
        <f>IF('Filtered Data'!D1="L","Family",IF('Filtered Data'!D1="SD",VLOOKUP(J5,classifications!C:J,6,FALSE),"Rural"))</f>
        <v xml:space="preserve">Mainly Rural (rural including hub towns &gt;=80%) </v>
      </c>
      <c r="C38" s="253"/>
      <c r="D38" s="253"/>
      <c r="E38" s="253"/>
      <c r="F38" s="253"/>
      <c r="G38" s="253"/>
      <c r="H38" s="253"/>
      <c r="I38" s="253"/>
      <c r="J38" s="349"/>
      <c r="K38" s="232" t="str">
        <f>IF(Q38="","",IF('Filtered Data'!I8="D",IF($L$35&gt;=L38,"J","L"),IF('Filtered Data'!I8="A",IF($L$35&lt;=L38,"J","L"))))</f>
        <v>L</v>
      </c>
      <c r="L38" s="318">
        <f>IF('Filtered Data'!D1="L",'Filtered Data'!AG9,'Filtered Data'!Y9)</f>
        <v>81.585817249144441</v>
      </c>
      <c r="M38" s="318"/>
      <c r="N38" s="318"/>
      <c r="O38" s="318"/>
      <c r="P38" s="254"/>
      <c r="Q38" s="309">
        <f>IF(ISERROR(IF('Filtered Data'!D1="L",VLOOKUP(J5,'Filtered Data'!AF11:AH26,3,FALSE),VLOOKUP(J5,'Filtered Data'!$L$11:$Z$363,15,FALSE))),"",(IF('Filtered Data'!D1="L",VLOOKUP(J5,'Filtered Data'!AF11:AH26,3,FALSE),VLOOKUP(J5,'Filtered Data'!$L$11:$Z$363,15,FALSE))))</f>
        <v>26</v>
      </c>
      <c r="R38" s="309"/>
      <c r="S38" s="316" t="s">
        <v>354</v>
      </c>
      <c r="T38" s="316"/>
      <c r="U38" s="316"/>
      <c r="V38" s="309">
        <f>IF('Filtered Data'!D1="L",16,COUNT('Filtered Data'!Z:Z))</f>
        <v>41</v>
      </c>
      <c r="W38" s="309"/>
      <c r="AB38" s="257"/>
      <c r="AC38" s="257"/>
      <c r="AD38" s="257"/>
      <c r="AE38" s="257"/>
      <c r="AF38" s="257"/>
      <c r="AG38" s="257"/>
      <c r="AH38" s="257"/>
      <c r="AI38" s="257"/>
      <c r="AJ38" s="257"/>
      <c r="AK38" s="257"/>
      <c r="AL38" s="257"/>
      <c r="AM38" s="257"/>
      <c r="AP38" s="220"/>
    </row>
    <row r="39" spans="2:42">
      <c r="B39" s="253" t="str">
        <f>IF('Filtered Data'!D1="L","",IF('Filtered Data'!D1="SD",J10,"Regional"))</f>
        <v>Cumbria</v>
      </c>
      <c r="C39" s="253"/>
      <c r="D39" s="253"/>
      <c r="E39" s="253"/>
      <c r="F39" s="253"/>
      <c r="G39" s="253"/>
      <c r="H39" s="253"/>
      <c r="I39" s="253"/>
      <c r="J39" s="349"/>
      <c r="K39" s="232" t="str">
        <f>IF(Q39="","",IF('Filtered Data'!I8="D",IF($L$35&gt;=L39,"J","L"),IF('Filtered Data'!I8="A",IF($L$35&lt;=L39,"J","L"))))</f>
        <v>L</v>
      </c>
      <c r="L39" s="318">
        <f>IF('Filtered Data'!D1="L","",IF('Filtered Data'!D1="SD",'Filtered Data'!AJ9,'Filtered Data'!AQ9))</f>
        <v>81.771635936917235</v>
      </c>
      <c r="M39" s="318"/>
      <c r="N39" s="318"/>
      <c r="O39" s="318"/>
      <c r="P39" s="254"/>
      <c r="Q39" s="309">
        <f>IF(ISERROR(IF('Filtered Data'!D1="L","",IF('Filtered Data'!D1="SD",VLOOKUP(J5,'Filtered Data'!L:AK,26,FALSE),(VLOOKUP(J5,'Filtered Data'!L:AR,33,FALSE))))),"",(IF('Filtered Data'!D1="L","",IF('Filtered Data'!D1="SD",VLOOKUP(J5,'Filtered Data'!L:AK,26,FALSE),(VLOOKUP(J5,'Filtered Data'!L:AR,33,FALSE))))))</f>
        <v>5</v>
      </c>
      <c r="R39" s="309"/>
      <c r="S39" s="255"/>
      <c r="T39" s="256" t="str">
        <f>IF(B39="","","out of")</f>
        <v>out of</v>
      </c>
      <c r="U39" s="256"/>
      <c r="V39" s="309">
        <f>IF('Filtered Data'!D1="L","",IF('Filtered Data'!D1="SD",COUNT('Filtered Data'!AK11:AK363),(COUNT('Filtered Data'!AQ11:AQ363))))</f>
        <v>6</v>
      </c>
      <c r="W39" s="309"/>
      <c r="Z39" s="233" t="s">
        <v>358</v>
      </c>
      <c r="AB39" s="324" t="s">
        <v>360</v>
      </c>
      <c r="AC39" s="324"/>
      <c r="AD39" s="324"/>
      <c r="AE39" s="324"/>
      <c r="AF39" s="324"/>
      <c r="AG39" s="324"/>
      <c r="AH39" s="324"/>
      <c r="AI39" s="324"/>
      <c r="AJ39" s="324"/>
      <c r="AK39" s="324"/>
      <c r="AL39" s="324"/>
      <c r="AM39" s="324"/>
      <c r="AP39" s="220"/>
    </row>
    <row r="40" spans="2:42" ht="12.75" customHeight="1">
      <c r="B40" s="275"/>
      <c r="C40" s="275"/>
      <c r="D40" s="275"/>
      <c r="E40" s="275"/>
      <c r="F40" s="275"/>
      <c r="G40" s="275"/>
      <c r="H40" s="275"/>
      <c r="I40" s="275"/>
      <c r="J40" s="274"/>
      <c r="K40" s="235"/>
      <c r="L40" s="317"/>
      <c r="M40" s="317"/>
      <c r="N40" s="317"/>
      <c r="O40" s="317"/>
      <c r="P40" s="276"/>
      <c r="Q40" s="319"/>
      <c r="R40" s="319"/>
      <c r="S40" s="321"/>
      <c r="T40" s="321"/>
      <c r="U40" s="321"/>
      <c r="V40" s="319"/>
      <c r="W40" s="319"/>
      <c r="AB40" s="324"/>
      <c r="AC40" s="324"/>
      <c r="AD40" s="324"/>
      <c r="AE40" s="324"/>
      <c r="AF40" s="324"/>
      <c r="AG40" s="324"/>
      <c r="AH40" s="324"/>
      <c r="AI40" s="324"/>
      <c r="AJ40" s="324"/>
      <c r="AK40" s="324"/>
      <c r="AL40" s="324"/>
      <c r="AM40" s="324"/>
      <c r="AP40" s="220"/>
    </row>
    <row r="41" spans="2:42">
      <c r="B41" s="277"/>
      <c r="C41" s="277"/>
      <c r="D41" s="277"/>
      <c r="E41" s="277"/>
      <c r="F41" s="277"/>
      <c r="G41" s="277"/>
      <c r="H41" s="277"/>
      <c r="I41" s="277"/>
      <c r="J41" s="234"/>
      <c r="K41" s="278" t="str">
        <f>IF(B41="","",IF('Filtered Data'!D1="UA","",(IF($L$35&gt;=L41,"J","L"))))</f>
        <v/>
      </c>
      <c r="L41" s="310"/>
      <c r="M41" s="310"/>
      <c r="N41" s="310"/>
      <c r="O41" s="310"/>
      <c r="P41" s="279"/>
      <c r="Q41" s="320"/>
      <c r="R41" s="320"/>
      <c r="S41" s="323"/>
      <c r="T41" s="323"/>
      <c r="U41" s="323"/>
      <c r="V41" s="320"/>
      <c r="W41" s="320"/>
      <c r="AB41" s="257"/>
      <c r="AC41" s="257"/>
      <c r="AD41" s="257"/>
      <c r="AE41" s="257"/>
      <c r="AF41" s="257"/>
      <c r="AG41" s="257"/>
      <c r="AH41" s="257"/>
      <c r="AI41" s="257"/>
      <c r="AJ41" s="257"/>
      <c r="AK41" s="257"/>
      <c r="AL41" s="257"/>
      <c r="AM41" s="257"/>
      <c r="AP41" s="220"/>
    </row>
    <row r="42" spans="2:42">
      <c r="B42" s="222"/>
      <c r="C42" s="222"/>
      <c r="D42" s="222"/>
      <c r="E42" s="222"/>
      <c r="F42" s="222"/>
      <c r="G42" s="222"/>
      <c r="H42" s="222"/>
      <c r="I42" s="222"/>
      <c r="J42" s="236"/>
      <c r="K42" s="237"/>
      <c r="L42" s="238"/>
      <c r="M42" s="238"/>
      <c r="N42" s="238"/>
      <c r="O42" s="238"/>
      <c r="P42" s="239"/>
      <c r="Q42" s="240"/>
      <c r="R42" s="240"/>
      <c r="S42" s="241"/>
      <c r="T42" s="240"/>
      <c r="U42" s="240"/>
      <c r="V42" s="240"/>
      <c r="W42" s="240"/>
      <c r="AB42" s="242"/>
      <c r="AC42" s="242"/>
      <c r="AD42" s="242"/>
      <c r="AE42" s="242"/>
      <c r="AF42" s="242"/>
      <c r="AG42" s="242"/>
      <c r="AH42" s="242"/>
      <c r="AI42" s="242"/>
      <c r="AJ42" s="242"/>
      <c r="AK42" s="242"/>
      <c r="AL42" s="242"/>
      <c r="AM42" s="242"/>
      <c r="AP42" s="220"/>
    </row>
    <row r="43" spans="2:42">
      <c r="B43" s="304" t="s">
        <v>356</v>
      </c>
      <c r="C43" s="305"/>
      <c r="D43" s="305"/>
      <c r="E43" s="305"/>
      <c r="F43" s="305"/>
      <c r="G43" s="305"/>
      <c r="H43" s="305"/>
      <c r="I43" s="305"/>
      <c r="J43" s="305"/>
      <c r="K43" s="305"/>
      <c r="L43" s="305"/>
      <c r="M43" s="305"/>
      <c r="N43" s="305"/>
      <c r="O43" s="300" t="str">
        <f>W6&amp;" - "&amp;W12</f>
        <v>Proportion of residents who walk (for at least 10 minutes) at least once a month - 2018/19</v>
      </c>
      <c r="P43" s="300"/>
      <c r="Q43" s="300"/>
      <c r="R43" s="300"/>
      <c r="S43" s="300"/>
      <c r="T43" s="300"/>
      <c r="U43" s="300"/>
      <c r="V43" s="300"/>
      <c r="W43" s="300"/>
      <c r="X43" s="300"/>
      <c r="Y43" s="300"/>
      <c r="Z43" s="300"/>
      <c r="AA43" s="300"/>
      <c r="AB43" s="300"/>
      <c r="AC43" s="300"/>
      <c r="AD43" s="300"/>
      <c r="AE43" s="300"/>
      <c r="AF43" s="300"/>
      <c r="AG43" s="300"/>
      <c r="AH43" s="300"/>
      <c r="AI43" s="300"/>
      <c r="AJ43" s="300"/>
      <c r="AK43" s="300"/>
      <c r="AL43" s="300"/>
      <c r="AM43" s="301"/>
      <c r="AP43" s="220"/>
    </row>
    <row r="44" spans="2:42">
      <c r="B44" s="306"/>
      <c r="C44" s="307"/>
      <c r="D44" s="307"/>
      <c r="E44" s="307"/>
      <c r="F44" s="307"/>
      <c r="G44" s="307"/>
      <c r="H44" s="307"/>
      <c r="I44" s="307"/>
      <c r="J44" s="307"/>
      <c r="K44" s="307"/>
      <c r="L44" s="307"/>
      <c r="M44" s="307"/>
      <c r="N44" s="307"/>
      <c r="O44" s="302"/>
      <c r="P44" s="302"/>
      <c r="Q44" s="302"/>
      <c r="R44" s="302"/>
      <c r="S44" s="302"/>
      <c r="T44" s="302"/>
      <c r="U44" s="302"/>
      <c r="V44" s="302"/>
      <c r="W44" s="302"/>
      <c r="X44" s="302"/>
      <c r="Y44" s="302"/>
      <c r="Z44" s="302"/>
      <c r="AA44" s="302"/>
      <c r="AB44" s="302"/>
      <c r="AC44" s="302"/>
      <c r="AD44" s="302"/>
      <c r="AE44" s="302"/>
      <c r="AF44" s="302"/>
      <c r="AG44" s="302"/>
      <c r="AH44" s="302"/>
      <c r="AI44" s="302"/>
      <c r="AJ44" s="302"/>
      <c r="AK44" s="302"/>
      <c r="AL44" s="302"/>
      <c r="AM44" s="303"/>
      <c r="AP44" s="220"/>
    </row>
    <row r="45" spans="2:42">
      <c r="B45" s="243"/>
      <c r="C45" s="223"/>
      <c r="D45" s="223"/>
      <c r="E45" s="223"/>
      <c r="F45" s="223"/>
      <c r="G45" s="222"/>
      <c r="H45" s="222"/>
      <c r="I45" s="222"/>
      <c r="J45" s="222"/>
      <c r="K45" s="239"/>
      <c r="L45" s="239"/>
      <c r="M45" s="239"/>
      <c r="N45" s="239"/>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4"/>
      <c r="AP45" s="220"/>
    </row>
    <row r="46" spans="2:42">
      <c r="B46" s="243"/>
      <c r="C46" s="223"/>
      <c r="D46" s="223"/>
      <c r="E46" s="223"/>
      <c r="F46" s="223"/>
      <c r="G46" s="222"/>
      <c r="H46" s="222"/>
      <c r="I46" s="222"/>
      <c r="J46" s="222"/>
      <c r="K46" s="239"/>
      <c r="L46" s="239"/>
      <c r="M46" s="239"/>
      <c r="N46" s="239"/>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2"/>
      <c r="AM46" s="224"/>
      <c r="AP46" s="220"/>
    </row>
    <row r="47" spans="2:42">
      <c r="B47" s="243"/>
      <c r="C47" s="223"/>
      <c r="D47" s="223" t="e">
        <f>IF((VLOOKUP(Profile!W6,'Indicator info'!A:B,4,FALSE))=".","",(VLOOKUP(Profile!W6,'Indicator info'!A:B,4,FALSE)))</f>
        <v>#REF!</v>
      </c>
      <c r="E47" s="223"/>
      <c r="F47" s="223"/>
      <c r="G47" s="222"/>
      <c r="H47" s="222"/>
      <c r="I47" s="222"/>
      <c r="J47" s="222"/>
      <c r="K47" s="239" t="s">
        <v>794</v>
      </c>
      <c r="L47" s="239"/>
      <c r="M47" s="239" t="s">
        <v>795</v>
      </c>
      <c r="N47" s="239"/>
      <c r="O47" s="222" t="s">
        <v>796</v>
      </c>
      <c r="P47" s="222"/>
      <c r="Q47" s="222"/>
      <c r="R47" s="222"/>
      <c r="S47" s="222"/>
      <c r="T47" s="222"/>
      <c r="U47" s="222"/>
      <c r="V47" s="222"/>
      <c r="W47" s="222"/>
      <c r="X47" s="222"/>
      <c r="Y47" s="222"/>
      <c r="Z47" s="222"/>
      <c r="AA47" s="222"/>
      <c r="AB47" s="222"/>
      <c r="AC47" s="222"/>
      <c r="AD47" s="222"/>
      <c r="AE47" s="222"/>
      <c r="AF47" s="222"/>
      <c r="AG47" s="222"/>
      <c r="AH47" s="222"/>
      <c r="AI47" s="222"/>
      <c r="AJ47" s="222"/>
      <c r="AK47" s="222"/>
      <c r="AL47" s="222"/>
      <c r="AM47" s="224"/>
      <c r="AP47" s="220"/>
    </row>
    <row r="48" spans="2:42">
      <c r="B48" s="243"/>
      <c r="C48" s="223"/>
      <c r="D48" s="244" t="str">
        <f>B35</f>
        <v>Allerdale</v>
      </c>
      <c r="E48" s="289">
        <f>IF('Filtered Data'!$H$8="..",L35,L35*100)</f>
        <v>80.664917544522837</v>
      </c>
      <c r="F48" s="289"/>
      <c r="G48" s="289"/>
      <c r="H48" s="289"/>
      <c r="I48" s="222"/>
      <c r="J48" s="222"/>
      <c r="K48" s="291">
        <f>IF('Filtered Data'!$H$8="..",K$32,K$32*100)</f>
        <v>83.550972610284674</v>
      </c>
      <c r="L48" s="291"/>
      <c r="M48" s="291">
        <f>IF('Filtered Data'!$H$8="..",T$32,T$32*100)</f>
        <v>80.987164441476224</v>
      </c>
      <c r="N48" s="291"/>
      <c r="O48" s="291">
        <f>IF('Filtered Data'!$H$8="..",AC$32,AC$32*100)</f>
        <v>78.624124804390377</v>
      </c>
      <c r="P48" s="291"/>
      <c r="Q48" s="222"/>
      <c r="R48" s="222"/>
      <c r="S48" s="222"/>
      <c r="T48" s="222"/>
      <c r="U48" s="222"/>
      <c r="V48" s="222"/>
      <c r="W48" s="222"/>
      <c r="X48" s="222"/>
      <c r="Y48" s="222"/>
      <c r="Z48" s="222"/>
      <c r="AA48" s="222"/>
      <c r="AB48" s="222"/>
      <c r="AC48" s="222"/>
      <c r="AD48" s="222"/>
      <c r="AE48" s="222"/>
      <c r="AF48" s="222"/>
      <c r="AG48" s="222"/>
      <c r="AH48" s="222"/>
      <c r="AI48" s="222"/>
      <c r="AJ48" s="222"/>
      <c r="AK48" s="222"/>
      <c r="AL48" s="222"/>
      <c r="AM48" s="224"/>
      <c r="AP48" s="220"/>
    </row>
    <row r="49" spans="2:42">
      <c r="B49" s="243"/>
      <c r="C49" s="223"/>
      <c r="D49" s="245" t="str">
        <f>B37</f>
        <v>Districts</v>
      </c>
      <c r="E49" s="289">
        <f>IF('Filtered Data'!$H$8="..",L37,L37*100)</f>
        <v>80.892616842679516</v>
      </c>
      <c r="F49" s="289"/>
      <c r="G49" s="289"/>
      <c r="H49" s="289"/>
      <c r="I49" s="222"/>
      <c r="J49" s="222"/>
      <c r="K49" s="291">
        <f>IF('Filtered Data'!$H$8="..",K$32,K$32*100)</f>
        <v>83.550972610284674</v>
      </c>
      <c r="L49" s="291"/>
      <c r="M49" s="291">
        <f>IF('Filtered Data'!$H$8="..",T$32,T$32*100)</f>
        <v>80.987164441476224</v>
      </c>
      <c r="N49" s="291"/>
      <c r="O49" s="291">
        <f>IF('Filtered Data'!$H$8="..",AC$32,AC$32*100)</f>
        <v>78.624124804390377</v>
      </c>
      <c r="P49" s="291"/>
      <c r="Q49" s="222"/>
      <c r="R49" s="222"/>
      <c r="S49" s="222"/>
      <c r="T49" s="222"/>
      <c r="U49" s="222"/>
      <c r="V49" s="222"/>
      <c r="W49" s="222"/>
      <c r="X49" s="222"/>
      <c r="Y49" s="222"/>
      <c r="Z49" s="222"/>
      <c r="AA49" s="222"/>
      <c r="AB49" s="222"/>
      <c r="AC49" s="222"/>
      <c r="AD49" s="222"/>
      <c r="AE49" s="222"/>
      <c r="AF49" s="222"/>
      <c r="AG49" s="222"/>
      <c r="AH49" s="222"/>
      <c r="AI49" s="222"/>
      <c r="AJ49" s="222"/>
      <c r="AK49" s="222"/>
      <c r="AL49" s="222"/>
      <c r="AM49" s="224"/>
      <c r="AP49" s="220"/>
    </row>
    <row r="50" spans="2:42">
      <c r="B50" s="243"/>
      <c r="C50" s="223"/>
      <c r="D50" s="244" t="str">
        <f>B39</f>
        <v>Cumbria</v>
      </c>
      <c r="E50" s="289">
        <f>IF('Filtered Data'!$H$8="..",L39,L39*100)</f>
        <v>81.771635936917235</v>
      </c>
      <c r="F50" s="289"/>
      <c r="G50" s="289"/>
      <c r="H50" s="289"/>
      <c r="I50" s="222"/>
      <c r="J50" s="222"/>
      <c r="K50" s="291">
        <f>IF('Filtered Data'!$H$8="..",K$32,K$32*100)</f>
        <v>83.550972610284674</v>
      </c>
      <c r="L50" s="291"/>
      <c r="M50" s="291">
        <f>IF('Filtered Data'!$H$8="..",T$32,T$32*100)</f>
        <v>80.987164441476224</v>
      </c>
      <c r="N50" s="291"/>
      <c r="O50" s="291">
        <f>IF('Filtered Data'!$H$8="..",AC$32,AC$32*100)</f>
        <v>78.624124804390377</v>
      </c>
      <c r="P50" s="291"/>
      <c r="Q50" s="222"/>
      <c r="R50" s="222"/>
      <c r="S50" s="222"/>
      <c r="T50" s="222"/>
      <c r="U50" s="222"/>
      <c r="V50" s="222"/>
      <c r="W50" s="222"/>
      <c r="X50" s="222"/>
      <c r="Y50" s="222"/>
      <c r="Z50" s="222"/>
      <c r="AA50" s="222"/>
      <c r="AB50" s="222"/>
      <c r="AC50" s="222"/>
      <c r="AD50" s="222"/>
      <c r="AE50" s="222"/>
      <c r="AF50" s="222"/>
      <c r="AG50" s="222"/>
      <c r="AH50" s="222"/>
      <c r="AI50" s="222"/>
      <c r="AJ50" s="222"/>
      <c r="AK50" s="222"/>
      <c r="AL50" s="222"/>
      <c r="AM50" s="224"/>
      <c r="AP50" s="220"/>
    </row>
    <row r="51" spans="2:42">
      <c r="B51" s="243"/>
      <c r="C51" s="223"/>
      <c r="D51" s="280" t="str">
        <f>B38</f>
        <v xml:space="preserve">Mainly Rural (rural including hub towns &gt;=80%) </v>
      </c>
      <c r="E51" s="289">
        <f>IF('Filtered Data'!$H$8="..",L38,L38*100)</f>
        <v>81.585817249144441</v>
      </c>
      <c r="F51" s="289"/>
      <c r="G51" s="289"/>
      <c r="H51" s="289"/>
      <c r="I51" s="222"/>
      <c r="J51" s="222"/>
      <c r="K51" s="291">
        <f>IF('Filtered Data'!$H$8="..",K$32,K$32*100)</f>
        <v>83.550972610284674</v>
      </c>
      <c r="L51" s="291"/>
      <c r="M51" s="291">
        <f>IF('Filtered Data'!$H$8="..",T$32,T$32*100)</f>
        <v>80.987164441476224</v>
      </c>
      <c r="N51" s="291"/>
      <c r="O51" s="291">
        <f>IF('Filtered Data'!$H$8="..",AC$32,AC$32*100)</f>
        <v>78.624124804390377</v>
      </c>
      <c r="P51" s="291"/>
      <c r="Q51" s="222"/>
      <c r="R51" s="222"/>
      <c r="S51" s="222"/>
      <c r="T51" s="222"/>
      <c r="U51" s="222"/>
      <c r="V51" s="222"/>
      <c r="W51" s="222"/>
      <c r="X51" s="222"/>
      <c r="Y51" s="222"/>
      <c r="Z51" s="222"/>
      <c r="AA51" s="222"/>
      <c r="AB51" s="222"/>
      <c r="AC51" s="222"/>
      <c r="AD51" s="222"/>
      <c r="AE51" s="222"/>
      <c r="AF51" s="222"/>
      <c r="AG51" s="222"/>
      <c r="AH51" s="222"/>
      <c r="AI51" s="222"/>
      <c r="AJ51" s="222"/>
      <c r="AK51" s="222"/>
      <c r="AL51" s="222"/>
      <c r="AM51" s="224"/>
      <c r="AP51" s="220"/>
    </row>
    <row r="52" spans="2:42">
      <c r="B52" s="243"/>
      <c r="C52" s="223"/>
      <c r="D52" s="245"/>
      <c r="E52" s="289"/>
      <c r="F52" s="289"/>
      <c r="G52" s="289"/>
      <c r="H52" s="289"/>
      <c r="I52" s="222"/>
      <c r="J52" s="222"/>
      <c r="K52" s="291"/>
      <c r="L52" s="291"/>
      <c r="M52" s="291"/>
      <c r="N52" s="291"/>
      <c r="O52" s="291"/>
      <c r="P52" s="291"/>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24"/>
      <c r="AP52" s="220"/>
    </row>
    <row r="53" spans="2:42">
      <c r="B53" s="243"/>
      <c r="C53" s="223"/>
      <c r="D53" s="245"/>
      <c r="E53" s="290"/>
      <c r="F53" s="290"/>
      <c r="G53" s="290"/>
      <c r="H53" s="290"/>
      <c r="I53" s="222"/>
      <c r="J53" s="222"/>
      <c r="K53" s="291"/>
      <c r="L53" s="291"/>
      <c r="M53" s="291"/>
      <c r="N53" s="291"/>
      <c r="O53" s="291"/>
      <c r="P53" s="291"/>
      <c r="Q53" s="222"/>
      <c r="R53" s="222"/>
      <c r="S53" s="222"/>
      <c r="T53" s="222"/>
      <c r="U53" s="222"/>
      <c r="V53" s="222"/>
      <c r="W53" s="222"/>
      <c r="X53" s="222"/>
      <c r="Y53" s="222"/>
      <c r="Z53" s="222"/>
      <c r="AA53" s="222"/>
      <c r="AB53" s="222"/>
      <c r="AC53" s="222"/>
      <c r="AD53" s="222"/>
      <c r="AE53" s="222"/>
      <c r="AF53" s="222"/>
      <c r="AG53" s="222"/>
      <c r="AH53" s="222"/>
      <c r="AI53" s="222"/>
      <c r="AJ53" s="222"/>
      <c r="AK53" s="222"/>
      <c r="AL53" s="222"/>
      <c r="AM53" s="224"/>
      <c r="AP53" s="220"/>
    </row>
    <row r="54" spans="2:42">
      <c r="B54" s="243"/>
      <c r="C54" s="223"/>
      <c r="D54" s="223"/>
      <c r="E54" s="223"/>
      <c r="F54" s="223"/>
      <c r="G54" s="222"/>
      <c r="H54" s="222"/>
      <c r="I54" s="222"/>
      <c r="J54" s="222"/>
      <c r="K54" s="222"/>
      <c r="L54" s="222"/>
      <c r="M54" s="222"/>
      <c r="N54" s="222"/>
      <c r="O54" s="222"/>
      <c r="P54" s="222"/>
      <c r="Q54" s="222"/>
      <c r="R54" s="222"/>
      <c r="S54" s="222"/>
      <c r="T54" s="222"/>
      <c r="U54" s="222"/>
      <c r="V54" s="222"/>
      <c r="W54" s="222"/>
      <c r="X54" s="222"/>
      <c r="Y54" s="222"/>
      <c r="Z54" s="222"/>
      <c r="AA54" s="222"/>
      <c r="AB54" s="222"/>
      <c r="AC54" s="222"/>
      <c r="AD54" s="222"/>
      <c r="AE54" s="222"/>
      <c r="AF54" s="222"/>
      <c r="AG54" s="222"/>
      <c r="AH54" s="222"/>
      <c r="AI54" s="222"/>
      <c r="AJ54" s="222"/>
      <c r="AK54" s="222"/>
      <c r="AL54" s="222"/>
      <c r="AM54" s="224"/>
      <c r="AP54" s="220"/>
    </row>
    <row r="55" spans="2:42">
      <c r="B55" s="243"/>
      <c r="C55" s="223"/>
      <c r="D55" s="223"/>
      <c r="E55" s="223"/>
      <c r="F55" s="223"/>
      <c r="G55" s="222"/>
      <c r="H55" s="222"/>
      <c r="I55" s="222"/>
      <c r="J55" s="222"/>
      <c r="K55" s="222"/>
      <c r="L55" s="222"/>
      <c r="M55" s="222"/>
      <c r="N55" s="222"/>
      <c r="O55" s="222"/>
      <c r="P55" s="222"/>
      <c r="Q55" s="222"/>
      <c r="R55" s="222"/>
      <c r="S55" s="222"/>
      <c r="T55" s="222"/>
      <c r="U55" s="222"/>
      <c r="V55" s="222"/>
      <c r="W55" s="222"/>
      <c r="X55" s="222"/>
      <c r="Y55" s="222"/>
      <c r="Z55" s="222"/>
      <c r="AA55" s="222"/>
      <c r="AB55" s="222"/>
      <c r="AC55" s="222"/>
      <c r="AD55" s="222"/>
      <c r="AE55" s="222"/>
      <c r="AF55" s="222"/>
      <c r="AG55" s="222"/>
      <c r="AH55" s="222"/>
      <c r="AI55" s="222"/>
      <c r="AJ55" s="222"/>
      <c r="AK55" s="222"/>
      <c r="AL55" s="222"/>
      <c r="AM55" s="224"/>
      <c r="AP55" s="220"/>
    </row>
    <row r="56" spans="2:42">
      <c r="B56" s="243"/>
      <c r="C56" s="223"/>
      <c r="D56" s="223"/>
      <c r="E56" s="223"/>
      <c r="F56" s="223"/>
      <c r="G56" s="222"/>
      <c r="H56" s="222"/>
      <c r="I56" s="222"/>
      <c r="J56" s="222"/>
      <c r="K56" s="222"/>
      <c r="L56" s="222"/>
      <c r="M56" s="222"/>
      <c r="N56" s="222"/>
      <c r="O56" s="222"/>
      <c r="P56" s="222"/>
      <c r="Q56" s="222"/>
      <c r="R56" s="222"/>
      <c r="S56" s="222"/>
      <c r="T56" s="222"/>
      <c r="U56" s="222"/>
      <c r="V56" s="222"/>
      <c r="W56" s="222"/>
      <c r="X56" s="222"/>
      <c r="Y56" s="222"/>
      <c r="Z56" s="222"/>
      <c r="AA56" s="222"/>
      <c r="AB56" s="222"/>
      <c r="AC56" s="222"/>
      <c r="AD56" s="222"/>
      <c r="AE56" s="222"/>
      <c r="AF56" s="222"/>
      <c r="AG56" s="222"/>
      <c r="AH56" s="222"/>
      <c r="AI56" s="222"/>
      <c r="AJ56" s="222"/>
      <c r="AK56" s="222"/>
      <c r="AL56" s="222"/>
      <c r="AM56" s="224"/>
      <c r="AP56" s="220"/>
    </row>
    <row r="57" spans="2:42">
      <c r="B57" s="246"/>
      <c r="C57" s="247"/>
      <c r="D57" s="247"/>
      <c r="E57" s="247"/>
      <c r="F57" s="247"/>
      <c r="G57" s="226"/>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7"/>
      <c r="AP57" s="220"/>
    </row>
    <row r="58" spans="2:42">
      <c r="B58" s="223"/>
      <c r="C58" s="223"/>
      <c r="D58" s="223"/>
      <c r="E58" s="223"/>
      <c r="F58" s="223"/>
      <c r="G58" s="222"/>
      <c r="H58" s="222"/>
      <c r="I58" s="222"/>
      <c r="J58" s="222"/>
      <c r="K58" s="222"/>
      <c r="L58" s="222"/>
      <c r="M58" s="222"/>
      <c r="N58" s="222"/>
      <c r="O58" s="222"/>
      <c r="P58" s="222"/>
      <c r="Q58" s="222"/>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P58" s="220"/>
    </row>
    <row r="59" spans="2:42" s="249" customFormat="1" ht="19.5" customHeight="1">
      <c r="B59" s="311" t="str">
        <f>B3</f>
        <v>Walking Statistics</v>
      </c>
      <c r="C59" s="311"/>
      <c r="D59" s="311"/>
      <c r="E59" s="311"/>
      <c r="F59" s="311"/>
      <c r="G59" s="311"/>
      <c r="H59" s="311"/>
      <c r="I59" s="311"/>
      <c r="J59" s="311"/>
      <c r="K59" s="311"/>
      <c r="L59" s="311"/>
      <c r="M59" s="311"/>
      <c r="N59" s="311"/>
      <c r="O59" s="311"/>
      <c r="P59" s="311"/>
      <c r="Q59" s="311"/>
      <c r="R59" s="311"/>
      <c r="S59" s="311"/>
      <c r="T59" s="311"/>
      <c r="U59" s="311"/>
      <c r="V59" s="311"/>
      <c r="W59" s="311"/>
      <c r="X59" s="311"/>
      <c r="Y59" s="311"/>
      <c r="Z59" s="311"/>
      <c r="AA59" s="311"/>
      <c r="AB59" s="311"/>
      <c r="AC59" s="311"/>
      <c r="AD59" s="311"/>
      <c r="AE59" s="311"/>
      <c r="AF59" s="311"/>
      <c r="AG59" s="311"/>
      <c r="AH59" s="311"/>
      <c r="AI59" s="311"/>
      <c r="AJ59" s="311"/>
      <c r="AK59" s="311"/>
      <c r="AL59" s="311"/>
      <c r="AM59" s="311"/>
      <c r="AN59" s="311"/>
      <c r="AP59" s="251"/>
    </row>
    <row r="60" spans="2:42" s="249" customFormat="1">
      <c r="AP60" s="251"/>
    </row>
    <row r="61" spans="2:42" s="249" customFormat="1" ht="12" customHeight="1">
      <c r="B61" s="258" t="str">
        <f>W6&amp;" - "&amp;W12</f>
        <v>Proportion of residents who walk (for at least 10 minutes) at least once a month - 2018/19</v>
      </c>
      <c r="AP61" s="251"/>
    </row>
    <row r="62" spans="2:42" s="249" customFormat="1" ht="12" customHeight="1">
      <c r="AP62" s="251"/>
    </row>
    <row r="63" spans="2:42" s="249" customFormat="1" ht="12" customHeight="1">
      <c r="B63" s="258" t="s">
        <v>362</v>
      </c>
      <c r="AP63" s="251"/>
    </row>
    <row r="64" spans="2:42" s="249" customFormat="1" ht="12" customHeight="1">
      <c r="AP64" s="251"/>
    </row>
    <row r="65" spans="2:42" s="249" customFormat="1" ht="12" customHeight="1">
      <c r="B65" s="308" t="s">
        <v>353</v>
      </c>
      <c r="C65" s="308"/>
      <c r="D65" s="308"/>
      <c r="E65" s="292" t="s">
        <v>333</v>
      </c>
      <c r="F65" s="292"/>
      <c r="G65" s="292"/>
      <c r="H65" s="292"/>
      <c r="I65" s="292"/>
      <c r="J65" s="292"/>
      <c r="K65" s="292"/>
      <c r="L65" s="292"/>
      <c r="M65" s="292"/>
      <c r="N65" s="292"/>
      <c r="O65" s="292"/>
      <c r="P65" s="292"/>
      <c r="Q65" s="292"/>
      <c r="R65" s="292"/>
      <c r="S65" s="292"/>
      <c r="T65" s="292"/>
      <c r="U65" s="308" t="s">
        <v>363</v>
      </c>
      <c r="V65" s="308"/>
      <c r="W65" s="308"/>
      <c r="X65" s="308"/>
      <c r="Y65" s="259"/>
      <c r="Z65" s="259"/>
      <c r="AA65" s="259"/>
      <c r="AB65" s="259"/>
      <c r="AC65" s="260"/>
      <c r="AD65" s="259"/>
      <c r="AE65" s="259"/>
      <c r="AF65" s="259"/>
      <c r="AG65" s="259"/>
      <c r="AH65" s="260"/>
      <c r="AI65" s="259"/>
      <c r="AJ65" s="259"/>
      <c r="AK65" s="259"/>
      <c r="AL65" s="259"/>
      <c r="AP65" s="251"/>
    </row>
    <row r="66" spans="2:42" s="249" customFormat="1" ht="12" customHeight="1">
      <c r="B66" s="299">
        <v>1</v>
      </c>
      <c r="C66" s="295"/>
      <c r="D66" s="295"/>
      <c r="E66" s="293" t="str">
        <f>VLOOKUP(B66,'Filtered Data'!K:L,2,FALSE)</f>
        <v>East Hertfordshire</v>
      </c>
      <c r="F66" s="293"/>
      <c r="G66" s="293"/>
      <c r="H66" s="293"/>
      <c r="I66" s="293"/>
      <c r="J66" s="293"/>
      <c r="K66" s="293"/>
      <c r="L66" s="293"/>
      <c r="M66" s="293"/>
      <c r="N66" s="293"/>
      <c r="O66" s="293"/>
      <c r="P66" s="293"/>
      <c r="Q66" s="293"/>
      <c r="R66" s="293"/>
      <c r="S66" s="293"/>
      <c r="T66" s="293"/>
      <c r="U66" s="296">
        <f>IF('Filtered Data'!$H$8="%.",(VLOOKUP(B66,'Filtered Data'!K:M,3,FALSE))/100,VLOOKUP(B66,'Filtered Data'!K:M,3,FALSE))</f>
        <v>89.096389225280319</v>
      </c>
      <c r="V66" s="296"/>
      <c r="W66" s="296"/>
      <c r="X66" s="296"/>
      <c r="Y66" s="261" t="str">
        <f>IF((VLOOKUP(E66,classifications!C:K,9,FALSE))="Sparse","S","")</f>
        <v>S</v>
      </c>
      <c r="Z66" s="261"/>
      <c r="AA66" s="261"/>
      <c r="AB66" s="261"/>
      <c r="AC66" s="261"/>
      <c r="AD66" s="298"/>
      <c r="AE66" s="298"/>
      <c r="AF66" s="298"/>
      <c r="AG66" s="298"/>
      <c r="AH66" s="298"/>
      <c r="AI66" s="298"/>
      <c r="AJ66" s="298"/>
      <c r="AK66" s="298"/>
      <c r="AL66" s="298"/>
      <c r="AP66" s="251"/>
    </row>
    <row r="67" spans="2:42" s="249" customFormat="1" ht="12" customHeight="1">
      <c r="B67" s="299">
        <v>2</v>
      </c>
      <c r="C67" s="295"/>
      <c r="D67" s="295"/>
      <c r="E67" s="293" t="str">
        <f>VLOOKUP(B67,'Filtered Data'!K:L,2,FALSE)</f>
        <v>Vale of White Horse</v>
      </c>
      <c r="F67" s="293"/>
      <c r="G67" s="293"/>
      <c r="H67" s="293"/>
      <c r="I67" s="293"/>
      <c r="J67" s="293"/>
      <c r="K67" s="293"/>
      <c r="L67" s="293"/>
      <c r="M67" s="293"/>
      <c r="N67" s="293"/>
      <c r="O67" s="293"/>
      <c r="P67" s="293"/>
      <c r="Q67" s="293"/>
      <c r="R67" s="293"/>
      <c r="S67" s="293"/>
      <c r="T67" s="293"/>
      <c r="U67" s="296">
        <f>IF('Filtered Data'!$H$8="%.",(VLOOKUP(B67,'Filtered Data'!K:M,3,FALSE))/100,VLOOKUP(B67,'Filtered Data'!K:M,3,FALSE))</f>
        <v>87.849849296209598</v>
      </c>
      <c r="V67" s="296"/>
      <c r="W67" s="296"/>
      <c r="X67" s="296"/>
      <c r="Y67" s="261" t="str">
        <f>IF((VLOOKUP(E67,classifications!C:K,9,FALSE))="Sparse","S","")</f>
        <v>S</v>
      </c>
      <c r="Z67" s="261"/>
      <c r="AA67" s="261"/>
      <c r="AB67" s="261"/>
      <c r="AC67" s="261"/>
      <c r="AD67" s="298"/>
      <c r="AE67" s="298"/>
      <c r="AF67" s="298"/>
      <c r="AG67" s="298"/>
      <c r="AH67" s="298"/>
      <c r="AI67" s="298"/>
      <c r="AJ67" s="298"/>
      <c r="AK67" s="298"/>
      <c r="AL67" s="298"/>
      <c r="AP67" s="251"/>
    </row>
    <row r="68" spans="2:42" s="249" customFormat="1" ht="12" customHeight="1">
      <c r="B68" s="299">
        <v>3</v>
      </c>
      <c r="C68" s="295"/>
      <c r="D68" s="295"/>
      <c r="E68" s="293" t="str">
        <f>VLOOKUP(B68,'Filtered Data'!K:L,2,FALSE)</f>
        <v>Tunbridge Wells</v>
      </c>
      <c r="F68" s="293"/>
      <c r="G68" s="293"/>
      <c r="H68" s="293"/>
      <c r="I68" s="293"/>
      <c r="J68" s="293"/>
      <c r="K68" s="293"/>
      <c r="L68" s="293"/>
      <c r="M68" s="293"/>
      <c r="N68" s="293"/>
      <c r="O68" s="293"/>
      <c r="P68" s="293"/>
      <c r="Q68" s="293"/>
      <c r="R68" s="293"/>
      <c r="S68" s="293"/>
      <c r="T68" s="293"/>
      <c r="U68" s="296">
        <f>IF('Filtered Data'!$H$8="%.",(VLOOKUP(B68,'Filtered Data'!K:M,3,FALSE))/100,VLOOKUP(B68,'Filtered Data'!K:M,3,FALSE))</f>
        <v>87.387814475626797</v>
      </c>
      <c r="V68" s="296"/>
      <c r="W68" s="296"/>
      <c r="X68" s="296"/>
      <c r="Y68" s="261" t="str">
        <f>IF((VLOOKUP(E68,classifications!C:K,9,FALSE))="Sparse","S","")</f>
        <v>S</v>
      </c>
      <c r="Z68" s="261"/>
      <c r="AA68" s="261"/>
      <c r="AB68" s="261"/>
      <c r="AC68" s="261"/>
      <c r="AD68" s="298"/>
      <c r="AE68" s="298"/>
      <c r="AF68" s="298"/>
      <c r="AG68" s="298"/>
      <c r="AH68" s="298"/>
      <c r="AI68" s="298"/>
      <c r="AJ68" s="298"/>
      <c r="AK68" s="298"/>
      <c r="AL68" s="298"/>
      <c r="AP68" s="251"/>
    </row>
    <row r="69" spans="2:42" s="249" customFormat="1" ht="12" customHeight="1">
      <c r="B69" s="299">
        <v>4</v>
      </c>
      <c r="C69" s="295"/>
      <c r="D69" s="295"/>
      <c r="E69" s="293" t="str">
        <f>VLOOKUP(B69,'Filtered Data'!K:L,2,FALSE)</f>
        <v>Waverley</v>
      </c>
      <c r="F69" s="293"/>
      <c r="G69" s="293"/>
      <c r="H69" s="293"/>
      <c r="I69" s="293"/>
      <c r="J69" s="293"/>
      <c r="K69" s="293"/>
      <c r="L69" s="293"/>
      <c r="M69" s="293"/>
      <c r="N69" s="293"/>
      <c r="O69" s="293"/>
      <c r="P69" s="293"/>
      <c r="Q69" s="293"/>
      <c r="R69" s="293"/>
      <c r="S69" s="293"/>
      <c r="T69" s="293"/>
      <c r="U69" s="296">
        <f>IF('Filtered Data'!$H$8="%.",(VLOOKUP(B69,'Filtered Data'!K:M,3,FALSE))/100,VLOOKUP(B69,'Filtered Data'!K:M,3,FALSE))</f>
        <v>87.271203980687972</v>
      </c>
      <c r="V69" s="296"/>
      <c r="W69" s="296"/>
      <c r="X69" s="296"/>
      <c r="Y69" s="261" t="str">
        <f>IF((VLOOKUP(E69,classifications!C:K,9,FALSE))="Sparse","S","")</f>
        <v/>
      </c>
      <c r="Z69" s="261"/>
      <c r="AA69" s="261"/>
      <c r="AB69" s="261"/>
      <c r="AC69" s="261"/>
      <c r="AD69" s="298"/>
      <c r="AE69" s="298"/>
      <c r="AF69" s="298"/>
      <c r="AG69" s="298"/>
      <c r="AH69" s="298"/>
      <c r="AI69" s="298"/>
      <c r="AJ69" s="298"/>
      <c r="AK69" s="298"/>
      <c r="AL69" s="298"/>
      <c r="AP69" s="251"/>
    </row>
    <row r="70" spans="2:42" s="249" customFormat="1" ht="12" customHeight="1">
      <c r="B70" s="299">
        <v>5</v>
      </c>
      <c r="C70" s="295"/>
      <c r="D70" s="295"/>
      <c r="E70" s="293" t="str">
        <f>VLOOKUP(B70,'Filtered Data'!K:L,2,FALSE)</f>
        <v>South Hams</v>
      </c>
      <c r="F70" s="293"/>
      <c r="G70" s="293"/>
      <c r="H70" s="293"/>
      <c r="I70" s="293"/>
      <c r="J70" s="293"/>
      <c r="K70" s="293"/>
      <c r="L70" s="293"/>
      <c r="M70" s="293"/>
      <c r="N70" s="293"/>
      <c r="O70" s="293"/>
      <c r="P70" s="293"/>
      <c r="Q70" s="293"/>
      <c r="R70" s="293"/>
      <c r="S70" s="293"/>
      <c r="T70" s="293"/>
      <c r="U70" s="296">
        <f>IF('Filtered Data'!$H$8="%.",(VLOOKUP(B70,'Filtered Data'!K:M,3,FALSE))/100,VLOOKUP(B70,'Filtered Data'!K:M,3,FALSE))</f>
        <v>87.125749547120805</v>
      </c>
      <c r="V70" s="296"/>
      <c r="W70" s="296"/>
      <c r="X70" s="296"/>
      <c r="Y70" s="261" t="str">
        <f>IF((VLOOKUP(E70,classifications!C:K,9,FALSE))="Sparse","S","")</f>
        <v>S</v>
      </c>
      <c r="Z70" s="261"/>
      <c r="AA70" s="261"/>
      <c r="AB70" s="261"/>
      <c r="AC70" s="261"/>
      <c r="AD70" s="298"/>
      <c r="AE70" s="298"/>
      <c r="AF70" s="298"/>
      <c r="AG70" s="298"/>
      <c r="AH70" s="298"/>
      <c r="AI70" s="298"/>
      <c r="AJ70" s="298"/>
      <c r="AK70" s="298"/>
      <c r="AL70" s="298"/>
      <c r="AP70" s="251"/>
    </row>
    <row r="71" spans="2:42" s="249" customFormat="1" ht="12" customHeight="1">
      <c r="B71" s="299">
        <v>6</v>
      </c>
      <c r="C71" s="295"/>
      <c r="D71" s="295"/>
      <c r="E71" s="293" t="str">
        <f>VLOOKUP(B71,'Filtered Data'!K:L,2,FALSE)</f>
        <v>Mid Sussex</v>
      </c>
      <c r="F71" s="293"/>
      <c r="G71" s="293"/>
      <c r="H71" s="293"/>
      <c r="I71" s="293"/>
      <c r="J71" s="293"/>
      <c r="K71" s="293"/>
      <c r="L71" s="293"/>
      <c r="M71" s="293"/>
      <c r="N71" s="293"/>
      <c r="O71" s="293"/>
      <c r="P71" s="293"/>
      <c r="Q71" s="293"/>
      <c r="R71" s="293"/>
      <c r="S71" s="293"/>
      <c r="T71" s="293"/>
      <c r="U71" s="296">
        <f>IF('Filtered Data'!$H$8="%.",(VLOOKUP(B71,'Filtered Data'!K:M,3,FALSE))/100,VLOOKUP(B71,'Filtered Data'!K:M,3,FALSE))</f>
        <v>87.100026452317209</v>
      </c>
      <c r="V71" s="296"/>
      <c r="W71" s="296"/>
      <c r="X71" s="296"/>
      <c r="Y71" s="261" t="str">
        <f>IF((VLOOKUP(E71,classifications!C:K,9,FALSE))="Sparse","S","")</f>
        <v>S</v>
      </c>
      <c r="Z71" s="261"/>
      <c r="AA71" s="261"/>
      <c r="AB71" s="261"/>
      <c r="AC71" s="261"/>
      <c r="AD71" s="298"/>
      <c r="AE71" s="298"/>
      <c r="AF71" s="298"/>
      <c r="AG71" s="298"/>
      <c r="AH71" s="298"/>
      <c r="AI71" s="298"/>
      <c r="AJ71" s="298"/>
      <c r="AK71" s="298"/>
      <c r="AL71" s="298"/>
      <c r="AP71" s="251"/>
    </row>
    <row r="72" spans="2:42" s="249" customFormat="1" ht="12" customHeight="1">
      <c r="B72" s="299">
        <v>7</v>
      </c>
      <c r="C72" s="295"/>
      <c r="D72" s="295"/>
      <c r="E72" s="293" t="str">
        <f>VLOOKUP(B72,'Filtered Data'!K:L,2,FALSE)</f>
        <v>Norwich</v>
      </c>
      <c r="F72" s="293"/>
      <c r="G72" s="293"/>
      <c r="H72" s="293"/>
      <c r="I72" s="293"/>
      <c r="J72" s="293"/>
      <c r="K72" s="293"/>
      <c r="L72" s="293"/>
      <c r="M72" s="293"/>
      <c r="N72" s="293"/>
      <c r="O72" s="293"/>
      <c r="P72" s="293"/>
      <c r="Q72" s="293"/>
      <c r="R72" s="293"/>
      <c r="S72" s="293"/>
      <c r="T72" s="293"/>
      <c r="U72" s="296">
        <f>IF('Filtered Data'!$H$8="%.",(VLOOKUP(B72,'Filtered Data'!K:M,3,FALSE))/100,VLOOKUP(B72,'Filtered Data'!K:M,3,FALSE))</f>
        <v>87.086289157111082</v>
      </c>
      <c r="V72" s="296"/>
      <c r="W72" s="296"/>
      <c r="X72" s="296"/>
      <c r="Y72" s="261" t="str">
        <f>IF((VLOOKUP(E72,classifications!C:K,9,FALSE))="Sparse","S","")</f>
        <v/>
      </c>
      <c r="Z72" s="261"/>
      <c r="AA72" s="261"/>
      <c r="AB72" s="261"/>
      <c r="AC72" s="261"/>
      <c r="AD72" s="298"/>
      <c r="AE72" s="298"/>
      <c r="AF72" s="298"/>
      <c r="AG72" s="298"/>
      <c r="AH72" s="298"/>
      <c r="AI72" s="298"/>
      <c r="AJ72" s="298"/>
      <c r="AK72" s="298"/>
      <c r="AL72" s="298"/>
      <c r="AP72" s="251"/>
    </row>
    <row r="73" spans="2:42" s="249" customFormat="1" ht="12" customHeight="1">
      <c r="B73" s="299">
        <v>8</v>
      </c>
      <c r="C73" s="295"/>
      <c r="D73" s="295"/>
      <c r="E73" s="293" t="str">
        <f>VLOOKUP(B73,'Filtered Data'!K:L,2,FALSE)</f>
        <v>Elmbridge</v>
      </c>
      <c r="F73" s="293"/>
      <c r="G73" s="293"/>
      <c r="H73" s="293"/>
      <c r="I73" s="293"/>
      <c r="J73" s="293"/>
      <c r="K73" s="293"/>
      <c r="L73" s="293"/>
      <c r="M73" s="293"/>
      <c r="N73" s="293"/>
      <c r="O73" s="293"/>
      <c r="P73" s="293"/>
      <c r="Q73" s="293"/>
      <c r="R73" s="293"/>
      <c r="S73" s="293"/>
      <c r="T73" s="293"/>
      <c r="U73" s="296">
        <f>IF('Filtered Data'!$H$8="%.",(VLOOKUP(B73,'Filtered Data'!K:M,3,FALSE))/100,VLOOKUP(B73,'Filtered Data'!K:M,3,FALSE))</f>
        <v>86.958562974579777</v>
      </c>
      <c r="V73" s="296"/>
      <c r="W73" s="296"/>
      <c r="X73" s="296"/>
      <c r="Y73" s="261" t="str">
        <f>IF((VLOOKUP(E73,classifications!C:K,9,FALSE))="Sparse","S","")</f>
        <v/>
      </c>
      <c r="Z73" s="261"/>
      <c r="AA73" s="261"/>
      <c r="AB73" s="261"/>
      <c r="AC73" s="261"/>
      <c r="AD73" s="298"/>
      <c r="AE73" s="298"/>
      <c r="AF73" s="298"/>
      <c r="AG73" s="298"/>
      <c r="AH73" s="298"/>
      <c r="AI73" s="298"/>
      <c r="AJ73" s="298"/>
      <c r="AK73" s="298"/>
      <c r="AL73" s="298"/>
      <c r="AP73" s="251"/>
    </row>
    <row r="74" spans="2:42" s="249" customFormat="1" ht="12" customHeight="1">
      <c r="B74" s="299">
        <v>9</v>
      </c>
      <c r="C74" s="295"/>
      <c r="D74" s="295"/>
      <c r="E74" s="293" t="str">
        <f>VLOOKUP(B74,'Filtered Data'!K:L,2,FALSE)</f>
        <v>Winchester</v>
      </c>
      <c r="F74" s="293"/>
      <c r="G74" s="293"/>
      <c r="H74" s="293"/>
      <c r="I74" s="293"/>
      <c r="J74" s="293"/>
      <c r="K74" s="293"/>
      <c r="L74" s="293"/>
      <c r="M74" s="293"/>
      <c r="N74" s="293"/>
      <c r="O74" s="293"/>
      <c r="P74" s="293"/>
      <c r="Q74" s="293"/>
      <c r="R74" s="293"/>
      <c r="S74" s="293"/>
      <c r="T74" s="293"/>
      <c r="U74" s="296">
        <f>IF('Filtered Data'!$H$8="%.",(VLOOKUP(B74,'Filtered Data'!K:M,3,FALSE))/100,VLOOKUP(B74,'Filtered Data'!K:M,3,FALSE))</f>
        <v>86.887516701888018</v>
      </c>
      <c r="V74" s="296"/>
      <c r="W74" s="296"/>
      <c r="X74" s="296"/>
      <c r="Y74" s="261" t="str">
        <f>IF((VLOOKUP(E74,classifications!C:K,9,FALSE))="Sparse","S","")</f>
        <v/>
      </c>
      <c r="Z74" s="261"/>
      <c r="AA74" s="261"/>
      <c r="AB74" s="261"/>
      <c r="AC74" s="261"/>
      <c r="AD74" s="298"/>
      <c r="AE74" s="298"/>
      <c r="AF74" s="298"/>
      <c r="AG74" s="298"/>
      <c r="AH74" s="298"/>
      <c r="AI74" s="298"/>
      <c r="AJ74" s="298"/>
      <c r="AK74" s="298"/>
      <c r="AL74" s="298"/>
      <c r="AP74" s="251"/>
    </row>
    <row r="75" spans="2:42" s="249" customFormat="1" ht="12" customHeight="1">
      <c r="B75" s="299">
        <v>10</v>
      </c>
      <c r="C75" s="295"/>
      <c r="D75" s="295"/>
      <c r="E75" s="293" t="str">
        <f>VLOOKUP(B75,'Filtered Data'!K:L,2,FALSE)</f>
        <v>Cotswold</v>
      </c>
      <c r="F75" s="293"/>
      <c r="G75" s="293"/>
      <c r="H75" s="293"/>
      <c r="I75" s="293"/>
      <c r="J75" s="293"/>
      <c r="K75" s="293"/>
      <c r="L75" s="293"/>
      <c r="M75" s="293"/>
      <c r="N75" s="293"/>
      <c r="O75" s="293"/>
      <c r="P75" s="293"/>
      <c r="Q75" s="293"/>
      <c r="R75" s="293"/>
      <c r="S75" s="293"/>
      <c r="T75" s="293"/>
      <c r="U75" s="296">
        <f>IF('Filtered Data'!$H$8="%.",(VLOOKUP(B75,'Filtered Data'!K:M,3,FALSE))/100,VLOOKUP(B75,'Filtered Data'!K:M,3,FALSE))</f>
        <v>86.859304329799087</v>
      </c>
      <c r="V75" s="296"/>
      <c r="W75" s="296"/>
      <c r="X75" s="296"/>
      <c r="Y75" s="261" t="str">
        <f>IF((VLOOKUP(E75,classifications!C:K,9,FALSE))="Sparse","S","")</f>
        <v>S</v>
      </c>
      <c r="Z75" s="261"/>
      <c r="AA75" s="261"/>
      <c r="AB75" s="261"/>
      <c r="AC75" s="261"/>
      <c r="AD75" s="298"/>
      <c r="AE75" s="298"/>
      <c r="AF75" s="298"/>
      <c r="AG75" s="298"/>
      <c r="AH75" s="298"/>
      <c r="AI75" s="298"/>
      <c r="AJ75" s="298"/>
      <c r="AK75" s="298"/>
      <c r="AL75" s="298"/>
      <c r="AP75" s="251"/>
    </row>
    <row r="76" spans="2:42" s="249" customFormat="1" ht="12" customHeight="1">
      <c r="B76" s="299">
        <v>11</v>
      </c>
      <c r="C76" s="295"/>
      <c r="D76" s="295"/>
      <c r="E76" s="293" t="str">
        <f>VLOOKUP(B76,'Filtered Data'!K:L,2,FALSE)</f>
        <v>Oxford</v>
      </c>
      <c r="F76" s="293"/>
      <c r="G76" s="293"/>
      <c r="H76" s="293"/>
      <c r="I76" s="293"/>
      <c r="J76" s="293"/>
      <c r="K76" s="293"/>
      <c r="L76" s="293"/>
      <c r="M76" s="293"/>
      <c r="N76" s="293"/>
      <c r="O76" s="293"/>
      <c r="P76" s="293"/>
      <c r="Q76" s="293"/>
      <c r="R76" s="293"/>
      <c r="S76" s="293"/>
      <c r="T76" s="293"/>
      <c r="U76" s="296">
        <f>IF('Filtered Data'!$H$8="%.",(VLOOKUP(B76,'Filtered Data'!K:M,3,FALSE))/100,VLOOKUP(B76,'Filtered Data'!K:M,3,FALSE))</f>
        <v>86.735237422815842</v>
      </c>
      <c r="V76" s="296"/>
      <c r="W76" s="296"/>
      <c r="X76" s="296"/>
      <c r="Y76" s="261" t="str">
        <f>IF((VLOOKUP(E76,classifications!C:K,9,FALSE))="Sparse","S","")</f>
        <v/>
      </c>
      <c r="Z76" s="261"/>
      <c r="AA76" s="261"/>
      <c r="AB76" s="261"/>
      <c r="AC76" s="261"/>
      <c r="AD76" s="298"/>
      <c r="AE76" s="298"/>
      <c r="AF76" s="298"/>
      <c r="AG76" s="298"/>
      <c r="AH76" s="298"/>
      <c r="AI76" s="298"/>
      <c r="AJ76" s="298"/>
      <c r="AK76" s="298"/>
      <c r="AL76" s="298"/>
      <c r="AP76" s="251"/>
    </row>
    <row r="77" spans="2:42" s="249" customFormat="1" ht="12" customHeight="1">
      <c r="B77" s="299">
        <v>12</v>
      </c>
      <c r="C77" s="295"/>
      <c r="D77" s="295"/>
      <c r="E77" s="293" t="str">
        <f>VLOOKUP(B77,'Filtered Data'!K:L,2,FALSE)</f>
        <v>Chiltern</v>
      </c>
      <c r="F77" s="293"/>
      <c r="G77" s="293"/>
      <c r="H77" s="293"/>
      <c r="I77" s="293"/>
      <c r="J77" s="293"/>
      <c r="K77" s="293"/>
      <c r="L77" s="293"/>
      <c r="M77" s="293"/>
      <c r="N77" s="293"/>
      <c r="O77" s="293"/>
      <c r="P77" s="293"/>
      <c r="Q77" s="293"/>
      <c r="R77" s="293"/>
      <c r="S77" s="293"/>
      <c r="T77" s="293"/>
      <c r="U77" s="296">
        <f>IF('Filtered Data'!$H$8="%.",(VLOOKUP(B77,'Filtered Data'!K:M,3,FALSE))/100,VLOOKUP(B77,'Filtered Data'!K:M,3,FALSE))</f>
        <v>86.548326647473345</v>
      </c>
      <c r="V77" s="296"/>
      <c r="W77" s="296"/>
      <c r="X77" s="296"/>
      <c r="Y77" s="261" t="str">
        <f>IF((VLOOKUP(E77,classifications!C:K,9,FALSE))="Sparse","S","")</f>
        <v/>
      </c>
      <c r="Z77" s="261"/>
      <c r="AA77" s="261"/>
      <c r="AB77" s="261"/>
      <c r="AC77" s="261"/>
      <c r="AD77" s="298"/>
      <c r="AE77" s="298"/>
      <c r="AF77" s="298"/>
      <c r="AG77" s="298"/>
      <c r="AH77" s="298"/>
      <c r="AI77" s="298"/>
      <c r="AJ77" s="298"/>
      <c r="AK77" s="298"/>
      <c r="AL77" s="298"/>
      <c r="AP77" s="251"/>
    </row>
    <row r="78" spans="2:42" s="249" customFormat="1" ht="12" customHeight="1">
      <c r="B78" s="299">
        <v>13</v>
      </c>
      <c r="C78" s="295"/>
      <c r="D78" s="295"/>
      <c r="E78" s="293" t="str">
        <f>VLOOKUP(B78,'Filtered Data'!K:L,2,FALSE)</f>
        <v>North Hertfordshire</v>
      </c>
      <c r="F78" s="293"/>
      <c r="G78" s="293"/>
      <c r="H78" s="293"/>
      <c r="I78" s="293"/>
      <c r="J78" s="293"/>
      <c r="K78" s="293"/>
      <c r="L78" s="293"/>
      <c r="M78" s="293"/>
      <c r="N78" s="293"/>
      <c r="O78" s="293"/>
      <c r="P78" s="293"/>
      <c r="Q78" s="293"/>
      <c r="R78" s="293"/>
      <c r="S78" s="293"/>
      <c r="T78" s="293"/>
      <c r="U78" s="296">
        <f>IF('Filtered Data'!$H$8="%.",(VLOOKUP(B78,'Filtered Data'!K:M,3,FALSE))/100,VLOOKUP(B78,'Filtered Data'!K:M,3,FALSE))</f>
        <v>86.48148459683577</v>
      </c>
      <c r="V78" s="296"/>
      <c r="W78" s="296"/>
      <c r="X78" s="296"/>
      <c r="Y78" s="261" t="str">
        <f>IF((VLOOKUP(E78,classifications!C:K,9,FALSE))="Sparse","S","")</f>
        <v/>
      </c>
      <c r="Z78" s="261"/>
      <c r="AA78" s="261"/>
      <c r="AB78" s="261"/>
      <c r="AC78" s="261"/>
      <c r="AD78" s="298"/>
      <c r="AE78" s="298"/>
      <c r="AF78" s="298"/>
      <c r="AG78" s="298"/>
      <c r="AH78" s="298"/>
      <c r="AI78" s="298"/>
      <c r="AJ78" s="298"/>
      <c r="AK78" s="298"/>
      <c r="AL78" s="298"/>
      <c r="AP78" s="251"/>
    </row>
    <row r="79" spans="2:42" s="249" customFormat="1" ht="12" customHeight="1">
      <c r="B79" s="299">
        <v>14</v>
      </c>
      <c r="C79" s="295"/>
      <c r="D79" s="295"/>
      <c r="E79" s="293" t="str">
        <f>VLOOKUP(B79,'Filtered Data'!K:L,2,FALSE)</f>
        <v>Mid Devon</v>
      </c>
      <c r="F79" s="293"/>
      <c r="G79" s="293"/>
      <c r="H79" s="293"/>
      <c r="I79" s="293"/>
      <c r="J79" s="293"/>
      <c r="K79" s="293"/>
      <c r="L79" s="293"/>
      <c r="M79" s="293"/>
      <c r="N79" s="293"/>
      <c r="O79" s="293"/>
      <c r="P79" s="293"/>
      <c r="Q79" s="293"/>
      <c r="R79" s="293"/>
      <c r="S79" s="293"/>
      <c r="T79" s="293"/>
      <c r="U79" s="296">
        <f>IF('Filtered Data'!$H$8="%.",(VLOOKUP(B79,'Filtered Data'!K:M,3,FALSE))/100,VLOOKUP(B79,'Filtered Data'!K:M,3,FALSE))</f>
        <v>86.428841112143985</v>
      </c>
      <c r="V79" s="296"/>
      <c r="W79" s="296"/>
      <c r="X79" s="296"/>
      <c r="Y79" s="261" t="str">
        <f>IF((VLOOKUP(E79,classifications!C:K,9,FALSE))="Sparse","S","")</f>
        <v>S</v>
      </c>
      <c r="Z79" s="261"/>
      <c r="AA79" s="261"/>
      <c r="AB79" s="261"/>
      <c r="AC79" s="261"/>
      <c r="AD79" s="298"/>
      <c r="AE79" s="298"/>
      <c r="AF79" s="298"/>
      <c r="AG79" s="298"/>
      <c r="AH79" s="298"/>
      <c r="AI79" s="298"/>
      <c r="AJ79" s="298"/>
      <c r="AK79" s="298"/>
      <c r="AL79" s="298"/>
      <c r="AP79" s="251"/>
    </row>
    <row r="80" spans="2:42" s="249" customFormat="1" ht="12" customHeight="1">
      <c r="B80" s="299">
        <v>15</v>
      </c>
      <c r="C80" s="295"/>
      <c r="D80" s="295"/>
      <c r="E80" s="293" t="str">
        <f>VLOOKUP(B80,'Filtered Data'!K:L,2,FALSE)</f>
        <v>High Peak</v>
      </c>
      <c r="F80" s="293"/>
      <c r="G80" s="293"/>
      <c r="H80" s="293"/>
      <c r="I80" s="293"/>
      <c r="J80" s="293"/>
      <c r="K80" s="293"/>
      <c r="L80" s="293"/>
      <c r="M80" s="293"/>
      <c r="N80" s="293"/>
      <c r="O80" s="293"/>
      <c r="P80" s="293"/>
      <c r="Q80" s="293"/>
      <c r="R80" s="293"/>
      <c r="S80" s="293"/>
      <c r="T80" s="293"/>
      <c r="U80" s="296">
        <f>IF('Filtered Data'!$H$8="%.",(VLOOKUP(B80,'Filtered Data'!K:M,3,FALSE))/100,VLOOKUP(B80,'Filtered Data'!K:M,3,FALSE))</f>
        <v>86.379262892419391</v>
      </c>
      <c r="V80" s="296"/>
      <c r="W80" s="296"/>
      <c r="X80" s="296"/>
      <c r="Y80" s="261" t="str">
        <f>IF((VLOOKUP(E80,classifications!C:K,9,FALSE))="Sparse","S","")</f>
        <v/>
      </c>
      <c r="Z80" s="261"/>
      <c r="AA80" s="261"/>
      <c r="AB80" s="261"/>
      <c r="AC80" s="261"/>
      <c r="AD80" s="298"/>
      <c r="AE80" s="298"/>
      <c r="AF80" s="298"/>
      <c r="AG80" s="298"/>
      <c r="AH80" s="298"/>
      <c r="AI80" s="298"/>
      <c r="AJ80" s="298"/>
      <c r="AK80" s="298"/>
      <c r="AL80" s="298"/>
      <c r="AP80" s="251"/>
    </row>
    <row r="81" spans="2:48" s="249" customFormat="1" ht="12" customHeight="1">
      <c r="B81" s="299">
        <v>16</v>
      </c>
      <c r="C81" s="295"/>
      <c r="D81" s="295"/>
      <c r="E81" s="293" t="str">
        <f>VLOOKUP(B81,'Filtered Data'!K:L,2,FALSE)</f>
        <v>Stroud</v>
      </c>
      <c r="F81" s="293"/>
      <c r="G81" s="293"/>
      <c r="H81" s="293"/>
      <c r="I81" s="293"/>
      <c r="J81" s="293"/>
      <c r="K81" s="293"/>
      <c r="L81" s="293"/>
      <c r="M81" s="293"/>
      <c r="N81" s="293"/>
      <c r="O81" s="293"/>
      <c r="P81" s="293"/>
      <c r="Q81" s="293"/>
      <c r="R81" s="293"/>
      <c r="S81" s="293"/>
      <c r="T81" s="293"/>
      <c r="U81" s="296">
        <f>IF('Filtered Data'!$H$8="%.",(VLOOKUP(B81,'Filtered Data'!K:M,3,FALSE))/100,VLOOKUP(B81,'Filtered Data'!K:M,3,FALSE))</f>
        <v>86.265798297340964</v>
      </c>
      <c r="V81" s="296"/>
      <c r="W81" s="296"/>
      <c r="X81" s="296"/>
      <c r="Y81" s="261" t="str">
        <f>IF((VLOOKUP(E81,classifications!C:K,9,FALSE))="Sparse","S","")</f>
        <v>S</v>
      </c>
      <c r="Z81" s="261"/>
      <c r="AA81" s="261"/>
      <c r="AB81" s="261"/>
      <c r="AC81" s="261"/>
      <c r="AD81" s="298"/>
      <c r="AE81" s="298"/>
      <c r="AF81" s="298"/>
      <c r="AG81" s="298"/>
      <c r="AH81" s="298"/>
      <c r="AI81" s="298"/>
      <c r="AJ81" s="298"/>
      <c r="AK81" s="298"/>
      <c r="AL81" s="298"/>
      <c r="AP81" s="251"/>
    </row>
    <row r="82" spans="2:48" s="249" customFormat="1" ht="12" customHeight="1">
      <c r="B82" s="299">
        <v>17</v>
      </c>
      <c r="C82" s="295"/>
      <c r="D82" s="295"/>
      <c r="E82" s="293" t="str">
        <f>VLOOKUP(B82,'Filtered Data'!K:L,2,FALSE)</f>
        <v>Exeter</v>
      </c>
      <c r="F82" s="293"/>
      <c r="G82" s="293"/>
      <c r="H82" s="293"/>
      <c r="I82" s="293"/>
      <c r="J82" s="293"/>
      <c r="K82" s="293"/>
      <c r="L82" s="293"/>
      <c r="M82" s="293"/>
      <c r="N82" s="293"/>
      <c r="O82" s="293"/>
      <c r="P82" s="293"/>
      <c r="Q82" s="293"/>
      <c r="R82" s="293"/>
      <c r="S82" s="293"/>
      <c r="T82" s="293"/>
      <c r="U82" s="296">
        <f>IF('Filtered Data'!$H$8="%.",(VLOOKUP(B82,'Filtered Data'!K:M,3,FALSE))/100,VLOOKUP(B82,'Filtered Data'!K:M,3,FALSE))</f>
        <v>86.243288658425897</v>
      </c>
      <c r="V82" s="296"/>
      <c r="W82" s="296"/>
      <c r="X82" s="296"/>
      <c r="Y82" s="261" t="str">
        <f>IF((VLOOKUP(E82,classifications!C:K,9,FALSE))="Sparse","S","")</f>
        <v/>
      </c>
      <c r="Z82" s="261"/>
      <c r="AA82" s="261"/>
      <c r="AB82" s="261"/>
      <c r="AC82" s="261"/>
      <c r="AD82" s="298"/>
      <c r="AE82" s="298"/>
      <c r="AF82" s="298"/>
      <c r="AG82" s="298"/>
      <c r="AH82" s="298"/>
      <c r="AI82" s="298"/>
      <c r="AJ82" s="298"/>
      <c r="AK82" s="298"/>
      <c r="AL82" s="298"/>
      <c r="AP82" s="251"/>
    </row>
    <row r="83" spans="2:48" s="249" customFormat="1" ht="12" customHeight="1">
      <c r="B83" s="299">
        <v>18</v>
      </c>
      <c r="C83" s="295"/>
      <c r="D83" s="295"/>
      <c r="E83" s="293" t="str">
        <f>VLOOKUP(B83,'Filtered Data'!K:L,2,FALSE)</f>
        <v>South Oxfordshire</v>
      </c>
      <c r="F83" s="293"/>
      <c r="G83" s="293"/>
      <c r="H83" s="293"/>
      <c r="I83" s="293"/>
      <c r="J83" s="293"/>
      <c r="K83" s="293"/>
      <c r="L83" s="293"/>
      <c r="M83" s="293"/>
      <c r="N83" s="293"/>
      <c r="O83" s="293"/>
      <c r="P83" s="293"/>
      <c r="Q83" s="293"/>
      <c r="R83" s="293"/>
      <c r="S83" s="293"/>
      <c r="T83" s="293"/>
      <c r="U83" s="296">
        <f>IF('Filtered Data'!$H$8="%.",(VLOOKUP(B83,'Filtered Data'!K:M,3,FALSE))/100,VLOOKUP(B83,'Filtered Data'!K:M,3,FALSE))</f>
        <v>86.042324820859747</v>
      </c>
      <c r="V83" s="296"/>
      <c r="W83" s="296"/>
      <c r="X83" s="296"/>
      <c r="Y83" s="261" t="str">
        <f>IF((VLOOKUP(E83,classifications!C:K,9,FALSE))="Sparse","S","")</f>
        <v>S</v>
      </c>
      <c r="Z83" s="261"/>
      <c r="AA83" s="261"/>
      <c r="AB83" s="261"/>
      <c r="AC83" s="261"/>
      <c r="AD83" s="298"/>
      <c r="AE83" s="298"/>
      <c r="AF83" s="298"/>
      <c r="AG83" s="298"/>
      <c r="AH83" s="298"/>
      <c r="AI83" s="298"/>
      <c r="AJ83" s="298"/>
      <c r="AK83" s="298"/>
      <c r="AL83" s="298"/>
      <c r="AP83" s="251"/>
    </row>
    <row r="84" spans="2:48" s="249" customFormat="1" ht="12" customHeight="1">
      <c r="B84" s="299">
        <v>19</v>
      </c>
      <c r="C84" s="295"/>
      <c r="D84" s="295"/>
      <c r="E84" s="293" t="str">
        <f>VLOOKUP(B84,'Filtered Data'!K:L,2,FALSE)</f>
        <v>Colchester</v>
      </c>
      <c r="F84" s="293"/>
      <c r="G84" s="293"/>
      <c r="H84" s="293"/>
      <c r="I84" s="293"/>
      <c r="J84" s="293"/>
      <c r="K84" s="293"/>
      <c r="L84" s="293"/>
      <c r="M84" s="293"/>
      <c r="N84" s="293"/>
      <c r="O84" s="293"/>
      <c r="P84" s="293"/>
      <c r="Q84" s="293"/>
      <c r="R84" s="293"/>
      <c r="S84" s="293"/>
      <c r="T84" s="293"/>
      <c r="U84" s="296">
        <f>IF('Filtered Data'!$H$8="%.",(VLOOKUP(B84,'Filtered Data'!K:M,3,FALSE))/100,VLOOKUP(B84,'Filtered Data'!K:M,3,FALSE))</f>
        <v>85.935779844222566</v>
      </c>
      <c r="V84" s="296"/>
      <c r="W84" s="296"/>
      <c r="X84" s="296"/>
      <c r="Y84" s="261" t="str">
        <f>IF((VLOOKUP(E84,classifications!C:K,9,FALSE))="Sparse","S","")</f>
        <v/>
      </c>
      <c r="Z84" s="261"/>
      <c r="AA84" s="261"/>
      <c r="AB84" s="261"/>
      <c r="AC84" s="261"/>
      <c r="AD84" s="298"/>
      <c r="AE84" s="298"/>
      <c r="AF84" s="298"/>
      <c r="AG84" s="298"/>
      <c r="AH84" s="298"/>
      <c r="AI84" s="298"/>
      <c r="AJ84" s="298"/>
      <c r="AK84" s="298"/>
      <c r="AL84" s="298"/>
      <c r="AP84" s="251"/>
    </row>
    <row r="85" spans="2:48" s="249" customFormat="1" ht="12" customHeight="1">
      <c r="B85" s="299">
        <v>20</v>
      </c>
      <c r="C85" s="299"/>
      <c r="D85" s="299"/>
      <c r="E85" s="293" t="str">
        <f>VLOOKUP(B85,'Filtered Data'!K:L,2,FALSE)</f>
        <v>Mole Valley</v>
      </c>
      <c r="F85" s="293"/>
      <c r="G85" s="293"/>
      <c r="H85" s="293"/>
      <c r="I85" s="293"/>
      <c r="J85" s="293"/>
      <c r="K85" s="293"/>
      <c r="L85" s="293"/>
      <c r="M85" s="293"/>
      <c r="N85" s="293"/>
      <c r="O85" s="293"/>
      <c r="P85" s="293"/>
      <c r="Q85" s="293"/>
      <c r="R85" s="293"/>
      <c r="S85" s="293"/>
      <c r="T85" s="293"/>
      <c r="U85" s="296">
        <f>IF('Filtered Data'!$H$8="%.",(VLOOKUP(B85,'Filtered Data'!K:M,3,FALSE))/100,VLOOKUP(B85,'Filtered Data'!K:M,3,FALSE))</f>
        <v>85.933136408770679</v>
      </c>
      <c r="V85" s="296"/>
      <c r="W85" s="296"/>
      <c r="X85" s="296"/>
      <c r="Y85" s="261" t="str">
        <f>IF((VLOOKUP(E85,classifications!C:K,9,FALSE))="Sparse","S","")</f>
        <v/>
      </c>
      <c r="Z85" s="261"/>
      <c r="AA85" s="261"/>
      <c r="AB85" s="261"/>
      <c r="AC85" s="261"/>
      <c r="AD85" s="298"/>
      <c r="AE85" s="298"/>
      <c r="AF85" s="298"/>
      <c r="AG85" s="298"/>
      <c r="AH85" s="298"/>
      <c r="AI85" s="298"/>
      <c r="AJ85" s="298"/>
      <c r="AK85" s="298"/>
      <c r="AL85" s="298"/>
      <c r="AP85" s="251"/>
    </row>
    <row r="86" spans="2:48" s="249" customFormat="1" ht="12" customHeight="1">
      <c r="B86" s="325">
        <f>IF(Q37&lt;=MAX(B66:D85),"",Q37)</f>
        <v>103</v>
      </c>
      <c r="C86" s="325"/>
      <c r="D86" s="325"/>
      <c r="E86" s="293" t="str">
        <f>IF(B86="","",VLOOKUP(B86,'Filtered Data'!K:L,2,FALSE))</f>
        <v>Allerdale</v>
      </c>
      <c r="F86" s="293"/>
      <c r="G86" s="293"/>
      <c r="H86" s="293"/>
      <c r="I86" s="293"/>
      <c r="J86" s="293"/>
      <c r="K86" s="293"/>
      <c r="L86" s="293"/>
      <c r="M86" s="293"/>
      <c r="N86" s="293"/>
      <c r="O86" s="293"/>
      <c r="P86" s="293"/>
      <c r="Q86" s="293"/>
      <c r="R86" s="293"/>
      <c r="S86" s="293"/>
      <c r="T86" s="293"/>
      <c r="U86" s="351">
        <f>IF(B86="","",L35)</f>
        <v>80.664917544522837</v>
      </c>
      <c r="V86" s="351"/>
      <c r="W86" s="351"/>
      <c r="X86" s="351"/>
      <c r="Y86" s="261" t="str">
        <f>IF(B86="","",IF((VLOOKUP(E86,classifications!C:K,9,FALSE))="Sparse","S",""))</f>
        <v>S</v>
      </c>
      <c r="Z86" s="261"/>
      <c r="AA86" s="261"/>
      <c r="AB86" s="261"/>
      <c r="AC86" s="261"/>
      <c r="AD86" s="308"/>
      <c r="AE86" s="308"/>
      <c r="AF86" s="308"/>
      <c r="AG86" s="308"/>
      <c r="AH86" s="308"/>
      <c r="AI86" s="308"/>
      <c r="AJ86" s="308"/>
      <c r="AK86" s="308"/>
      <c r="AL86" s="308"/>
      <c r="AP86" s="251"/>
    </row>
    <row r="87" spans="2:48" s="249" customFormat="1" ht="12" customHeight="1">
      <c r="B87" s="262"/>
      <c r="C87" s="262"/>
      <c r="D87" s="262"/>
      <c r="E87" s="250"/>
      <c r="F87" s="250"/>
      <c r="G87" s="250"/>
      <c r="H87" s="250"/>
      <c r="I87" s="250"/>
      <c r="J87" s="250"/>
      <c r="K87" s="250"/>
      <c r="L87" s="250"/>
      <c r="M87" s="250"/>
      <c r="N87" s="250"/>
      <c r="O87" s="250"/>
      <c r="P87" s="250"/>
      <c r="Q87" s="250"/>
      <c r="R87" s="250"/>
      <c r="S87" s="250"/>
      <c r="T87" s="250"/>
      <c r="U87" s="263"/>
      <c r="V87" s="263"/>
      <c r="W87" s="263"/>
      <c r="X87" s="263"/>
      <c r="AP87" s="251"/>
    </row>
    <row r="88" spans="2:48" s="249" customFormat="1" ht="12" customHeight="1">
      <c r="AP88" s="251"/>
    </row>
    <row r="89" spans="2:48" s="249" customFormat="1" ht="12" customHeight="1">
      <c r="B89" s="258" t="str">
        <f>IF('Filtered Data'!D1="MD","",IF('Filtered Data'!D1="SC","",IF('Filtered Data'!D1="UA","Regional Authorites:","County Authorities:")))</f>
        <v>County Authorities:</v>
      </c>
      <c r="K89" s="258" t="str">
        <f>IF('Filtered Data'!D1="UA",J9,J10)</f>
        <v>Cumbria</v>
      </c>
      <c r="U89" s="258"/>
      <c r="AD89" s="258"/>
      <c r="AP89" s="251"/>
    </row>
    <row r="90" spans="2:48" s="249" customFormat="1" ht="12" customHeight="1">
      <c r="B90" s="258"/>
      <c r="AP90" s="251"/>
    </row>
    <row r="91" spans="2:48" s="249" customFormat="1" ht="12" customHeight="1">
      <c r="B91" s="308" t="str">
        <f>IF('Filtered Data'!D1="MD","",IF('Filtered Data'!D1="SC","","Rank"))</f>
        <v>Rank</v>
      </c>
      <c r="C91" s="308"/>
      <c r="D91" s="308"/>
      <c r="E91" s="292" t="str">
        <f>IF('Filtered Data'!D1="MD","",IF('Filtered Data'!D1="SC","","Authority"))</f>
        <v>Authority</v>
      </c>
      <c r="F91" s="292"/>
      <c r="G91" s="292"/>
      <c r="H91" s="292"/>
      <c r="I91" s="292"/>
      <c r="J91" s="292"/>
      <c r="K91" s="292"/>
      <c r="L91" s="292"/>
      <c r="M91" s="292"/>
      <c r="N91" s="292"/>
      <c r="O91" s="269"/>
      <c r="P91" s="269"/>
      <c r="Q91" s="269"/>
      <c r="R91" s="269"/>
      <c r="S91" s="269"/>
      <c r="T91" s="269"/>
      <c r="U91" s="308" t="str">
        <f>IF('Filtered Data'!D1="MD","",IF('Filtered Data'!D1="SC","","Value"))</f>
        <v>Value</v>
      </c>
      <c r="V91" s="308"/>
      <c r="W91" s="308"/>
      <c r="AA91" s="308"/>
      <c r="AB91" s="308"/>
      <c r="AC91" s="308"/>
      <c r="AD91" s="292"/>
      <c r="AE91" s="292"/>
      <c r="AF91" s="292"/>
      <c r="AG91" s="292"/>
      <c r="AH91" s="292"/>
      <c r="AI91" s="292"/>
      <c r="AJ91" s="292"/>
      <c r="AK91" s="292"/>
      <c r="AL91" s="292"/>
      <c r="AM91" s="292"/>
      <c r="AN91" s="308"/>
      <c r="AO91" s="308"/>
      <c r="AP91" s="308"/>
      <c r="AV91" s="251"/>
    </row>
    <row r="92" spans="2:48" s="249" customFormat="1" ht="12" customHeight="1">
      <c r="B92" s="299">
        <f>IF('Filtered Data'!$D$1="MD","",IF('Filtered Data'!$D$1="SC","",IF('Filtered Data'!$D$1="UA",'Filtered Data'!AS11,'Filtered Data'!AL11)))</f>
        <v>1</v>
      </c>
      <c r="C92" s="295"/>
      <c r="D92" s="295"/>
      <c r="E92" s="293" t="str">
        <f>IF(B92="","",IF('Filtered Data'!$D$1="UA",VLOOKUP(B92,'Filtered Data'!AS:AU,2,FALSE),VLOOKUP(B92,'Filtered Data'!AL:AN,2,FALSE)))</f>
        <v>South Lakeland</v>
      </c>
      <c r="F92" s="293"/>
      <c r="G92" s="293"/>
      <c r="H92" s="293"/>
      <c r="I92" s="293"/>
      <c r="J92" s="293"/>
      <c r="K92" s="293"/>
      <c r="L92" s="293"/>
      <c r="M92" s="293"/>
      <c r="N92" s="293"/>
      <c r="O92" s="293"/>
      <c r="P92" s="293"/>
      <c r="Q92" s="293"/>
      <c r="R92" s="293"/>
      <c r="S92" s="293"/>
      <c r="T92" s="293"/>
      <c r="U92" s="296">
        <f>IF(B92="","",IF('Filtered Data'!$D$1&amp;'Filtered Data'!$H$8="UA%.",(VLOOKUP(B92,'Filtered Data'!AS:AU,3,FALSE))/100,IF('Filtered Data'!$D$1&amp;'Filtered Data'!$H$8="UA%%",(VLOOKUP(B92,'Filtered Data'!AS:AU,3,FALSE)),IF('Filtered Data'!$D$1&amp;'Filtered Data'!$H$8="UA..",(VLOOKUP(B92,'Filtered Data'!AS:AU,3,FALSE)),IF('Filtered Data'!$H$8="%.",VLOOKUP(B92,'Filtered Data'!AL:AN,3,FALSE)/100,VLOOKUP(B92,'Filtered Data'!AL:AN,3,FALSE))))))</f>
        <v>84.820275705397847</v>
      </c>
      <c r="V92" s="296"/>
      <c r="W92" s="296"/>
      <c r="X92" s="296"/>
      <c r="Y92" s="264" t="str">
        <f>IF(E92="","",IF((VLOOKUP(E92,classifications!C:K,9,FALSE))="Sparse","S",""))</f>
        <v>S</v>
      </c>
      <c r="AA92" s="294"/>
      <c r="AB92" s="295"/>
      <c r="AC92" s="295"/>
      <c r="AD92" s="293"/>
      <c r="AE92" s="293"/>
      <c r="AF92" s="293"/>
      <c r="AG92" s="293"/>
      <c r="AH92" s="293"/>
      <c r="AI92" s="293"/>
      <c r="AJ92" s="293"/>
      <c r="AK92" s="293"/>
      <c r="AL92" s="293"/>
      <c r="AM92" s="293"/>
      <c r="AN92" s="350"/>
      <c r="AO92" s="350"/>
      <c r="AP92" s="350"/>
      <c r="AQ92" s="350"/>
      <c r="AR92" s="264"/>
      <c r="AV92" s="251"/>
    </row>
    <row r="93" spans="2:48" s="249" customFormat="1" ht="12" customHeight="1">
      <c r="B93" s="299">
        <f>IF('Filtered Data'!$D$1="MD","",IF('Filtered Data'!$D$1="SC","",IF('Filtered Data'!$D$1="UA",'Filtered Data'!AS12,'Filtered Data'!AL12)))</f>
        <v>2</v>
      </c>
      <c r="C93" s="295"/>
      <c r="D93" s="295"/>
      <c r="E93" s="293" t="str">
        <f>IF(B93="","",IF('Filtered Data'!$D$1="UA",VLOOKUP(B93,'Filtered Data'!AS:AU,2,FALSE),VLOOKUP(B93,'Filtered Data'!AL:AN,2,FALSE)))</f>
        <v>Eden</v>
      </c>
      <c r="F93" s="293"/>
      <c r="G93" s="293"/>
      <c r="H93" s="293"/>
      <c r="I93" s="293"/>
      <c r="J93" s="293"/>
      <c r="K93" s="293"/>
      <c r="L93" s="293"/>
      <c r="M93" s="293"/>
      <c r="N93" s="293"/>
      <c r="O93" s="293"/>
      <c r="P93" s="293"/>
      <c r="Q93" s="293"/>
      <c r="R93" s="293"/>
      <c r="S93" s="293"/>
      <c r="T93" s="293"/>
      <c r="U93" s="296">
        <f>IF(B93="","",IF('Filtered Data'!$D$1&amp;'Filtered Data'!$H$8="UA%.",(VLOOKUP(B93,'Filtered Data'!AS:AU,3,FALSE))/100,IF('Filtered Data'!$D$1&amp;'Filtered Data'!$H$8="UA%%",(VLOOKUP(B93,'Filtered Data'!AS:AU,3,FALSE)),IF('Filtered Data'!$D$1&amp;'Filtered Data'!$H$8="UA..",(VLOOKUP(B93,'Filtered Data'!AS:AU,3,FALSE)),IF('Filtered Data'!$H$8="%.",VLOOKUP(B93,'Filtered Data'!AL:AN,3,FALSE)/100,VLOOKUP(B93,'Filtered Data'!AL:AN,3,FALSE))))))</f>
        <v>83.882245443162091</v>
      </c>
      <c r="V93" s="296"/>
      <c r="W93" s="296"/>
      <c r="X93" s="296"/>
      <c r="Y93" s="264" t="str">
        <f>IF(E93="","",IF((VLOOKUP(E93,classifications!C:K,9,FALSE))="Sparse","S",""))</f>
        <v>S</v>
      </c>
      <c r="AA93" s="294"/>
      <c r="AB93" s="295"/>
      <c r="AC93" s="295"/>
      <c r="AD93" s="293"/>
      <c r="AE93" s="293"/>
      <c r="AF93" s="293"/>
      <c r="AG93" s="293"/>
      <c r="AH93" s="293"/>
      <c r="AI93" s="293"/>
      <c r="AJ93" s="293"/>
      <c r="AK93" s="293"/>
      <c r="AL93" s="293"/>
      <c r="AM93" s="293"/>
      <c r="AN93" s="350"/>
      <c r="AO93" s="350"/>
      <c r="AP93" s="350"/>
      <c r="AQ93" s="350"/>
      <c r="AR93" s="264"/>
      <c r="AV93" s="251"/>
    </row>
    <row r="94" spans="2:48" s="249" customFormat="1" ht="12" customHeight="1">
      <c r="B94" s="299">
        <f>IF('Filtered Data'!$D$1="MD","",IF('Filtered Data'!$D$1="SC","",IF('Filtered Data'!$D$1="UA",'Filtered Data'!AS13,'Filtered Data'!AL13)))</f>
        <v>3</v>
      </c>
      <c r="C94" s="295"/>
      <c r="D94" s="295"/>
      <c r="E94" s="293" t="str">
        <f>IF(B94="","",IF('Filtered Data'!$D$1="UA",VLOOKUP(B94,'Filtered Data'!AS:AU,2,FALSE),VLOOKUP(B94,'Filtered Data'!AL:AN,2,FALSE)))</f>
        <v>Barrow-in-Furness</v>
      </c>
      <c r="F94" s="293"/>
      <c r="G94" s="293"/>
      <c r="H94" s="293"/>
      <c r="I94" s="293"/>
      <c r="J94" s="293"/>
      <c r="K94" s="293"/>
      <c r="L94" s="293"/>
      <c r="M94" s="293"/>
      <c r="N94" s="293"/>
      <c r="O94" s="293"/>
      <c r="P94" s="293"/>
      <c r="Q94" s="293"/>
      <c r="R94" s="293"/>
      <c r="S94" s="293"/>
      <c r="T94" s="293"/>
      <c r="U94" s="296">
        <f>IF(B94="","",IF('Filtered Data'!$D$1&amp;'Filtered Data'!$H$8="UA%.",(VLOOKUP(B94,'Filtered Data'!AS:AU,3,FALSE))/100,IF('Filtered Data'!$D$1&amp;'Filtered Data'!$H$8="UA%%",(VLOOKUP(B94,'Filtered Data'!AS:AU,3,FALSE)),IF('Filtered Data'!$D$1&amp;'Filtered Data'!$H$8="UA..",(VLOOKUP(B94,'Filtered Data'!AS:AU,3,FALSE)),IF('Filtered Data'!$H$8="%.",VLOOKUP(B94,'Filtered Data'!AL:AN,3,FALSE)/100,VLOOKUP(B94,'Filtered Data'!AL:AN,3,FALSE))))))</f>
        <v>81.833029922135211</v>
      </c>
      <c r="V94" s="296"/>
      <c r="W94" s="296"/>
      <c r="X94" s="296"/>
      <c r="Y94" s="264" t="str">
        <f>IF(E94="","",IF((VLOOKUP(E94,classifications!C:K,9,FALSE))="Sparse","S",""))</f>
        <v/>
      </c>
      <c r="AA94" s="294"/>
      <c r="AB94" s="295"/>
      <c r="AC94" s="295"/>
      <c r="AD94" s="293"/>
      <c r="AE94" s="293"/>
      <c r="AF94" s="293"/>
      <c r="AG94" s="293"/>
      <c r="AH94" s="293"/>
      <c r="AI94" s="293"/>
      <c r="AJ94" s="293"/>
      <c r="AK94" s="293"/>
      <c r="AL94" s="293"/>
      <c r="AM94" s="293"/>
      <c r="AN94" s="350"/>
      <c r="AO94" s="350"/>
      <c r="AP94" s="350"/>
      <c r="AQ94" s="350"/>
      <c r="AR94" s="264"/>
      <c r="AV94" s="251"/>
    </row>
    <row r="95" spans="2:48" s="249" customFormat="1" ht="12" customHeight="1">
      <c r="B95" s="299">
        <f>IF('Filtered Data'!$D$1="MD","",IF('Filtered Data'!$D$1="SC","",IF('Filtered Data'!$D$1="UA",'Filtered Data'!AS14,'Filtered Data'!AL14)))</f>
        <v>4</v>
      </c>
      <c r="C95" s="295"/>
      <c r="D95" s="295"/>
      <c r="E95" s="293" t="str">
        <f>IF(B95="","",IF('Filtered Data'!$D$1="UA",VLOOKUP(B95,'Filtered Data'!AS:AU,2,FALSE),VLOOKUP(B95,'Filtered Data'!AL:AN,2,FALSE)))</f>
        <v>Copeland</v>
      </c>
      <c r="F95" s="293"/>
      <c r="G95" s="293"/>
      <c r="H95" s="293"/>
      <c r="I95" s="293"/>
      <c r="J95" s="293"/>
      <c r="K95" s="293"/>
      <c r="L95" s="293"/>
      <c r="M95" s="293"/>
      <c r="N95" s="293"/>
      <c r="O95" s="293"/>
      <c r="P95" s="293"/>
      <c r="Q95" s="293"/>
      <c r="R95" s="293"/>
      <c r="S95" s="293"/>
      <c r="T95" s="293"/>
      <c r="U95" s="296">
        <f>IF(B95="","",IF('Filtered Data'!$D$1&amp;'Filtered Data'!$H$8="UA%.",(VLOOKUP(B95,'Filtered Data'!AS:AU,3,FALSE))/100,IF('Filtered Data'!$D$1&amp;'Filtered Data'!$H$8="UA%%",(VLOOKUP(B95,'Filtered Data'!AS:AU,3,FALSE)),IF('Filtered Data'!$D$1&amp;'Filtered Data'!$H$8="UA..",(VLOOKUP(B95,'Filtered Data'!AS:AU,3,FALSE)),IF('Filtered Data'!$H$8="%.",VLOOKUP(B95,'Filtered Data'!AL:AN,3,FALSE)/100,VLOOKUP(B95,'Filtered Data'!AL:AN,3,FALSE))))))</f>
        <v>80.802168649499023</v>
      </c>
      <c r="V95" s="296"/>
      <c r="W95" s="296"/>
      <c r="X95" s="296"/>
      <c r="Y95" s="264" t="str">
        <f>IF(E95="","",IF((VLOOKUP(E95,classifications!C:K,9,FALSE))="Sparse","S",""))</f>
        <v>S</v>
      </c>
      <c r="AA95" s="294"/>
      <c r="AB95" s="295"/>
      <c r="AC95" s="295"/>
      <c r="AD95" s="293"/>
      <c r="AE95" s="293"/>
      <c r="AF95" s="293"/>
      <c r="AG95" s="293"/>
      <c r="AH95" s="293"/>
      <c r="AI95" s="293"/>
      <c r="AJ95" s="293"/>
      <c r="AK95" s="293"/>
      <c r="AL95" s="293"/>
      <c r="AM95" s="293"/>
      <c r="AN95" s="350"/>
      <c r="AO95" s="350"/>
      <c r="AP95" s="350"/>
      <c r="AQ95" s="350"/>
      <c r="AR95" s="264"/>
      <c r="AV95" s="251"/>
    </row>
    <row r="96" spans="2:48" s="249" customFormat="1" ht="12" customHeight="1">
      <c r="B96" s="299">
        <f>IF('Filtered Data'!$D$1="MD","",IF('Filtered Data'!$D$1="SC","",IF('Filtered Data'!$D$1="UA",'Filtered Data'!AS15,'Filtered Data'!AL15)))</f>
        <v>5</v>
      </c>
      <c r="C96" s="295"/>
      <c r="D96" s="295"/>
      <c r="E96" s="293" t="str">
        <f>IF(B96="","",IF('Filtered Data'!$D$1="UA",VLOOKUP(B96,'Filtered Data'!AS:AU,2,FALSE),VLOOKUP(B96,'Filtered Data'!AL:AN,2,FALSE)))</f>
        <v>Allerdale</v>
      </c>
      <c r="F96" s="293"/>
      <c r="G96" s="293"/>
      <c r="H96" s="293"/>
      <c r="I96" s="293"/>
      <c r="J96" s="293"/>
      <c r="K96" s="293"/>
      <c r="L96" s="293"/>
      <c r="M96" s="293"/>
      <c r="N96" s="293"/>
      <c r="O96" s="293"/>
      <c r="P96" s="293"/>
      <c r="Q96" s="293"/>
      <c r="R96" s="293"/>
      <c r="S96" s="293"/>
      <c r="T96" s="293"/>
      <c r="U96" s="296">
        <f>IF(B96="","",IF('Filtered Data'!$D$1&amp;'Filtered Data'!$H$8="UA%.",(VLOOKUP(B96,'Filtered Data'!AS:AU,3,FALSE))/100,IF('Filtered Data'!$D$1&amp;'Filtered Data'!$H$8="UA%%",(VLOOKUP(B96,'Filtered Data'!AS:AU,3,FALSE)),IF('Filtered Data'!$D$1&amp;'Filtered Data'!$H$8="UA..",(VLOOKUP(B96,'Filtered Data'!AS:AU,3,FALSE)),IF('Filtered Data'!$H$8="%.",VLOOKUP(B96,'Filtered Data'!AL:AN,3,FALSE)/100,VLOOKUP(B96,'Filtered Data'!AL:AN,3,FALSE))))))</f>
        <v>80.664917544522837</v>
      </c>
      <c r="V96" s="296"/>
      <c r="W96" s="296"/>
      <c r="X96" s="296"/>
      <c r="Y96" s="264" t="str">
        <f>IF(E96="","",IF((VLOOKUP(E96,classifications!C:K,9,FALSE))="Sparse","S",""))</f>
        <v>S</v>
      </c>
      <c r="AA96" s="294"/>
      <c r="AB96" s="295"/>
      <c r="AC96" s="295"/>
      <c r="AD96" s="293"/>
      <c r="AE96" s="293"/>
      <c r="AF96" s="293"/>
      <c r="AG96" s="293"/>
      <c r="AH96" s="293"/>
      <c r="AI96" s="293"/>
      <c r="AJ96" s="293"/>
      <c r="AK96" s="293"/>
      <c r="AL96" s="293"/>
      <c r="AM96" s="293"/>
      <c r="AN96" s="350"/>
      <c r="AO96" s="350"/>
      <c r="AP96" s="350"/>
      <c r="AQ96" s="350"/>
      <c r="AR96" s="264"/>
      <c r="AV96" s="251"/>
    </row>
    <row r="97" spans="2:48" s="249" customFormat="1" ht="12" customHeight="1">
      <c r="B97" s="299">
        <f>IF('Filtered Data'!$D$1="MD","",IF('Filtered Data'!$D$1="SC","",IF('Filtered Data'!$D$1="UA",'Filtered Data'!AS16,'Filtered Data'!AL16)))</f>
        <v>6</v>
      </c>
      <c r="C97" s="295"/>
      <c r="D97" s="295"/>
      <c r="E97" s="293" t="str">
        <f>IF(B97="","",IF('Filtered Data'!$D$1="UA",VLOOKUP(B97,'Filtered Data'!AS:AU,2,FALSE),VLOOKUP(B97,'Filtered Data'!AL:AN,2,FALSE)))</f>
        <v>Carlisle</v>
      </c>
      <c r="F97" s="293"/>
      <c r="G97" s="293"/>
      <c r="H97" s="293"/>
      <c r="I97" s="293"/>
      <c r="J97" s="293"/>
      <c r="K97" s="293"/>
      <c r="L97" s="293"/>
      <c r="M97" s="293"/>
      <c r="N97" s="293"/>
      <c r="O97" s="293"/>
      <c r="P97" s="293"/>
      <c r="Q97" s="293"/>
      <c r="R97" s="293"/>
      <c r="S97" s="293"/>
      <c r="T97" s="293"/>
      <c r="U97" s="296">
        <f>IF(B97="","",IF('Filtered Data'!$D$1&amp;'Filtered Data'!$H$8="UA%.",(VLOOKUP(B97,'Filtered Data'!AS:AU,3,FALSE))/100,IF('Filtered Data'!$D$1&amp;'Filtered Data'!$H$8="UA%%",(VLOOKUP(B97,'Filtered Data'!AS:AU,3,FALSE)),IF('Filtered Data'!$D$1&amp;'Filtered Data'!$H$8="UA..",(VLOOKUP(B97,'Filtered Data'!AS:AU,3,FALSE)),IF('Filtered Data'!$H$8="%.",VLOOKUP(B97,'Filtered Data'!AL:AN,3,FALSE)/100,VLOOKUP(B97,'Filtered Data'!AL:AN,3,FALSE))))))</f>
        <v>78.627178356786359</v>
      </c>
      <c r="V97" s="296"/>
      <c r="W97" s="296"/>
      <c r="X97" s="296"/>
      <c r="Y97" s="264" t="str">
        <f>IF(E97="","",IF((VLOOKUP(E97,classifications!C:K,9,FALSE))="Sparse","S",""))</f>
        <v/>
      </c>
      <c r="AA97" s="294"/>
      <c r="AB97" s="295"/>
      <c r="AC97" s="295"/>
      <c r="AD97" s="293"/>
      <c r="AE97" s="293"/>
      <c r="AF97" s="293"/>
      <c r="AG97" s="293"/>
      <c r="AH97" s="293"/>
      <c r="AI97" s="293"/>
      <c r="AJ97" s="293"/>
      <c r="AK97" s="293"/>
      <c r="AL97" s="293"/>
      <c r="AM97" s="293"/>
      <c r="AN97" s="350"/>
      <c r="AO97" s="350"/>
      <c r="AP97" s="350"/>
      <c r="AQ97" s="350"/>
      <c r="AR97" s="264"/>
      <c r="AV97" s="251"/>
    </row>
    <row r="98" spans="2:48" s="249" customFormat="1" ht="12" customHeight="1">
      <c r="B98" s="299" t="str">
        <f>IF('Filtered Data'!$D$1="MD","",IF('Filtered Data'!$D$1="SC","",IF('Filtered Data'!$D$1="UA",'Filtered Data'!AS17,'Filtered Data'!AL17)))</f>
        <v/>
      </c>
      <c r="C98" s="299"/>
      <c r="D98" s="299"/>
      <c r="E98" s="293" t="str">
        <f>IF(B98="","",IF('Filtered Data'!$D$1="UA",VLOOKUP(B98,'Filtered Data'!AS:AU,2,FALSE),VLOOKUP(B98,'Filtered Data'!AL:AN,2,FALSE)))</f>
        <v/>
      </c>
      <c r="F98" s="293"/>
      <c r="G98" s="293"/>
      <c r="H98" s="293"/>
      <c r="I98" s="293"/>
      <c r="J98" s="293"/>
      <c r="K98" s="293"/>
      <c r="L98" s="293"/>
      <c r="M98" s="293"/>
      <c r="N98" s="293"/>
      <c r="O98" s="293"/>
      <c r="P98" s="293"/>
      <c r="Q98" s="293"/>
      <c r="R98" s="293"/>
      <c r="S98" s="293"/>
      <c r="T98" s="293"/>
      <c r="U98" s="296" t="str">
        <f>IF(B98="","",IF('Filtered Data'!$D$1&amp;'Filtered Data'!$H$8="UA%.",(VLOOKUP(B98,'Filtered Data'!AS:AU,3,FALSE))/100,IF('Filtered Data'!$D$1&amp;'Filtered Data'!$H$8="UA%%",(VLOOKUP(B98,'Filtered Data'!AS:AU,3,FALSE)),IF('Filtered Data'!$D$1&amp;'Filtered Data'!$H$8="UA..",(VLOOKUP(B98,'Filtered Data'!AS:AU,3,FALSE)),IF('Filtered Data'!$H$8="%.",VLOOKUP(B98,'Filtered Data'!AL:AN,3,FALSE)/100,VLOOKUP(B98,'Filtered Data'!AL:AN,3,FALSE))))))</f>
        <v/>
      </c>
      <c r="V98" s="296"/>
      <c r="W98" s="296"/>
      <c r="X98" s="296"/>
      <c r="Y98" s="264" t="str">
        <f>IF(E98="","",IF((VLOOKUP(E98,classifications!C:K,9,FALSE))="Sparse","S",""))</f>
        <v/>
      </c>
      <c r="AA98" s="294"/>
      <c r="AB98" s="295"/>
      <c r="AC98" s="295"/>
      <c r="AD98" s="293"/>
      <c r="AE98" s="293"/>
      <c r="AF98" s="293"/>
      <c r="AG98" s="293"/>
      <c r="AH98" s="293"/>
      <c r="AI98" s="293"/>
      <c r="AJ98" s="293"/>
      <c r="AK98" s="293"/>
      <c r="AL98" s="293"/>
      <c r="AM98" s="293"/>
      <c r="AN98" s="350"/>
      <c r="AO98" s="350"/>
      <c r="AP98" s="350"/>
      <c r="AQ98" s="350"/>
      <c r="AR98" s="264"/>
      <c r="AV98" s="251"/>
    </row>
    <row r="99" spans="2:48" s="249" customFormat="1" ht="12" customHeight="1">
      <c r="B99" s="299" t="str">
        <f>IF('Filtered Data'!$D$1="MD","",IF('Filtered Data'!$D$1="SC","",IF('Filtered Data'!$D$1="UA",'Filtered Data'!AS18,'Filtered Data'!AL18)))</f>
        <v/>
      </c>
      <c r="C99" s="299"/>
      <c r="D99" s="299"/>
      <c r="E99" s="293" t="str">
        <f>IF(B99="","",IF('Filtered Data'!$D$1="UA",VLOOKUP(B99,'Filtered Data'!AS:AU,2,FALSE),VLOOKUP(B99,'Filtered Data'!AL:AN,2,FALSE)))</f>
        <v/>
      </c>
      <c r="F99" s="293"/>
      <c r="G99" s="293"/>
      <c r="H99" s="293"/>
      <c r="I99" s="293"/>
      <c r="J99" s="293"/>
      <c r="K99" s="293"/>
      <c r="L99" s="293"/>
      <c r="M99" s="293"/>
      <c r="N99" s="293"/>
      <c r="O99" s="293"/>
      <c r="P99" s="293"/>
      <c r="Q99" s="293"/>
      <c r="R99" s="293"/>
      <c r="S99" s="293"/>
      <c r="T99" s="293"/>
      <c r="U99" s="296" t="str">
        <f>IF(B99="","",IF('Filtered Data'!$D$1&amp;'Filtered Data'!$H$8="UA%.",(VLOOKUP(B99,'Filtered Data'!AS:AU,3,FALSE))/100,IF('Filtered Data'!$D$1&amp;'Filtered Data'!$H$8="UA%%",(VLOOKUP(B99,'Filtered Data'!AS:AU,3,FALSE)),IF('Filtered Data'!$D$1&amp;'Filtered Data'!$H$8="UA..",(VLOOKUP(B99,'Filtered Data'!AS:AU,3,FALSE)),IF('Filtered Data'!$H$8="%.",VLOOKUP(B99,'Filtered Data'!AL:AN,3,FALSE)/100,VLOOKUP(B99,'Filtered Data'!AL:AN,3,FALSE))))))</f>
        <v/>
      </c>
      <c r="V99" s="296"/>
      <c r="W99" s="296"/>
      <c r="X99" s="296"/>
      <c r="Y99" s="264" t="str">
        <f>IF(E99="","",IF((VLOOKUP(E99,classifications!C:K,9,FALSE))="Sparse","S",""))</f>
        <v/>
      </c>
      <c r="AA99" s="294"/>
      <c r="AB99" s="295"/>
      <c r="AC99" s="295"/>
      <c r="AD99" s="293"/>
      <c r="AE99" s="293"/>
      <c r="AF99" s="293"/>
      <c r="AG99" s="293"/>
      <c r="AH99" s="293"/>
      <c r="AI99" s="293"/>
      <c r="AJ99" s="293"/>
      <c r="AK99" s="293"/>
      <c r="AL99" s="293"/>
      <c r="AM99" s="293"/>
      <c r="AN99" s="350"/>
      <c r="AO99" s="350"/>
      <c r="AP99" s="350"/>
      <c r="AQ99" s="350"/>
      <c r="AR99" s="264"/>
      <c r="AV99" s="251"/>
    </row>
    <row r="100" spans="2:48" s="249" customFormat="1" ht="12" customHeight="1">
      <c r="B100" s="299" t="str">
        <f>IF('Filtered Data'!$D$1="MD","",IF('Filtered Data'!$D$1="SC","",IF('Filtered Data'!$D$1="UA",'Filtered Data'!AS19,'Filtered Data'!AL19)))</f>
        <v/>
      </c>
      <c r="C100" s="299"/>
      <c r="D100" s="299"/>
      <c r="E100" s="293" t="str">
        <f>IF(B100="","",IF('Filtered Data'!$D$1="UA",VLOOKUP(B100,'Filtered Data'!AS:AU,2,FALSE),VLOOKUP(B100,'Filtered Data'!AL:AN,2,FALSE)))</f>
        <v/>
      </c>
      <c r="F100" s="293"/>
      <c r="G100" s="293"/>
      <c r="H100" s="293"/>
      <c r="I100" s="293"/>
      <c r="J100" s="293"/>
      <c r="K100" s="293"/>
      <c r="L100" s="293"/>
      <c r="M100" s="293"/>
      <c r="N100" s="293"/>
      <c r="O100" s="293"/>
      <c r="P100" s="293"/>
      <c r="Q100" s="293"/>
      <c r="R100" s="293"/>
      <c r="S100" s="293"/>
      <c r="T100" s="293"/>
      <c r="U100" s="296" t="str">
        <f>IF(B100="","",IF('Filtered Data'!$D$1&amp;'Filtered Data'!$H$8="UA%.",(VLOOKUP(B100,'Filtered Data'!AS:AU,3,FALSE))/100,IF('Filtered Data'!$D$1&amp;'Filtered Data'!$H$8="UA%%",(VLOOKUP(B100,'Filtered Data'!AS:AU,3,FALSE)),IF('Filtered Data'!$D$1&amp;'Filtered Data'!$H$8="UA..",(VLOOKUP(B100,'Filtered Data'!AS:AU,3,FALSE)),IF('Filtered Data'!$H$8="%.",VLOOKUP(B100,'Filtered Data'!AL:AN,3,FALSE)/100,VLOOKUP(B100,'Filtered Data'!AL:AN,3,FALSE))))))</f>
        <v/>
      </c>
      <c r="V100" s="296"/>
      <c r="W100" s="296"/>
      <c r="X100" s="296"/>
      <c r="Y100" s="264" t="str">
        <f>IF(E100="","",IF((VLOOKUP(E100,classifications!C:K,9,FALSE))="Sparse","S",""))</f>
        <v/>
      </c>
      <c r="AA100" s="294"/>
      <c r="AB100" s="295"/>
      <c r="AC100" s="295"/>
      <c r="AD100" s="293"/>
      <c r="AE100" s="293"/>
      <c r="AF100" s="293"/>
      <c r="AG100" s="293"/>
      <c r="AH100" s="293"/>
      <c r="AI100" s="293"/>
      <c r="AJ100" s="293"/>
      <c r="AK100" s="293"/>
      <c r="AL100" s="293"/>
      <c r="AM100" s="293"/>
      <c r="AN100" s="350"/>
      <c r="AO100" s="350"/>
      <c r="AP100" s="350"/>
      <c r="AQ100" s="350"/>
      <c r="AR100" s="264"/>
      <c r="AV100" s="251"/>
    </row>
    <row r="101" spans="2:48" s="249" customFormat="1" ht="12" customHeight="1">
      <c r="B101" s="299" t="str">
        <f>IF('Filtered Data'!$D$1="MD","",IF('Filtered Data'!$D$1="SC","",IF('Filtered Data'!$D$1="UA",'Filtered Data'!AS20,'Filtered Data'!AL20)))</f>
        <v/>
      </c>
      <c r="C101" s="299"/>
      <c r="D101" s="299"/>
      <c r="E101" s="293" t="str">
        <f>IF(B101="","",IF('Filtered Data'!$D$1="UA",VLOOKUP(B101,'Filtered Data'!AS:AU,2,FALSE),VLOOKUP(B101,'Filtered Data'!AL:AN,2,FALSE)))</f>
        <v/>
      </c>
      <c r="F101" s="293"/>
      <c r="G101" s="293"/>
      <c r="H101" s="293"/>
      <c r="I101" s="293"/>
      <c r="J101" s="293"/>
      <c r="K101" s="293"/>
      <c r="L101" s="293"/>
      <c r="M101" s="293"/>
      <c r="N101" s="293"/>
      <c r="O101" s="293"/>
      <c r="P101" s="293"/>
      <c r="Q101" s="293"/>
      <c r="R101" s="293"/>
      <c r="S101" s="293"/>
      <c r="T101" s="293"/>
      <c r="U101" s="296" t="str">
        <f>IF(B101="","",IF('Filtered Data'!$D$1&amp;'Filtered Data'!$H$8="UA%.",(VLOOKUP(B101,'Filtered Data'!AS:AU,3,FALSE))/100,IF('Filtered Data'!$D$1&amp;'Filtered Data'!$H$8="UA%%",(VLOOKUP(B101,'Filtered Data'!AS:AU,3,FALSE)),IF('Filtered Data'!$D$1&amp;'Filtered Data'!$H$8="UA..",(VLOOKUP(B101,'Filtered Data'!AS:AU,3,FALSE)),IF('Filtered Data'!$H$8="%.",VLOOKUP(B101,'Filtered Data'!AL:AN,3,FALSE)/100,VLOOKUP(B101,'Filtered Data'!AL:AN,3,FALSE))))))</f>
        <v/>
      </c>
      <c r="V101" s="296"/>
      <c r="W101" s="296"/>
      <c r="X101" s="296"/>
      <c r="Y101" s="264" t="str">
        <f>IF(E101="","",IF((VLOOKUP(E101,classifications!C:K,9,FALSE))="Sparse","S",""))</f>
        <v/>
      </c>
      <c r="AA101" s="294"/>
      <c r="AB101" s="295"/>
      <c r="AC101" s="295"/>
      <c r="AD101" s="293"/>
      <c r="AE101" s="293"/>
      <c r="AF101" s="293"/>
      <c r="AG101" s="293"/>
      <c r="AH101" s="293"/>
      <c r="AI101" s="293"/>
      <c r="AJ101" s="293"/>
      <c r="AK101" s="293"/>
      <c r="AL101" s="293"/>
      <c r="AM101" s="293"/>
      <c r="AN101" s="350"/>
      <c r="AO101" s="350"/>
      <c r="AP101" s="350"/>
      <c r="AQ101" s="350"/>
      <c r="AR101" s="264"/>
      <c r="AV101" s="251"/>
    </row>
    <row r="102" spans="2:48" s="249" customFormat="1" ht="12" customHeight="1">
      <c r="B102" s="299" t="str">
        <f>IF('Filtered Data'!$D$1="MD","",IF('Filtered Data'!$D$1="SC","",IF('Filtered Data'!$D$1="UA",'Filtered Data'!AS21,'Filtered Data'!AL21)))</f>
        <v/>
      </c>
      <c r="C102" s="299"/>
      <c r="D102" s="299"/>
      <c r="E102" s="293" t="str">
        <f>IF(B102="","",IF('Filtered Data'!$D$1="UA",VLOOKUP(B102,'Filtered Data'!AS:AU,2,FALSE),VLOOKUP(B102,'Filtered Data'!AL:AN,2,FALSE)))</f>
        <v/>
      </c>
      <c r="F102" s="293"/>
      <c r="G102" s="293"/>
      <c r="H102" s="293"/>
      <c r="I102" s="293"/>
      <c r="J102" s="293"/>
      <c r="K102" s="293"/>
      <c r="L102" s="293"/>
      <c r="M102" s="293"/>
      <c r="N102" s="293"/>
      <c r="O102" s="293"/>
      <c r="P102" s="293"/>
      <c r="Q102" s="293"/>
      <c r="R102" s="293"/>
      <c r="S102" s="293"/>
      <c r="T102" s="293"/>
      <c r="U102" s="296" t="str">
        <f>IF(B102="","",IF('Filtered Data'!$D$1&amp;'Filtered Data'!$H$8="UA%.",(VLOOKUP(B102,'Filtered Data'!AS:AU,3,FALSE))/100,IF('Filtered Data'!$D$1&amp;'Filtered Data'!$H$8="UA%%",(VLOOKUP(B102,'Filtered Data'!AS:AU,3,FALSE)),IF('Filtered Data'!$D$1&amp;'Filtered Data'!$H$8="UA..",(VLOOKUP(B102,'Filtered Data'!AS:AU,3,FALSE)),IF('Filtered Data'!$H$8="%.",VLOOKUP(B102,'Filtered Data'!AL:AN,3,FALSE)/100,VLOOKUP(B102,'Filtered Data'!AL:AN,3,FALSE))))))</f>
        <v/>
      </c>
      <c r="V102" s="296"/>
      <c r="W102" s="296"/>
      <c r="X102" s="296"/>
      <c r="Y102" s="264" t="str">
        <f>IF(E102="","",IF((VLOOKUP(E102,classifications!C:K,9,FALSE))="Sparse","S",""))</f>
        <v/>
      </c>
      <c r="AA102" s="294"/>
      <c r="AB102" s="295"/>
      <c r="AC102" s="295"/>
      <c r="AD102" s="293"/>
      <c r="AE102" s="293"/>
      <c r="AF102" s="293"/>
      <c r="AG102" s="293"/>
      <c r="AH102" s="293"/>
      <c r="AI102" s="293"/>
      <c r="AJ102" s="293"/>
      <c r="AK102" s="293"/>
      <c r="AL102" s="293"/>
      <c r="AM102" s="293"/>
      <c r="AN102" s="350"/>
      <c r="AO102" s="350"/>
      <c r="AP102" s="350"/>
      <c r="AQ102" s="350"/>
      <c r="AR102" s="264"/>
      <c r="AV102" s="251"/>
    </row>
    <row r="103" spans="2:48" s="249" customFormat="1" ht="12" customHeight="1">
      <c r="B103" s="299" t="str">
        <f>IF('Filtered Data'!$D$1="MD","",IF('Filtered Data'!$D$1="SC","",IF('Filtered Data'!$D$1="UA",'Filtered Data'!AS22,'Filtered Data'!AL22)))</f>
        <v/>
      </c>
      <c r="C103" s="299"/>
      <c r="D103" s="299"/>
      <c r="E103" s="293" t="str">
        <f>IF(B103="","",IF('Filtered Data'!$D$1="UA",VLOOKUP(B103,'Filtered Data'!AS:AU,2,FALSE),VLOOKUP(B103,'Filtered Data'!AL:AN,2,FALSE)))</f>
        <v/>
      </c>
      <c r="F103" s="293"/>
      <c r="G103" s="293"/>
      <c r="H103" s="293"/>
      <c r="I103" s="293"/>
      <c r="J103" s="293"/>
      <c r="K103" s="293"/>
      <c r="L103" s="293"/>
      <c r="M103" s="293"/>
      <c r="N103" s="293"/>
      <c r="O103" s="293"/>
      <c r="P103" s="293"/>
      <c r="Q103" s="293"/>
      <c r="R103" s="293"/>
      <c r="S103" s="293"/>
      <c r="T103" s="293"/>
      <c r="U103" s="296" t="str">
        <f>IF(B103="","",IF('Filtered Data'!$D$1&amp;'Filtered Data'!$H$8="UA%.",(VLOOKUP(B103,'Filtered Data'!AS:AU,3,FALSE))/100,IF('Filtered Data'!$D$1&amp;'Filtered Data'!$H$8="UA%%",(VLOOKUP(B103,'Filtered Data'!AS:AU,3,FALSE)),IF('Filtered Data'!$D$1&amp;'Filtered Data'!$H$8="UA..",(VLOOKUP(B103,'Filtered Data'!AS:AU,3,FALSE)),IF('Filtered Data'!$H$8="%.",VLOOKUP(B103,'Filtered Data'!AL:AN,3,FALSE)/100,VLOOKUP(B103,'Filtered Data'!AL:AN,3,FALSE))))))</f>
        <v/>
      </c>
      <c r="V103" s="296"/>
      <c r="W103" s="296"/>
      <c r="X103" s="296"/>
      <c r="Y103" s="264" t="str">
        <f>IF(E103="","",IF((VLOOKUP(E103,classifications!C:K,9,FALSE))="Sparse","S",""))</f>
        <v/>
      </c>
      <c r="AA103" s="294"/>
      <c r="AB103" s="295"/>
      <c r="AC103" s="295"/>
      <c r="AD103" s="293"/>
      <c r="AE103" s="293"/>
      <c r="AF103" s="293"/>
      <c r="AG103" s="293"/>
      <c r="AH103" s="293"/>
      <c r="AI103" s="293"/>
      <c r="AJ103" s="293"/>
      <c r="AK103" s="293"/>
      <c r="AL103" s="293"/>
      <c r="AM103" s="293"/>
      <c r="AN103" s="350"/>
      <c r="AO103" s="350"/>
      <c r="AP103" s="350"/>
      <c r="AQ103" s="350"/>
      <c r="AR103" s="264"/>
      <c r="AV103" s="251"/>
    </row>
    <row r="104" spans="2:48" s="249" customFormat="1" ht="12" customHeight="1">
      <c r="B104" s="299" t="str">
        <f>IF('Filtered Data'!$D$1="MD","",IF('Filtered Data'!$D$1="SC","",IF('Filtered Data'!$D$1="UA",'Filtered Data'!AS23,'Filtered Data'!AL23)))</f>
        <v/>
      </c>
      <c r="C104" s="299"/>
      <c r="D104" s="299"/>
      <c r="E104" s="293" t="str">
        <f>IF(B104="","",IF('Filtered Data'!$D$1="UA",VLOOKUP(B104,'Filtered Data'!AS:AU,2,FALSE),VLOOKUP(B104,'Filtered Data'!AL:AN,2,FALSE)))</f>
        <v/>
      </c>
      <c r="F104" s="293"/>
      <c r="G104" s="293"/>
      <c r="H104" s="293"/>
      <c r="I104" s="293"/>
      <c r="J104" s="293"/>
      <c r="K104" s="293"/>
      <c r="L104" s="293"/>
      <c r="M104" s="293"/>
      <c r="N104" s="293"/>
      <c r="O104" s="293"/>
      <c r="P104" s="293"/>
      <c r="Q104" s="293"/>
      <c r="R104" s="293"/>
      <c r="S104" s="293"/>
      <c r="T104" s="293"/>
      <c r="U104" s="296" t="str">
        <f>IF(B104="","",IF('Filtered Data'!$D$1&amp;'Filtered Data'!$H$8="UA%.",(VLOOKUP(B104,'Filtered Data'!AS:AU,3,FALSE))/100,IF('Filtered Data'!$D$1&amp;'Filtered Data'!$H$8="UA%%",(VLOOKUP(B104,'Filtered Data'!AS:AU,3,FALSE)),IF('Filtered Data'!$D$1&amp;'Filtered Data'!$H$8="UA..",(VLOOKUP(B104,'Filtered Data'!AS:AU,3,FALSE)),IF('Filtered Data'!$H$8="%.",VLOOKUP(B104,'Filtered Data'!AL:AN,3,FALSE)/100,VLOOKUP(B104,'Filtered Data'!AL:AN,3,FALSE))))))</f>
        <v/>
      </c>
      <c r="V104" s="296"/>
      <c r="W104" s="296"/>
      <c r="X104" s="296"/>
      <c r="Y104" s="264" t="str">
        <f>IF(E104="","",IF((VLOOKUP(E104,classifications!C:K,9,FALSE))="Sparse","S",""))</f>
        <v/>
      </c>
      <c r="AA104" s="294"/>
      <c r="AB104" s="295"/>
      <c r="AC104" s="295"/>
      <c r="AD104" s="293"/>
      <c r="AE104" s="293"/>
      <c r="AF104" s="293"/>
      <c r="AG104" s="293"/>
      <c r="AH104" s="293"/>
      <c r="AI104" s="293"/>
      <c r="AJ104" s="293"/>
      <c r="AK104" s="293"/>
      <c r="AL104" s="293"/>
      <c r="AM104" s="293"/>
      <c r="AN104" s="350"/>
      <c r="AO104" s="350"/>
      <c r="AP104" s="350"/>
      <c r="AQ104" s="350"/>
      <c r="AR104" s="264"/>
      <c r="AV104" s="251"/>
    </row>
    <row r="105" spans="2:48" s="249" customFormat="1" ht="12" customHeight="1">
      <c r="B105" s="299" t="str">
        <f>IF('Filtered Data'!$D$1="MD","",IF('Filtered Data'!$D$1="SC","",IF('Filtered Data'!$D$1="UA",'Filtered Data'!AS24,'Filtered Data'!AL24)))</f>
        <v/>
      </c>
      <c r="C105" s="299"/>
      <c r="D105" s="299"/>
      <c r="E105" s="293" t="str">
        <f>IF(B105="","",IF('Filtered Data'!$D$1="UA",VLOOKUP(B105,'Filtered Data'!AS:AU,2,FALSE),VLOOKUP(B105,'Filtered Data'!AL:AN,2,FALSE)))</f>
        <v/>
      </c>
      <c r="F105" s="293"/>
      <c r="G105" s="293"/>
      <c r="H105" s="293"/>
      <c r="I105" s="293"/>
      <c r="J105" s="293"/>
      <c r="K105" s="293"/>
      <c r="L105" s="293"/>
      <c r="M105" s="293"/>
      <c r="N105" s="293"/>
      <c r="O105" s="293"/>
      <c r="P105" s="293"/>
      <c r="Q105" s="293"/>
      <c r="R105" s="293"/>
      <c r="S105" s="293"/>
      <c r="T105" s="293"/>
      <c r="U105" s="296" t="str">
        <f>IF(B105="","",IF('Filtered Data'!$D$1&amp;'Filtered Data'!$H$8="UA%.",(VLOOKUP(B105,'Filtered Data'!AS:AU,3,FALSE))/100,IF('Filtered Data'!$D$1&amp;'Filtered Data'!$H$8="UA%%",(VLOOKUP(B105,'Filtered Data'!AS:AU,3,FALSE)),IF('Filtered Data'!$D$1&amp;'Filtered Data'!$H$8="UA..",(VLOOKUP(B105,'Filtered Data'!AS:AU,3,FALSE)),IF('Filtered Data'!$H$8="%.",VLOOKUP(B105,'Filtered Data'!AL:AN,3,FALSE)/100,VLOOKUP(B105,'Filtered Data'!AL:AN,3,FALSE))))))</f>
        <v/>
      </c>
      <c r="V105" s="296"/>
      <c r="W105" s="296"/>
      <c r="X105" s="296"/>
      <c r="Y105" s="264" t="str">
        <f>IF(E105="","",IF((VLOOKUP(E105,classifications!C:K,9,FALSE))="Sparse","S",""))</f>
        <v/>
      </c>
      <c r="AA105" s="294"/>
      <c r="AB105" s="295"/>
      <c r="AC105" s="295"/>
      <c r="AD105" s="293"/>
      <c r="AE105" s="293"/>
      <c r="AF105" s="293"/>
      <c r="AG105" s="293"/>
      <c r="AH105" s="293"/>
      <c r="AI105" s="293"/>
      <c r="AJ105" s="293"/>
      <c r="AK105" s="293"/>
      <c r="AL105" s="293"/>
      <c r="AM105" s="293"/>
      <c r="AN105" s="350"/>
      <c r="AO105" s="350"/>
      <c r="AP105" s="350"/>
      <c r="AQ105" s="350"/>
      <c r="AR105" s="264"/>
      <c r="AV105" s="251"/>
    </row>
    <row r="106" spans="2:48" s="249" customFormat="1" ht="12" customHeight="1">
      <c r="B106" s="299" t="str">
        <f>IF('Filtered Data'!$D$1="MD","",IF('Filtered Data'!$D$1="SC","",IF('Filtered Data'!$D$1="UA",'Filtered Data'!AS25,'Filtered Data'!AL25)))</f>
        <v/>
      </c>
      <c r="C106" s="299"/>
      <c r="D106" s="299"/>
      <c r="E106" s="293" t="str">
        <f>IF(B106="","",IF('Filtered Data'!$D$1="UA",VLOOKUP(B106,'Filtered Data'!AS:AU,2,FALSE),VLOOKUP(B106,'Filtered Data'!AL:AN,2,FALSE)))</f>
        <v/>
      </c>
      <c r="F106" s="293"/>
      <c r="G106" s="293"/>
      <c r="H106" s="293"/>
      <c r="I106" s="293"/>
      <c r="J106" s="293"/>
      <c r="K106" s="293"/>
      <c r="L106" s="293"/>
      <c r="M106" s="293"/>
      <c r="N106" s="293"/>
      <c r="O106" s="293"/>
      <c r="P106" s="293"/>
      <c r="Q106" s="293"/>
      <c r="R106" s="293"/>
      <c r="S106" s="293"/>
      <c r="T106" s="293"/>
      <c r="U106" s="296" t="str">
        <f>IF(B106="","",IF('Filtered Data'!$D$1&amp;'Filtered Data'!$H$8="UA%.",(VLOOKUP(B106,'Filtered Data'!AS:AU,3,FALSE))/100,IF('Filtered Data'!$D$1&amp;'Filtered Data'!$H$8="UA%%",(VLOOKUP(B106,'Filtered Data'!AS:AU,3,FALSE)),IF('Filtered Data'!$D$1&amp;'Filtered Data'!$H$8="UA..",(VLOOKUP(B106,'Filtered Data'!AS:AU,3,FALSE)),IF('Filtered Data'!$H$8="%.",VLOOKUP(B106,'Filtered Data'!AL:AN,3,FALSE)/100,VLOOKUP(B106,'Filtered Data'!AL:AN,3,FALSE))))))</f>
        <v/>
      </c>
      <c r="V106" s="296"/>
      <c r="W106" s="296"/>
      <c r="X106" s="296"/>
      <c r="Y106" s="264" t="str">
        <f>IF(E106="","",IF((VLOOKUP(E106,classifications!C:K,9,FALSE))="Sparse","S",""))</f>
        <v/>
      </c>
      <c r="AA106" s="294"/>
      <c r="AB106" s="295"/>
      <c r="AC106" s="295"/>
      <c r="AD106" s="293"/>
      <c r="AE106" s="293"/>
      <c r="AF106" s="293"/>
      <c r="AG106" s="293"/>
      <c r="AH106" s="293"/>
      <c r="AI106" s="293"/>
      <c r="AJ106" s="293"/>
      <c r="AK106" s="293"/>
      <c r="AL106" s="293"/>
      <c r="AM106" s="293"/>
      <c r="AN106" s="350"/>
      <c r="AO106" s="350"/>
      <c r="AP106" s="350"/>
      <c r="AQ106" s="350"/>
      <c r="AR106" s="264"/>
      <c r="AV106" s="251"/>
    </row>
    <row r="107" spans="2:48" s="249" customFormat="1" ht="12" customHeight="1">
      <c r="B107" s="299" t="str">
        <f>IF('Filtered Data'!$D$1="MD","",IF('Filtered Data'!$D$1="SC","",IF('Filtered Data'!$D$1="UA",'Filtered Data'!AS26,'Filtered Data'!AL26)))</f>
        <v/>
      </c>
      <c r="C107" s="299"/>
      <c r="D107" s="299"/>
      <c r="E107" s="293" t="str">
        <f>IF(B107="","",IF('Filtered Data'!$D$1="UA",VLOOKUP(B107,'Filtered Data'!AS:AU,2,FALSE),VLOOKUP(B107,'Filtered Data'!AL:AN,2,FALSE)))</f>
        <v/>
      </c>
      <c r="F107" s="293"/>
      <c r="G107" s="293"/>
      <c r="H107" s="293"/>
      <c r="I107" s="293"/>
      <c r="J107" s="293"/>
      <c r="K107" s="293"/>
      <c r="L107" s="293"/>
      <c r="M107" s="293"/>
      <c r="N107" s="293"/>
      <c r="O107" s="293"/>
      <c r="P107" s="293"/>
      <c r="Q107" s="293"/>
      <c r="R107" s="293"/>
      <c r="S107" s="293"/>
      <c r="T107" s="293"/>
      <c r="U107" s="296" t="str">
        <f>IF(B107="","",IF('Filtered Data'!$D$1&amp;'Filtered Data'!$H$8="UA%.",(VLOOKUP(B107,'Filtered Data'!AS:AU,3,FALSE))/100,IF('Filtered Data'!$D$1&amp;'Filtered Data'!$H$8="UA%%",(VLOOKUP(B107,'Filtered Data'!AS:AU,3,FALSE)),IF('Filtered Data'!$D$1&amp;'Filtered Data'!$H$8="UA..",(VLOOKUP(B107,'Filtered Data'!AS:AU,3,FALSE)),IF('Filtered Data'!$H$8="%.",VLOOKUP(B107,'Filtered Data'!AL:AN,3,FALSE)/100,VLOOKUP(B107,'Filtered Data'!AL:AN,3,FALSE))))))</f>
        <v/>
      </c>
      <c r="V107" s="296"/>
      <c r="W107" s="296"/>
      <c r="X107" s="296"/>
      <c r="Y107" s="264" t="str">
        <f>IF(E107="","",IF((VLOOKUP(E107,classifications!C:K,9,FALSE))="Sparse","S",""))</f>
        <v/>
      </c>
      <c r="AA107" s="294"/>
      <c r="AB107" s="295"/>
      <c r="AC107" s="295"/>
      <c r="AD107" s="293"/>
      <c r="AE107" s="293"/>
      <c r="AF107" s="293"/>
      <c r="AG107" s="293"/>
      <c r="AH107" s="293"/>
      <c r="AI107" s="293"/>
      <c r="AJ107" s="293"/>
      <c r="AK107" s="293"/>
      <c r="AL107" s="293"/>
      <c r="AM107" s="293"/>
      <c r="AN107" s="350"/>
      <c r="AO107" s="350"/>
      <c r="AP107" s="350"/>
      <c r="AQ107" s="350"/>
      <c r="AR107" s="264"/>
      <c r="AV107" s="251"/>
    </row>
    <row r="108" spans="2:48" s="249" customFormat="1" ht="12" customHeight="1">
      <c r="B108" s="295"/>
      <c r="C108" s="295"/>
      <c r="D108" s="295"/>
      <c r="E108" s="292" t="str">
        <f>IF('Filtered Data'!D1="MD","",IF('Filtered Data'!D1="SC","","Average"))</f>
        <v>Average</v>
      </c>
      <c r="F108" s="292"/>
      <c r="G108" s="292"/>
      <c r="H108" s="292"/>
      <c r="I108" s="292"/>
      <c r="J108" s="292"/>
      <c r="K108" s="292"/>
      <c r="L108" s="292"/>
      <c r="M108" s="292"/>
      <c r="N108" s="292"/>
      <c r="O108" s="269"/>
      <c r="P108" s="269"/>
      <c r="Q108" s="269"/>
      <c r="R108" s="269"/>
      <c r="S108" s="269"/>
      <c r="T108" s="269"/>
      <c r="U108" s="351">
        <f>L39</f>
        <v>81.771635936917235</v>
      </c>
      <c r="V108" s="351"/>
      <c r="W108" s="351"/>
      <c r="X108" s="351"/>
      <c r="Y108" s="264"/>
      <c r="AA108" s="295"/>
      <c r="AB108" s="295"/>
      <c r="AC108" s="295"/>
      <c r="AD108" s="259"/>
      <c r="AE108" s="259"/>
      <c r="AF108" s="259"/>
      <c r="AG108" s="259"/>
      <c r="AH108" s="259"/>
      <c r="AI108" s="259"/>
      <c r="AJ108" s="259"/>
      <c r="AK108" s="259"/>
      <c r="AL108" s="259"/>
      <c r="AM108" s="265"/>
      <c r="AN108" s="353"/>
      <c r="AO108" s="353"/>
      <c r="AP108" s="353"/>
      <c r="AQ108" s="353"/>
      <c r="AV108" s="251"/>
    </row>
    <row r="109" spans="2:48" s="249" customFormat="1" ht="12" customHeight="1">
      <c r="W109" s="266">
        <f>COUNT(AA92:AB107)</f>
        <v>0</v>
      </c>
    </row>
    <row r="110" spans="2:48" s="249" customFormat="1" ht="19.5" customHeight="1">
      <c r="B110" s="311" t="str">
        <f>B3</f>
        <v>Walking Statistics</v>
      </c>
      <c r="C110" s="311"/>
      <c r="D110" s="311"/>
      <c r="E110" s="311"/>
      <c r="F110" s="311"/>
      <c r="G110" s="311"/>
      <c r="H110" s="311"/>
      <c r="I110" s="311"/>
      <c r="J110" s="311"/>
      <c r="K110" s="311"/>
      <c r="L110" s="311"/>
      <c r="M110" s="311"/>
      <c r="N110" s="311"/>
      <c r="O110" s="311"/>
      <c r="P110" s="311"/>
      <c r="Q110" s="311"/>
      <c r="R110" s="311"/>
      <c r="S110" s="311"/>
      <c r="T110" s="311"/>
      <c r="U110" s="311"/>
      <c r="V110" s="311"/>
      <c r="W110" s="311"/>
      <c r="X110" s="311"/>
      <c r="Y110" s="311"/>
      <c r="Z110" s="311"/>
      <c r="AA110" s="311"/>
      <c r="AB110" s="311"/>
      <c r="AC110" s="311"/>
      <c r="AD110" s="311"/>
      <c r="AE110" s="311"/>
      <c r="AF110" s="311"/>
      <c r="AG110" s="311"/>
      <c r="AH110" s="311"/>
      <c r="AI110" s="311"/>
      <c r="AJ110" s="311"/>
      <c r="AK110" s="311"/>
      <c r="AL110" s="311"/>
      <c r="AM110" s="311"/>
      <c r="AN110" s="311"/>
    </row>
    <row r="111" spans="2:48" s="249" customFormat="1" ht="12" customHeight="1"/>
    <row r="112" spans="2:48" s="249" customFormat="1" ht="12" customHeight="1">
      <c r="B112" s="292" t="s">
        <v>371</v>
      </c>
      <c r="C112" s="292"/>
      <c r="D112" s="292"/>
      <c r="E112" s="292"/>
      <c r="F112" s="292"/>
      <c r="G112" s="292"/>
      <c r="H112" s="292"/>
      <c r="I112" s="292"/>
      <c r="J112" s="292"/>
      <c r="K112" s="292"/>
      <c r="L112" s="292"/>
      <c r="M112" s="292"/>
      <c r="N112" s="292"/>
      <c r="O112" s="292"/>
      <c r="P112" s="292"/>
      <c r="Q112" s="292"/>
      <c r="R112" s="292"/>
      <c r="S112" s="292"/>
      <c r="T112" s="292"/>
      <c r="U112" s="292"/>
      <c r="V112" s="292"/>
      <c r="W112" s="292"/>
      <c r="X112" s="292"/>
      <c r="Y112" s="292"/>
      <c r="Z112" s="292"/>
      <c r="AA112" s="292"/>
      <c r="AB112" s="292"/>
      <c r="AC112" s="292"/>
      <c r="AD112" s="292"/>
      <c r="AE112" s="292"/>
      <c r="AF112" s="292"/>
      <c r="AG112" s="292"/>
      <c r="AH112" s="292"/>
      <c r="AI112" s="292"/>
      <c r="AJ112" s="292"/>
      <c r="AK112" s="292"/>
      <c r="AL112" s="292"/>
      <c r="AM112" s="292"/>
      <c r="AN112" s="292"/>
    </row>
    <row r="113" spans="2:40" s="249" customFormat="1" ht="12" customHeight="1"/>
    <row r="114" spans="2:40" ht="12" customHeight="1">
      <c r="B114" s="340" t="str">
        <f>W6&amp;" - "&amp;W12</f>
        <v>Proportion of residents who walk (for at least 10 minutes) at least once a month - 2018/19</v>
      </c>
      <c r="C114" s="341"/>
      <c r="D114" s="341"/>
      <c r="E114" s="341"/>
      <c r="F114" s="341"/>
      <c r="G114" s="341"/>
      <c r="H114" s="341"/>
      <c r="I114" s="341"/>
      <c r="J114" s="341"/>
      <c r="K114" s="341"/>
      <c r="L114" s="341"/>
      <c r="M114" s="341"/>
      <c r="N114" s="341"/>
      <c r="O114" s="341"/>
      <c r="P114" s="341"/>
      <c r="Q114" s="341"/>
      <c r="R114" s="341"/>
      <c r="S114" s="341"/>
      <c r="T114" s="341"/>
      <c r="U114" s="341"/>
      <c r="V114" s="341"/>
      <c r="W114" s="341"/>
      <c r="X114" s="341"/>
      <c r="Y114" s="341"/>
      <c r="Z114" s="341"/>
      <c r="AA114" s="341"/>
      <c r="AB114" s="341"/>
      <c r="AC114" s="341"/>
      <c r="AD114" s="341"/>
      <c r="AE114" s="341"/>
      <c r="AF114" s="341"/>
      <c r="AG114" s="341"/>
      <c r="AH114" s="341"/>
      <c r="AI114" s="341"/>
      <c r="AJ114" s="341"/>
      <c r="AK114" s="341"/>
      <c r="AL114" s="341"/>
      <c r="AM114" s="341"/>
      <c r="AN114" s="248"/>
    </row>
    <row r="115" spans="2:40" ht="12" customHeight="1">
      <c r="B115" s="343"/>
      <c r="C115" s="344"/>
      <c r="D115" s="344"/>
      <c r="E115" s="344"/>
      <c r="F115" s="344"/>
      <c r="G115" s="344"/>
      <c r="H115" s="344"/>
      <c r="I115" s="344"/>
      <c r="J115" s="344"/>
      <c r="K115" s="344"/>
      <c r="L115" s="344"/>
      <c r="M115" s="344"/>
      <c r="N115" s="344"/>
      <c r="O115" s="344"/>
      <c r="P115" s="344"/>
      <c r="Q115" s="344"/>
      <c r="R115" s="344"/>
      <c r="S115" s="344"/>
      <c r="T115" s="344"/>
      <c r="U115" s="344"/>
      <c r="V115" s="344"/>
      <c r="W115" s="344"/>
      <c r="X115" s="344"/>
      <c r="Y115" s="344"/>
      <c r="Z115" s="344"/>
      <c r="AA115" s="344"/>
      <c r="AB115" s="344"/>
      <c r="AC115" s="344"/>
      <c r="AD115" s="344"/>
      <c r="AE115" s="344"/>
      <c r="AF115" s="344"/>
      <c r="AG115" s="344"/>
      <c r="AH115" s="344"/>
      <c r="AI115" s="344"/>
      <c r="AJ115" s="344"/>
      <c r="AK115" s="344"/>
      <c r="AL115" s="344"/>
      <c r="AM115" s="344"/>
      <c r="AN115" s="224"/>
    </row>
    <row r="116" spans="2:40" ht="12" customHeight="1">
      <c r="B116" s="221"/>
      <c r="C116" s="222"/>
      <c r="D116" s="222"/>
      <c r="E116" s="222"/>
      <c r="F116" s="222"/>
      <c r="G116" s="222"/>
      <c r="H116" s="222"/>
      <c r="I116" s="222"/>
      <c r="J116" s="222"/>
      <c r="K116" s="222"/>
      <c r="L116" s="222"/>
      <c r="M116" s="222"/>
      <c r="N116" s="222"/>
      <c r="O116" s="222"/>
      <c r="P116" s="222"/>
      <c r="Q116" s="222"/>
      <c r="R116" s="222"/>
      <c r="S116" s="222"/>
      <c r="T116" s="222"/>
      <c r="U116" s="222"/>
      <c r="V116" s="222"/>
      <c r="W116" s="222"/>
      <c r="X116" s="222"/>
      <c r="Y116" s="222"/>
      <c r="Z116" s="222"/>
      <c r="AA116" s="222"/>
      <c r="AB116" s="222"/>
      <c r="AC116" s="222"/>
      <c r="AD116" s="222"/>
      <c r="AE116" s="222"/>
      <c r="AF116" s="222"/>
      <c r="AG116" s="222"/>
      <c r="AH116" s="222"/>
      <c r="AI116" s="222"/>
      <c r="AJ116" s="222"/>
      <c r="AK116" s="222"/>
      <c r="AL116" s="222"/>
      <c r="AM116" s="222"/>
      <c r="AN116" s="224"/>
    </row>
    <row r="117" spans="2:40" ht="12" customHeight="1">
      <c r="B117" s="221"/>
      <c r="C117" s="222"/>
      <c r="D117" s="222"/>
      <c r="E117" s="222"/>
      <c r="L117" s="222"/>
      <c r="M117" s="239" t="s">
        <v>794</v>
      </c>
      <c r="N117" s="239"/>
      <c r="O117" s="239" t="s">
        <v>795</v>
      </c>
      <c r="P117" s="239"/>
      <c r="Q117" s="222" t="s">
        <v>796</v>
      </c>
      <c r="R117" s="222"/>
      <c r="S117" s="222"/>
      <c r="T117" s="222"/>
      <c r="U117" s="222"/>
      <c r="V117" s="222"/>
      <c r="W117" s="222"/>
      <c r="X117" s="222"/>
      <c r="Y117" s="222"/>
      <c r="Z117" s="222"/>
      <c r="AA117" s="222"/>
      <c r="AB117" s="222"/>
      <c r="AC117" s="222"/>
      <c r="AD117" s="222"/>
      <c r="AE117" s="222"/>
      <c r="AF117" s="222"/>
      <c r="AG117" s="222"/>
      <c r="AH117" s="222"/>
      <c r="AI117" s="222"/>
      <c r="AJ117" s="222"/>
      <c r="AK117" s="222"/>
      <c r="AL117" s="222"/>
      <c r="AM117" s="222"/>
      <c r="AN117" s="224"/>
    </row>
    <row r="118" spans="2:40" ht="12" customHeight="1">
      <c r="B118" s="221"/>
      <c r="C118" s="222"/>
      <c r="D118" s="222"/>
      <c r="E118" s="222"/>
      <c r="F118" s="219" t="str">
        <f>J5</f>
        <v>Allerdale</v>
      </c>
      <c r="G118" s="352">
        <f>IF('Filtered Data'!H8="..",L35,L35*100)</f>
        <v>80.664917544522837</v>
      </c>
      <c r="H118" s="352"/>
      <c r="I118" s="352"/>
      <c r="J118" s="352"/>
      <c r="K118" s="352"/>
      <c r="L118" s="222"/>
      <c r="M118" s="291">
        <f>K$48</f>
        <v>83.550972610284674</v>
      </c>
      <c r="N118" s="291"/>
      <c r="O118" s="291">
        <f>M$48</f>
        <v>80.987164441476224</v>
      </c>
      <c r="P118" s="291"/>
      <c r="Q118" s="291">
        <f>O$48</f>
        <v>78.624124804390377</v>
      </c>
      <c r="R118" s="291"/>
      <c r="S118" s="222"/>
      <c r="T118" s="222"/>
      <c r="U118" s="222"/>
      <c r="V118" s="222"/>
      <c r="W118" s="222"/>
      <c r="X118" s="222"/>
      <c r="Y118" s="222"/>
      <c r="Z118" s="222"/>
      <c r="AA118" s="222"/>
      <c r="AB118" s="222"/>
      <c r="AC118" s="222"/>
      <c r="AD118" s="222"/>
      <c r="AE118" s="222"/>
      <c r="AF118" s="222"/>
      <c r="AG118" s="222"/>
      <c r="AH118" s="222"/>
      <c r="AI118" s="222"/>
      <c r="AJ118" s="222"/>
      <c r="AK118" s="222"/>
      <c r="AL118" s="222"/>
      <c r="AM118" s="222"/>
      <c r="AN118" s="224"/>
    </row>
    <row r="119" spans="2:40" ht="12" customHeight="1">
      <c r="B119" s="221"/>
      <c r="C119" s="222"/>
      <c r="D119" s="222"/>
      <c r="E119" s="222"/>
      <c r="F119" s="219" t="s">
        <v>381</v>
      </c>
      <c r="G119" s="352">
        <f>IF('Filtered Data'!H8="%%",(AVERAGEIF('Filtered Data'!AA$10:AA$500,$F119,'Filtered Data'!M$10:M$500))*100,(AVERAGEIF('Filtered Data'!AA$10:AA$500,$F119,'Filtered Data'!M$10:M$500)))</f>
        <v>81.524787428206025</v>
      </c>
      <c r="H119" s="352"/>
      <c r="I119" s="352"/>
      <c r="J119" s="352"/>
      <c r="K119" s="352"/>
      <c r="L119" s="222"/>
      <c r="M119" s="291">
        <f>K$48</f>
        <v>83.550972610284674</v>
      </c>
      <c r="N119" s="291"/>
      <c r="O119" s="291">
        <f>M$48</f>
        <v>80.987164441476224</v>
      </c>
      <c r="P119" s="291"/>
      <c r="Q119" s="291">
        <f>O$48</f>
        <v>78.624124804390377</v>
      </c>
      <c r="R119" s="291"/>
      <c r="S119" s="222"/>
      <c r="T119" s="222"/>
      <c r="U119" s="222"/>
      <c r="V119" s="222"/>
      <c r="W119" s="222"/>
      <c r="X119" s="222"/>
      <c r="Y119" s="222"/>
      <c r="Z119" s="222"/>
      <c r="AA119" s="222"/>
      <c r="AB119" s="222"/>
      <c r="AC119" s="222"/>
      <c r="AD119" s="222"/>
      <c r="AE119" s="222"/>
      <c r="AF119" s="222"/>
      <c r="AG119" s="222"/>
      <c r="AH119" s="222"/>
      <c r="AI119" s="222"/>
      <c r="AJ119" s="222"/>
      <c r="AK119" s="222"/>
      <c r="AL119" s="222"/>
      <c r="AM119" s="222"/>
      <c r="AN119" s="224"/>
    </row>
    <row r="120" spans="2:40" ht="12" customHeight="1">
      <c r="B120" s="221"/>
      <c r="C120" s="222"/>
      <c r="D120" s="222"/>
      <c r="E120" s="222"/>
      <c r="F120" s="219" t="s">
        <v>383</v>
      </c>
      <c r="G120" s="352">
        <f>IF('Filtered Data'!H8="%%",(AVERAGEIF('Filtered Data'!AA$10:AA$500,$F120,'Filtered Data'!M$10:M$500))*100,(AVERAGEIF('Filtered Data'!AA$10:AA$500,$F120,'Filtered Data'!M$10:M$500)))</f>
        <v>80.040956220098408</v>
      </c>
      <c r="H120" s="352"/>
      <c r="I120" s="352"/>
      <c r="J120" s="352"/>
      <c r="K120" s="352"/>
      <c r="L120" s="222"/>
      <c r="M120" s="291">
        <f>K$48</f>
        <v>83.550972610284674</v>
      </c>
      <c r="N120" s="291"/>
      <c r="O120" s="291">
        <f>M$48</f>
        <v>80.987164441476224</v>
      </c>
      <c r="P120" s="291"/>
      <c r="Q120" s="291">
        <f>O$48</f>
        <v>78.624124804390377</v>
      </c>
      <c r="R120" s="291"/>
      <c r="S120" s="222"/>
      <c r="T120" s="222"/>
      <c r="U120" s="222"/>
      <c r="V120" s="222"/>
      <c r="W120" s="222"/>
      <c r="X120" s="222"/>
      <c r="Y120" s="222"/>
      <c r="Z120" s="222"/>
      <c r="AA120" s="222"/>
      <c r="AB120" s="222"/>
      <c r="AC120" s="222"/>
      <c r="AD120" s="222"/>
      <c r="AE120" s="222"/>
      <c r="AF120" s="222"/>
      <c r="AG120" s="222"/>
      <c r="AH120" s="222"/>
      <c r="AI120" s="222"/>
      <c r="AJ120" s="222"/>
      <c r="AK120" s="222"/>
      <c r="AL120" s="222"/>
      <c r="AM120" s="222"/>
      <c r="AN120" s="224"/>
    </row>
    <row r="121" spans="2:40" ht="12" customHeight="1">
      <c r="B121" s="221"/>
      <c r="C121" s="222"/>
      <c r="D121" s="222"/>
      <c r="E121" s="222"/>
      <c r="F121" s="219" t="s">
        <v>370</v>
      </c>
      <c r="G121" s="352">
        <f>IF('Filtered Data'!H8="%%",(AVERAGEIF('Filtered Data'!AA$10:AA$500,$F121,'Filtered Data'!M$10:M$500))*100,(AVERAGEIF('Filtered Data'!AA$10:AA$500,$F121,'Filtered Data'!M$10:M$500)))</f>
        <v>81.242769735845187</v>
      </c>
      <c r="H121" s="352"/>
      <c r="I121" s="352"/>
      <c r="J121" s="352"/>
      <c r="K121" s="352"/>
      <c r="L121" s="222"/>
      <c r="M121" s="291">
        <f>K$48</f>
        <v>83.550972610284674</v>
      </c>
      <c r="N121" s="291"/>
      <c r="O121" s="291">
        <f>M$48</f>
        <v>80.987164441476224</v>
      </c>
      <c r="P121" s="291"/>
      <c r="Q121" s="291">
        <f>O$48</f>
        <v>78.624124804390377</v>
      </c>
      <c r="R121" s="291"/>
      <c r="S121" s="222"/>
      <c r="T121" s="222"/>
      <c r="U121" s="222"/>
      <c r="V121" s="222"/>
      <c r="W121" s="222"/>
      <c r="X121" s="222"/>
      <c r="Y121" s="222"/>
      <c r="Z121" s="222"/>
      <c r="AA121" s="222"/>
      <c r="AB121" s="222"/>
      <c r="AC121" s="222"/>
      <c r="AD121" s="222"/>
      <c r="AE121" s="222"/>
      <c r="AF121" s="222"/>
      <c r="AG121" s="222"/>
      <c r="AH121" s="222"/>
      <c r="AI121" s="222"/>
      <c r="AJ121" s="222"/>
      <c r="AK121" s="222"/>
      <c r="AL121" s="222"/>
      <c r="AM121" s="222"/>
      <c r="AN121" s="224"/>
    </row>
    <row r="122" spans="2:40" ht="12" customHeight="1">
      <c r="B122" s="221"/>
      <c r="C122" s="222"/>
      <c r="D122" s="222"/>
      <c r="E122" s="222"/>
      <c r="F122" s="222"/>
      <c r="G122" s="352"/>
      <c r="H122" s="352"/>
      <c r="I122" s="352"/>
      <c r="J122" s="352"/>
      <c r="K122" s="352"/>
      <c r="L122" s="222"/>
      <c r="M122" s="291"/>
      <c r="N122" s="291"/>
      <c r="O122" s="291"/>
      <c r="P122" s="291"/>
      <c r="Q122" s="291"/>
      <c r="R122" s="291"/>
      <c r="S122" s="222"/>
      <c r="T122" s="222"/>
      <c r="U122" s="222"/>
      <c r="V122" s="222"/>
      <c r="W122" s="222"/>
      <c r="X122" s="222"/>
      <c r="Y122" s="222"/>
      <c r="Z122" s="222"/>
      <c r="AA122" s="222"/>
      <c r="AB122" s="222"/>
      <c r="AC122" s="222"/>
      <c r="AD122" s="222"/>
      <c r="AE122" s="222"/>
      <c r="AF122" s="222"/>
      <c r="AG122" s="222"/>
      <c r="AH122" s="222"/>
      <c r="AI122" s="222"/>
      <c r="AJ122" s="222"/>
      <c r="AK122" s="222"/>
      <c r="AL122" s="222"/>
      <c r="AM122" s="222"/>
      <c r="AN122" s="224"/>
    </row>
    <row r="123" spans="2:40" ht="12" customHeight="1">
      <c r="B123" s="221"/>
      <c r="C123" s="222"/>
      <c r="D123" s="222"/>
      <c r="E123" s="222"/>
      <c r="F123" s="222"/>
      <c r="G123" s="352"/>
      <c r="H123" s="352"/>
      <c r="I123" s="352"/>
      <c r="J123" s="352"/>
      <c r="K123" s="352"/>
      <c r="L123" s="222"/>
      <c r="M123" s="291"/>
      <c r="N123" s="291"/>
      <c r="O123" s="291"/>
      <c r="P123" s="291"/>
      <c r="Q123" s="291"/>
      <c r="R123" s="291"/>
      <c r="S123" s="222"/>
      <c r="T123" s="222"/>
      <c r="U123" s="222"/>
      <c r="V123" s="222"/>
      <c r="W123" s="222"/>
      <c r="X123" s="222"/>
      <c r="Y123" s="222"/>
      <c r="Z123" s="222"/>
      <c r="AA123" s="222"/>
      <c r="AB123" s="222"/>
      <c r="AC123" s="222"/>
      <c r="AD123" s="222"/>
      <c r="AE123" s="222"/>
      <c r="AF123" s="222"/>
      <c r="AG123" s="222"/>
      <c r="AH123" s="222"/>
      <c r="AI123" s="222"/>
      <c r="AJ123" s="222"/>
      <c r="AK123" s="222"/>
      <c r="AL123" s="222"/>
      <c r="AM123" s="222"/>
      <c r="AN123" s="224"/>
    </row>
    <row r="124" spans="2:40" ht="12" customHeight="1">
      <c r="B124" s="221"/>
      <c r="C124" s="222"/>
      <c r="D124" s="222"/>
      <c r="E124" s="222"/>
      <c r="F124" s="222"/>
      <c r="G124" s="352"/>
      <c r="H124" s="352"/>
      <c r="I124" s="352"/>
      <c r="J124" s="352"/>
      <c r="K124" s="352"/>
      <c r="L124" s="222"/>
      <c r="M124" s="291"/>
      <c r="N124" s="291"/>
      <c r="O124" s="291"/>
      <c r="P124" s="291"/>
      <c r="Q124" s="291"/>
      <c r="R124" s="291"/>
      <c r="S124" s="222"/>
      <c r="T124" s="222"/>
      <c r="U124" s="222"/>
      <c r="V124" s="222"/>
      <c r="W124" s="222"/>
      <c r="X124" s="222"/>
      <c r="Y124" s="222"/>
      <c r="Z124" s="222"/>
      <c r="AA124" s="222"/>
      <c r="AB124" s="222"/>
      <c r="AC124" s="222"/>
      <c r="AD124" s="222"/>
      <c r="AE124" s="222"/>
      <c r="AF124" s="222"/>
      <c r="AG124" s="222"/>
      <c r="AH124" s="222"/>
      <c r="AI124" s="222"/>
      <c r="AJ124" s="222"/>
      <c r="AK124" s="222"/>
      <c r="AL124" s="222"/>
      <c r="AM124" s="222"/>
      <c r="AN124" s="224"/>
    </row>
    <row r="125" spans="2:40" ht="12" customHeight="1">
      <c r="B125" s="221"/>
      <c r="C125" s="222"/>
      <c r="D125" s="222"/>
      <c r="E125" s="222"/>
      <c r="F125" s="222"/>
      <c r="G125" s="222"/>
      <c r="H125" s="222"/>
      <c r="I125" s="222"/>
      <c r="J125" s="222"/>
      <c r="K125" s="222"/>
      <c r="L125" s="222"/>
      <c r="M125" s="222"/>
      <c r="N125" s="222"/>
      <c r="O125" s="222"/>
      <c r="P125" s="222"/>
      <c r="Q125" s="222"/>
      <c r="R125" s="222"/>
      <c r="S125" s="222"/>
      <c r="T125" s="222"/>
      <c r="U125" s="222"/>
      <c r="V125" s="222"/>
      <c r="W125" s="222"/>
      <c r="X125" s="222"/>
      <c r="Y125" s="222"/>
      <c r="Z125" s="222"/>
      <c r="AA125" s="222"/>
      <c r="AB125" s="222"/>
      <c r="AC125" s="222"/>
      <c r="AD125" s="222"/>
      <c r="AE125" s="222"/>
      <c r="AF125" s="222"/>
      <c r="AG125" s="222"/>
      <c r="AH125" s="222"/>
      <c r="AI125" s="222"/>
      <c r="AJ125" s="222"/>
      <c r="AK125" s="222"/>
      <c r="AL125" s="222"/>
      <c r="AM125" s="222"/>
      <c r="AN125" s="224"/>
    </row>
    <row r="126" spans="2:40" ht="12" customHeight="1">
      <c r="B126" s="221"/>
      <c r="C126" s="222"/>
      <c r="D126" s="222"/>
      <c r="E126" s="222"/>
      <c r="F126" s="222"/>
      <c r="G126" s="222"/>
      <c r="H126" s="222"/>
      <c r="I126" s="222"/>
      <c r="J126" s="222"/>
      <c r="K126" s="222"/>
      <c r="L126" s="222"/>
      <c r="M126" s="222"/>
      <c r="N126" s="222"/>
      <c r="O126" s="222"/>
      <c r="P126" s="222"/>
      <c r="Q126" s="222"/>
      <c r="R126" s="222"/>
      <c r="S126" s="222"/>
      <c r="T126" s="222"/>
      <c r="U126" s="222"/>
      <c r="V126" s="222"/>
      <c r="W126" s="222"/>
      <c r="X126" s="222"/>
      <c r="Y126" s="222"/>
      <c r="Z126" s="222"/>
      <c r="AA126" s="222"/>
      <c r="AB126" s="222"/>
      <c r="AC126" s="222"/>
      <c r="AD126" s="222"/>
      <c r="AE126" s="222"/>
      <c r="AF126" s="222"/>
      <c r="AG126" s="222"/>
      <c r="AH126" s="222"/>
      <c r="AI126" s="222"/>
      <c r="AJ126" s="222"/>
      <c r="AK126" s="222"/>
      <c r="AL126" s="222"/>
      <c r="AM126" s="222"/>
      <c r="AN126" s="224"/>
    </row>
    <row r="127" spans="2:40" ht="12" customHeight="1">
      <c r="B127" s="221"/>
      <c r="C127" s="222"/>
      <c r="D127" s="222"/>
      <c r="E127" s="222"/>
      <c r="F127" s="222"/>
      <c r="G127" s="222"/>
      <c r="H127" s="222"/>
      <c r="I127" s="222"/>
      <c r="J127" s="222"/>
      <c r="K127" s="222"/>
      <c r="L127" s="222"/>
      <c r="M127" s="222"/>
      <c r="N127" s="222"/>
      <c r="O127" s="222"/>
      <c r="P127" s="222"/>
      <c r="Q127" s="222"/>
      <c r="R127" s="222"/>
      <c r="S127" s="222"/>
      <c r="T127" s="222"/>
      <c r="U127" s="222"/>
      <c r="V127" s="222"/>
      <c r="W127" s="222"/>
      <c r="X127" s="222"/>
      <c r="Y127" s="222"/>
      <c r="Z127" s="222"/>
      <c r="AA127" s="222"/>
      <c r="AB127" s="222"/>
      <c r="AC127" s="222"/>
      <c r="AD127" s="222"/>
      <c r="AE127" s="222"/>
      <c r="AF127" s="222"/>
      <c r="AG127" s="222"/>
      <c r="AH127" s="222"/>
      <c r="AI127" s="222"/>
      <c r="AJ127" s="222"/>
      <c r="AK127" s="222"/>
      <c r="AL127" s="222"/>
      <c r="AM127" s="222"/>
      <c r="AN127" s="224"/>
    </row>
    <row r="128" spans="2:40" ht="12" customHeight="1">
      <c r="B128" s="221"/>
      <c r="C128" s="222"/>
      <c r="D128" s="222"/>
      <c r="E128" s="222"/>
      <c r="F128" s="222"/>
      <c r="G128" s="222"/>
      <c r="H128" s="222"/>
      <c r="I128" s="222"/>
      <c r="J128" s="222"/>
      <c r="K128" s="222"/>
      <c r="L128" s="222"/>
      <c r="M128" s="222"/>
      <c r="N128" s="222"/>
      <c r="O128" s="222"/>
      <c r="P128" s="222"/>
      <c r="Q128" s="222"/>
      <c r="R128" s="222"/>
      <c r="S128" s="222"/>
      <c r="T128" s="222"/>
      <c r="U128" s="222"/>
      <c r="V128" s="222"/>
      <c r="W128" s="222"/>
      <c r="X128" s="222"/>
      <c r="Y128" s="222"/>
      <c r="Z128" s="222"/>
      <c r="AA128" s="222"/>
      <c r="AB128" s="222"/>
      <c r="AC128" s="222"/>
      <c r="AD128" s="222"/>
      <c r="AE128" s="222"/>
      <c r="AF128" s="222"/>
      <c r="AG128" s="222"/>
      <c r="AH128" s="222"/>
      <c r="AI128" s="222"/>
      <c r="AJ128" s="222"/>
      <c r="AK128" s="222"/>
      <c r="AL128" s="222"/>
      <c r="AM128" s="222"/>
      <c r="AN128" s="224"/>
    </row>
    <row r="129" spans="2:40" ht="12" customHeight="1">
      <c r="B129" s="221"/>
      <c r="C129" s="222"/>
      <c r="D129" s="222"/>
      <c r="E129" s="222"/>
      <c r="F129" s="222"/>
      <c r="G129" s="222"/>
      <c r="H129" s="222"/>
      <c r="I129" s="222"/>
      <c r="J129" s="222"/>
      <c r="K129" s="222"/>
      <c r="L129" s="222"/>
      <c r="M129" s="222"/>
      <c r="N129" s="222"/>
      <c r="O129" s="222"/>
      <c r="P129" s="222"/>
      <c r="Q129" s="222"/>
      <c r="R129" s="222"/>
      <c r="S129" s="222"/>
      <c r="T129" s="222"/>
      <c r="U129" s="222"/>
      <c r="V129" s="222"/>
      <c r="W129" s="222"/>
      <c r="X129" s="222"/>
      <c r="Y129" s="222"/>
      <c r="Z129" s="222"/>
      <c r="AA129" s="222"/>
      <c r="AB129" s="222"/>
      <c r="AC129" s="222"/>
      <c r="AD129" s="222"/>
      <c r="AE129" s="222"/>
      <c r="AF129" s="222"/>
      <c r="AG129" s="222"/>
      <c r="AH129" s="222"/>
      <c r="AI129" s="222"/>
      <c r="AJ129" s="222"/>
      <c r="AK129" s="222"/>
      <c r="AL129" s="222"/>
      <c r="AM129" s="222"/>
      <c r="AN129" s="224"/>
    </row>
    <row r="130" spans="2:40" ht="12" customHeight="1">
      <c r="B130" s="221"/>
      <c r="C130" s="222"/>
      <c r="D130" s="222"/>
      <c r="E130" s="222"/>
      <c r="F130" s="222"/>
      <c r="G130" s="222"/>
      <c r="H130" s="222"/>
      <c r="I130" s="222"/>
      <c r="J130" s="222"/>
      <c r="K130" s="222"/>
      <c r="L130" s="222"/>
      <c r="M130" s="222"/>
      <c r="N130" s="222"/>
      <c r="O130" s="222"/>
      <c r="P130" s="222"/>
      <c r="Q130" s="222"/>
      <c r="R130" s="222"/>
      <c r="S130" s="222"/>
      <c r="T130" s="222"/>
      <c r="U130" s="222"/>
      <c r="V130" s="222"/>
      <c r="W130" s="222"/>
      <c r="X130" s="222"/>
      <c r="Y130" s="222"/>
      <c r="Z130" s="222"/>
      <c r="AA130" s="222"/>
      <c r="AB130" s="222"/>
      <c r="AC130" s="222"/>
      <c r="AD130" s="222"/>
      <c r="AE130" s="222"/>
      <c r="AF130" s="222"/>
      <c r="AG130" s="222"/>
      <c r="AH130" s="222"/>
      <c r="AI130" s="222"/>
      <c r="AJ130" s="222"/>
      <c r="AK130" s="222"/>
      <c r="AL130" s="222"/>
      <c r="AM130" s="222"/>
      <c r="AN130" s="224"/>
    </row>
    <row r="131" spans="2:40" ht="12" customHeight="1">
      <c r="B131" s="221"/>
      <c r="C131" s="222"/>
      <c r="D131" s="222"/>
      <c r="E131" s="222"/>
      <c r="F131" s="222"/>
      <c r="G131" s="222"/>
      <c r="H131" s="222"/>
      <c r="I131" s="222"/>
      <c r="J131" s="222"/>
      <c r="K131" s="222"/>
      <c r="L131" s="222"/>
      <c r="M131" s="222"/>
      <c r="N131" s="222"/>
      <c r="O131" s="222"/>
      <c r="P131" s="222"/>
      <c r="Q131" s="222"/>
      <c r="R131" s="222"/>
      <c r="S131" s="222"/>
      <c r="T131" s="222"/>
      <c r="U131" s="222"/>
      <c r="V131" s="222"/>
      <c r="W131" s="222"/>
      <c r="X131" s="222"/>
      <c r="Y131" s="222"/>
      <c r="Z131" s="222"/>
      <c r="AA131" s="222"/>
      <c r="AB131" s="222"/>
      <c r="AC131" s="222"/>
      <c r="AD131" s="222"/>
      <c r="AE131" s="222"/>
      <c r="AF131" s="222"/>
      <c r="AG131" s="222"/>
      <c r="AH131" s="222"/>
      <c r="AI131" s="222"/>
      <c r="AJ131" s="222"/>
      <c r="AK131" s="222"/>
      <c r="AL131" s="222"/>
      <c r="AM131" s="222"/>
      <c r="AN131" s="224"/>
    </row>
    <row r="132" spans="2:40" ht="12" customHeight="1">
      <c r="B132" s="221"/>
      <c r="C132" s="222"/>
      <c r="D132" s="222"/>
      <c r="E132" s="222"/>
      <c r="F132" s="222"/>
      <c r="G132" s="222"/>
      <c r="H132" s="222"/>
      <c r="I132" s="222"/>
      <c r="J132" s="222"/>
      <c r="K132" s="222"/>
      <c r="L132" s="222"/>
      <c r="M132" s="222"/>
      <c r="N132" s="222"/>
      <c r="O132" s="222"/>
      <c r="P132" s="222"/>
      <c r="Q132" s="222"/>
      <c r="R132" s="222"/>
      <c r="S132" s="222"/>
      <c r="T132" s="222"/>
      <c r="U132" s="222"/>
      <c r="V132" s="222"/>
      <c r="W132" s="222"/>
      <c r="X132" s="222"/>
      <c r="Y132" s="222"/>
      <c r="Z132" s="222"/>
      <c r="AA132" s="222"/>
      <c r="AB132" s="222"/>
      <c r="AC132" s="222"/>
      <c r="AD132" s="222"/>
      <c r="AE132" s="222"/>
      <c r="AF132" s="222"/>
      <c r="AG132" s="222"/>
      <c r="AH132" s="222"/>
      <c r="AI132" s="222"/>
      <c r="AJ132" s="222"/>
      <c r="AK132" s="222"/>
      <c r="AL132" s="222"/>
      <c r="AM132" s="222"/>
      <c r="AN132" s="224"/>
    </row>
    <row r="133" spans="2:40" ht="12" customHeight="1">
      <c r="B133" s="221"/>
      <c r="C133" s="222"/>
      <c r="D133" s="222"/>
      <c r="E133" s="222"/>
      <c r="F133" s="222"/>
      <c r="G133" s="222"/>
      <c r="H133" s="222"/>
      <c r="I133" s="222"/>
      <c r="J133" s="222"/>
      <c r="K133" s="222"/>
      <c r="L133" s="222"/>
      <c r="M133" s="222"/>
      <c r="N133" s="222"/>
      <c r="O133" s="222"/>
      <c r="P133" s="222"/>
      <c r="Q133" s="222"/>
      <c r="R133" s="222"/>
      <c r="S133" s="222"/>
      <c r="T133" s="222"/>
      <c r="U133" s="222"/>
      <c r="V133" s="222"/>
      <c r="W133" s="222"/>
      <c r="X133" s="222"/>
      <c r="Y133" s="222"/>
      <c r="Z133" s="222"/>
      <c r="AA133" s="222"/>
      <c r="AB133" s="222"/>
      <c r="AC133" s="222"/>
      <c r="AD133" s="222"/>
      <c r="AE133" s="222"/>
      <c r="AF133" s="222"/>
      <c r="AG133" s="222"/>
      <c r="AH133" s="222"/>
      <c r="AI133" s="222"/>
      <c r="AJ133" s="222"/>
      <c r="AK133" s="222"/>
      <c r="AL133" s="222"/>
      <c r="AM133" s="222"/>
      <c r="AN133" s="224"/>
    </row>
    <row r="134" spans="2:40" ht="12" customHeight="1">
      <c r="B134" s="225"/>
      <c r="C134" s="226"/>
      <c r="D134" s="226"/>
      <c r="E134" s="226"/>
      <c r="F134" s="226"/>
      <c r="G134" s="226"/>
      <c r="H134" s="226"/>
      <c r="I134" s="226"/>
      <c r="J134" s="226"/>
      <c r="K134" s="226"/>
      <c r="L134" s="226"/>
      <c r="M134" s="226"/>
      <c r="N134" s="226"/>
      <c r="O134" s="226"/>
      <c r="P134" s="226"/>
      <c r="Q134" s="226"/>
      <c r="R134" s="226"/>
      <c r="S134" s="226"/>
      <c r="T134" s="226"/>
      <c r="U134" s="226"/>
      <c r="V134" s="226"/>
      <c r="W134" s="226"/>
      <c r="X134" s="226"/>
      <c r="Y134" s="226"/>
      <c r="Z134" s="226"/>
      <c r="AA134" s="226"/>
      <c r="AB134" s="226"/>
      <c r="AC134" s="226"/>
      <c r="AD134" s="226"/>
      <c r="AE134" s="226"/>
      <c r="AF134" s="226"/>
      <c r="AG134" s="226"/>
      <c r="AH134" s="226"/>
      <c r="AI134" s="226"/>
      <c r="AJ134" s="226"/>
      <c r="AK134" s="226"/>
      <c r="AL134" s="226"/>
      <c r="AM134" s="226"/>
      <c r="AN134" s="227"/>
    </row>
    <row r="135" spans="2:40" ht="12" customHeight="1"/>
    <row r="136" spans="2:40" ht="12" customHeight="1"/>
    <row r="137" spans="2:40" hidden="1"/>
    <row r="138" spans="2:40" hidden="1"/>
    <row r="139" spans="2:40" hidden="1"/>
    <row r="140" spans="2:40" hidden="1"/>
    <row r="141" spans="2:40" hidden="1"/>
    <row r="142" spans="2:40" hidden="1"/>
    <row r="143" spans="2:40" hidden="1"/>
    <row r="144" spans="2:40"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sheetData>
  <sheetProtection password="CE46" sheet="1" objects="1" scenarios="1" selectLockedCells="1"/>
  <protectedRanges>
    <protectedRange sqref="W12" name="Range3"/>
    <protectedRange sqref="W6" name="Range2"/>
    <protectedRange sqref="J5:S6" name="Range1"/>
  </protectedRanges>
  <mergeCells count="299">
    <mergeCell ref="G122:K122"/>
    <mergeCell ref="G123:K123"/>
    <mergeCell ref="G124:K124"/>
    <mergeCell ref="M119:N119"/>
    <mergeCell ref="O119:P119"/>
    <mergeCell ref="Q119:R119"/>
    <mergeCell ref="M120:N120"/>
    <mergeCell ref="O120:P120"/>
    <mergeCell ref="Q120:R120"/>
    <mergeCell ref="M124:N124"/>
    <mergeCell ref="O124:P124"/>
    <mergeCell ref="Q124:R124"/>
    <mergeCell ref="M121:N121"/>
    <mergeCell ref="O121:P121"/>
    <mergeCell ref="Q121:R121"/>
    <mergeCell ref="M122:N122"/>
    <mergeCell ref="O122:P122"/>
    <mergeCell ref="Q122:R122"/>
    <mergeCell ref="M123:N123"/>
    <mergeCell ref="O123:P123"/>
    <mergeCell ref="Q123:R123"/>
    <mergeCell ref="G119:K119"/>
    <mergeCell ref="G121:K121"/>
    <mergeCell ref="G120:K120"/>
    <mergeCell ref="E108:N108"/>
    <mergeCell ref="AA107:AC107"/>
    <mergeCell ref="AN104:AQ104"/>
    <mergeCell ref="AA103:AC103"/>
    <mergeCell ref="AN105:AQ105"/>
    <mergeCell ref="U106:X106"/>
    <mergeCell ref="AD107:AM107"/>
    <mergeCell ref="E101:T101"/>
    <mergeCell ref="B96:D96"/>
    <mergeCell ref="B99:D99"/>
    <mergeCell ref="E104:T104"/>
    <mergeCell ref="E105:T105"/>
    <mergeCell ref="E106:T106"/>
    <mergeCell ref="E107:T107"/>
    <mergeCell ref="AD102:AM102"/>
    <mergeCell ref="B102:D102"/>
    <mergeCell ref="B100:D100"/>
    <mergeCell ref="B101:D101"/>
    <mergeCell ref="B98:D98"/>
    <mergeCell ref="B97:D97"/>
    <mergeCell ref="AN96:AQ96"/>
    <mergeCell ref="AN97:AQ97"/>
    <mergeCell ref="AN99:AQ99"/>
    <mergeCell ref="B103:D103"/>
    <mergeCell ref="B110:AN110"/>
    <mergeCell ref="O118:P118"/>
    <mergeCell ref="Q118:R118"/>
    <mergeCell ref="U104:X104"/>
    <mergeCell ref="G118:K118"/>
    <mergeCell ref="B114:AM115"/>
    <mergeCell ref="B112:AN112"/>
    <mergeCell ref="B108:D108"/>
    <mergeCell ref="AD104:AM104"/>
    <mergeCell ref="AD105:AM105"/>
    <mergeCell ref="AA108:AC108"/>
    <mergeCell ref="U108:X108"/>
    <mergeCell ref="B107:D107"/>
    <mergeCell ref="AN107:AQ107"/>
    <mergeCell ref="AN108:AQ108"/>
    <mergeCell ref="AN106:AQ106"/>
    <mergeCell ref="U107:X107"/>
    <mergeCell ref="M118:N118"/>
    <mergeCell ref="B104:D104"/>
    <mergeCell ref="B105:D105"/>
    <mergeCell ref="B106:D106"/>
    <mergeCell ref="AA106:AC106"/>
    <mergeCell ref="AD106:AM106"/>
    <mergeCell ref="U105:X105"/>
    <mergeCell ref="AA101:AC101"/>
    <mergeCell ref="U96:X96"/>
    <mergeCell ref="U101:X101"/>
    <mergeCell ref="AD103:AM103"/>
    <mergeCell ref="E93:T93"/>
    <mergeCell ref="E94:T94"/>
    <mergeCell ref="E95:T95"/>
    <mergeCell ref="E96:T96"/>
    <mergeCell ref="E97:T97"/>
    <mergeCell ref="E98:T98"/>
    <mergeCell ref="E99:T99"/>
    <mergeCell ref="E100:T100"/>
    <mergeCell ref="AD100:AM100"/>
    <mergeCell ref="AA96:AC96"/>
    <mergeCell ref="AD99:AM99"/>
    <mergeCell ref="AD97:AM97"/>
    <mergeCell ref="AA97:AC97"/>
    <mergeCell ref="B94:D94"/>
    <mergeCell ref="B93:D93"/>
    <mergeCell ref="B95:D95"/>
    <mergeCell ref="AD85:AL85"/>
    <mergeCell ref="AD86:AL86"/>
    <mergeCell ref="U95:X95"/>
    <mergeCell ref="AD84:AL84"/>
    <mergeCell ref="AN93:AQ93"/>
    <mergeCell ref="AN94:AQ94"/>
    <mergeCell ref="AN95:AQ95"/>
    <mergeCell ref="AD92:AM92"/>
    <mergeCell ref="AD94:AM94"/>
    <mergeCell ref="AD93:AM93"/>
    <mergeCell ref="AA93:AC93"/>
    <mergeCell ref="U94:X94"/>
    <mergeCell ref="AN100:AQ100"/>
    <mergeCell ref="AN101:AQ101"/>
    <mergeCell ref="AN102:AQ102"/>
    <mergeCell ref="AN103:AQ103"/>
    <mergeCell ref="U102:X102"/>
    <mergeCell ref="U84:X84"/>
    <mergeCell ref="E84:T84"/>
    <mergeCell ref="AD82:AL82"/>
    <mergeCell ref="AD83:AL83"/>
    <mergeCell ref="AA100:AC100"/>
    <mergeCell ref="AD101:AM101"/>
    <mergeCell ref="U100:X100"/>
    <mergeCell ref="AA95:AC95"/>
    <mergeCell ref="U82:X82"/>
    <mergeCell ref="AD98:AM98"/>
    <mergeCell ref="AD95:AM95"/>
    <mergeCell ref="AD96:AM96"/>
    <mergeCell ref="E82:T82"/>
    <mergeCell ref="E102:T102"/>
    <mergeCell ref="E103:T103"/>
    <mergeCell ref="U98:X98"/>
    <mergeCell ref="AA102:AC102"/>
    <mergeCell ref="U99:X99"/>
    <mergeCell ref="AA99:AC99"/>
    <mergeCell ref="AA94:AC94"/>
    <mergeCell ref="U92:X92"/>
    <mergeCell ref="U93:X93"/>
    <mergeCell ref="AN98:AQ98"/>
    <mergeCell ref="U97:X97"/>
    <mergeCell ref="AA98:AC98"/>
    <mergeCell ref="AD75:AL75"/>
    <mergeCell ref="AD76:AL76"/>
    <mergeCell ref="U91:W91"/>
    <mergeCell ref="AA92:AC92"/>
    <mergeCell ref="AN91:AP91"/>
    <mergeCell ref="U86:X86"/>
    <mergeCell ref="AN92:AQ92"/>
    <mergeCell ref="AA91:AC91"/>
    <mergeCell ref="AD91:AM91"/>
    <mergeCell ref="U83:X83"/>
    <mergeCell ref="U85:X85"/>
    <mergeCell ref="AD81:AL81"/>
    <mergeCell ref="U78:X78"/>
    <mergeCell ref="U80:X80"/>
    <mergeCell ref="AD78:AL78"/>
    <mergeCell ref="AD79:AL79"/>
    <mergeCell ref="AD80:AL80"/>
    <mergeCell ref="U81:X81"/>
    <mergeCell ref="J5:S6"/>
    <mergeCell ref="B8:I8"/>
    <mergeCell ref="B9:I9"/>
    <mergeCell ref="B11:I11"/>
    <mergeCell ref="E48:H48"/>
    <mergeCell ref="U65:X65"/>
    <mergeCell ref="B10:I10"/>
    <mergeCell ref="W13:AM13"/>
    <mergeCell ref="J37:J39"/>
    <mergeCell ref="E86:T86"/>
    <mergeCell ref="E92:T92"/>
    <mergeCell ref="B83:D83"/>
    <mergeCell ref="E79:T79"/>
    <mergeCell ref="E80:T80"/>
    <mergeCell ref="E83:T83"/>
    <mergeCell ref="B76:D76"/>
    <mergeCell ref="B74:D74"/>
    <mergeCell ref="B75:D75"/>
    <mergeCell ref="E91:N91"/>
    <mergeCell ref="B86:D86"/>
    <mergeCell ref="B81:D81"/>
    <mergeCell ref="E81:T81"/>
    <mergeCell ref="B73:D73"/>
    <mergeCell ref="B77:D77"/>
    <mergeCell ref="B91:D91"/>
    <mergeCell ref="B92:D92"/>
    <mergeCell ref="B80:D80"/>
    <mergeCell ref="B82:D82"/>
    <mergeCell ref="B78:D78"/>
    <mergeCell ref="B84:D84"/>
    <mergeCell ref="B85:D85"/>
    <mergeCell ref="B79:D79"/>
    <mergeCell ref="AD74:AL74"/>
    <mergeCell ref="AD77:AL77"/>
    <mergeCell ref="E73:T73"/>
    <mergeCell ref="U77:X77"/>
    <mergeCell ref="E77:T77"/>
    <mergeCell ref="E75:T75"/>
    <mergeCell ref="E76:T76"/>
    <mergeCell ref="AD73:AL73"/>
    <mergeCell ref="E70:T70"/>
    <mergeCell ref="AD70:AL70"/>
    <mergeCell ref="U73:X73"/>
    <mergeCell ref="B72:D72"/>
    <mergeCell ref="U72:X72"/>
    <mergeCell ref="S40:U40"/>
    <mergeCell ref="E72:T72"/>
    <mergeCell ref="AD68:AL68"/>
    <mergeCell ref="AD69:AL69"/>
    <mergeCell ref="Q39:R39"/>
    <mergeCell ref="Q37:R37"/>
    <mergeCell ref="V37:W37"/>
    <mergeCell ref="L37:O37"/>
    <mergeCell ref="U71:X71"/>
    <mergeCell ref="V39:W39"/>
    <mergeCell ref="S41:U41"/>
    <mergeCell ref="Q38:R38"/>
    <mergeCell ref="U68:X68"/>
    <mergeCell ref="AB39:AM40"/>
    <mergeCell ref="AB36:AL37"/>
    <mergeCell ref="E49:H49"/>
    <mergeCell ref="U67:X67"/>
    <mergeCell ref="E71:T71"/>
    <mergeCell ref="AD72:AL72"/>
    <mergeCell ref="B36:W36"/>
    <mergeCell ref="AD67:AL67"/>
    <mergeCell ref="L40:O40"/>
    <mergeCell ref="L39:O39"/>
    <mergeCell ref="Q40:R40"/>
    <mergeCell ref="Q41:R41"/>
    <mergeCell ref="V41:W41"/>
    <mergeCell ref="L38:O38"/>
    <mergeCell ref="V40:W40"/>
    <mergeCell ref="B3:AN3"/>
    <mergeCell ref="B71:D71"/>
    <mergeCell ref="N32:S32"/>
    <mergeCell ref="AC32:AE32"/>
    <mergeCell ref="W5:AM5"/>
    <mergeCell ref="W6:AM10"/>
    <mergeCell ref="W14:AM14"/>
    <mergeCell ref="W11:AM11"/>
    <mergeCell ref="L35:O35"/>
    <mergeCell ref="B16:AM17"/>
    <mergeCell ref="X32:AB32"/>
    <mergeCell ref="Q35:W35"/>
    <mergeCell ref="B5:E5"/>
    <mergeCell ref="J10:R10"/>
    <mergeCell ref="K32:M32"/>
    <mergeCell ref="T32:W32"/>
    <mergeCell ref="E32:J32"/>
    <mergeCell ref="B1:AN1"/>
    <mergeCell ref="AD71:AL71"/>
    <mergeCell ref="B70:D70"/>
    <mergeCell ref="B66:D66"/>
    <mergeCell ref="B67:D67"/>
    <mergeCell ref="B68:D68"/>
    <mergeCell ref="E66:T66"/>
    <mergeCell ref="E67:T67"/>
    <mergeCell ref="O43:AM44"/>
    <mergeCell ref="B43:N44"/>
    <mergeCell ref="B65:D65"/>
    <mergeCell ref="B69:D69"/>
    <mergeCell ref="AD66:AL66"/>
    <mergeCell ref="U66:X66"/>
    <mergeCell ref="V38:W38"/>
    <mergeCell ref="L41:O41"/>
    <mergeCell ref="B59:AN59"/>
    <mergeCell ref="K48:L48"/>
    <mergeCell ref="K49:L49"/>
    <mergeCell ref="W12:AM12"/>
    <mergeCell ref="K50:L50"/>
    <mergeCell ref="E68:T68"/>
    <mergeCell ref="AF32:AL32"/>
    <mergeCell ref="S38:U38"/>
    <mergeCell ref="AA104:AC104"/>
    <mergeCell ref="AA105:AC105"/>
    <mergeCell ref="U103:X103"/>
    <mergeCell ref="M48:N48"/>
    <mergeCell ref="M49:N49"/>
    <mergeCell ref="M50:N50"/>
    <mergeCell ref="M51:N51"/>
    <mergeCell ref="M52:N52"/>
    <mergeCell ref="M53:N53"/>
    <mergeCell ref="O48:P48"/>
    <mergeCell ref="O49:P49"/>
    <mergeCell ref="O50:P50"/>
    <mergeCell ref="O51:P51"/>
    <mergeCell ref="O52:P52"/>
    <mergeCell ref="O53:P53"/>
    <mergeCell ref="U70:X70"/>
    <mergeCell ref="U69:X69"/>
    <mergeCell ref="U76:X76"/>
    <mergeCell ref="U74:X74"/>
    <mergeCell ref="E78:T78"/>
    <mergeCell ref="U79:X79"/>
    <mergeCell ref="U75:X75"/>
    <mergeCell ref="E74:T74"/>
    <mergeCell ref="E85:T85"/>
    <mergeCell ref="E50:H50"/>
    <mergeCell ref="E51:H51"/>
    <mergeCell ref="E52:H52"/>
    <mergeCell ref="E53:H53"/>
    <mergeCell ref="K52:L52"/>
    <mergeCell ref="K53:L53"/>
    <mergeCell ref="E65:T65"/>
    <mergeCell ref="K51:L51"/>
    <mergeCell ref="E69:T69"/>
  </mergeCells>
  <phoneticPr fontId="22" type="noConversion"/>
  <conditionalFormatting sqref="B92:B107 C92:D97">
    <cfRule type="expression" dxfId="32" priority="47">
      <formula>IF(E92="",TRUE,FALSE)</formula>
    </cfRule>
  </conditionalFormatting>
  <conditionalFormatting sqref="Z39 Z36 K37:K42">
    <cfRule type="containsText" dxfId="31" priority="103" operator="containsText" text="L">
      <formula>NOT(ISERROR(SEARCH("L",K36)))</formula>
    </cfRule>
    <cfRule type="containsText" dxfId="30" priority="104" operator="containsText" text="J">
      <formula>NOT(ISERROR(SEARCH("J",K36)))</formula>
    </cfRule>
  </conditionalFormatting>
  <conditionalFormatting sqref="Z39 Z36 K37:K42">
    <cfRule type="containsText" dxfId="29" priority="101" operator="containsText" text="y">
      <formula>NOT(ISERROR(SEARCH("y",K36)))</formula>
    </cfRule>
    <cfRule type="containsText" dxfId="28" priority="102" operator="containsText" text="n">
      <formula>NOT(ISERROR(SEARCH("n",K36)))</formula>
    </cfRule>
  </conditionalFormatting>
  <conditionalFormatting sqref="B36">
    <cfRule type="containsText" dxfId="27" priority="3" operator="containsText" text="Bottom Quartile">
      <formula>NOT(ISERROR(SEARCH("Bottom Quartile",B36)))</formula>
    </cfRule>
    <cfRule type="containsText" dxfId="26" priority="88" operator="containsText" text="third quartile">
      <formula>NOT(ISERROR(SEARCH("third quartile",B36)))</formula>
    </cfRule>
    <cfRule type="containsText" dxfId="25" priority="89" operator="containsText" text="second quartile">
      <formula>NOT(ISERROR(SEARCH("second quartile",B36)))</formula>
    </cfRule>
    <cfRule type="containsText" dxfId="24" priority="90" operator="containsText" text="top quartile">
      <formula>NOT(ISERROR(SEARCH("top quartile",B36)))</formula>
    </cfRule>
  </conditionalFormatting>
  <conditionalFormatting sqref="E66:T86">
    <cfRule type="cellIs" dxfId="23" priority="62" stopIfTrue="1" operator="equal">
      <formula>$J$5</formula>
    </cfRule>
  </conditionalFormatting>
  <conditionalFormatting sqref="U86:X86">
    <cfRule type="expression" dxfId="22" priority="55">
      <formula>IF(E86=$J$5,TRUE,FALSE)</formula>
    </cfRule>
  </conditionalFormatting>
  <conditionalFormatting sqref="E92:T107">
    <cfRule type="expression" dxfId="21" priority="45">
      <formula>IF(ISNA(E107),TRUE,FALSE)</formula>
    </cfRule>
  </conditionalFormatting>
  <conditionalFormatting sqref="U66:X85">
    <cfRule type="expression" dxfId="20" priority="38">
      <formula>IF(E66=$J$5,TRUE,FALSE)</formula>
    </cfRule>
  </conditionalFormatting>
  <conditionalFormatting sqref="F102:G103 H92:K107">
    <cfRule type="expression" dxfId="19" priority="141">
      <formula>IF(ISNA(F108),TRUE,FALSE)</formula>
    </cfRule>
  </conditionalFormatting>
  <conditionalFormatting sqref="F104:G104">
    <cfRule type="expression" dxfId="18" priority="145">
      <formula>IF(ISNA(F124),TRUE,FALSE)</formula>
    </cfRule>
  </conditionalFormatting>
  <conditionalFormatting sqref="AD92:AM107 E92:T107">
    <cfRule type="cellIs" dxfId="17" priority="24" operator="equal">
      <formula>$J$5</formula>
    </cfRule>
  </conditionalFormatting>
  <conditionalFormatting sqref="AA92:AC107 B92:B107 C92:D97">
    <cfRule type="expression" dxfId="16" priority="23">
      <formula>IF(E92=$J$5,TRUE,FALSE)</formula>
    </cfRule>
  </conditionalFormatting>
  <conditionalFormatting sqref="U92:X107">
    <cfRule type="expression" dxfId="15" priority="21">
      <formula>IF(E92=$J$5,TRUE,FALSE)</formula>
    </cfRule>
  </conditionalFormatting>
  <conditionalFormatting sqref="U93:X107">
    <cfRule type="expression" dxfId="14" priority="20">
      <formula>IF(E93=$J$5,TRUE,FALSE)</formula>
    </cfRule>
  </conditionalFormatting>
  <conditionalFormatting sqref="AN92:AQ107">
    <cfRule type="expression" dxfId="13" priority="19">
      <formula>IF(AD92=$J$5,TRUE,FALSE)</formula>
    </cfRule>
  </conditionalFormatting>
  <conditionalFormatting sqref="Y86:AC86">
    <cfRule type="expression" dxfId="12" priority="16">
      <formula>IF(E86=$J$5,TRUE,FALSE)</formula>
    </cfRule>
  </conditionalFormatting>
  <conditionalFormatting sqref="Y66:AC85">
    <cfRule type="expression" dxfId="11" priority="15">
      <formula>IF(E66=$J$5,TRUE,FALSE)</formula>
    </cfRule>
  </conditionalFormatting>
  <conditionalFormatting sqref="Y92:Y107">
    <cfRule type="expression" dxfId="10" priority="13">
      <formula>IF(E92=$J$5,TRUE,FALSE)</formula>
    </cfRule>
  </conditionalFormatting>
  <conditionalFormatting sqref="AR92">
    <cfRule type="expression" dxfId="9" priority="12">
      <formula>IF(AD92=$J$5,TRUE,FALSE)</formula>
    </cfRule>
  </conditionalFormatting>
  <conditionalFormatting sqref="AR93:AR107">
    <cfRule type="expression" dxfId="8" priority="11">
      <formula>IF(AD93=$J$5,TRUE,FALSE)</formula>
    </cfRule>
  </conditionalFormatting>
  <conditionalFormatting sqref="K32:M32">
    <cfRule type="expression" dxfId="7" priority="9">
      <formula>IF($D$22="%",TRUE,FALSE)</formula>
    </cfRule>
  </conditionalFormatting>
  <conditionalFormatting sqref="T32">
    <cfRule type="expression" dxfId="6" priority="8">
      <formula>IF($D$22="%",TRUE,FALSE)</formula>
    </cfRule>
  </conditionalFormatting>
  <conditionalFormatting sqref="AC32:AE32">
    <cfRule type="expression" dxfId="5" priority="7">
      <formula>IF($D$22="%",TRUE,FALSE)</formula>
    </cfRule>
  </conditionalFormatting>
  <conditionalFormatting sqref="L35:O35 L37:O40 U66:X86 AN92:AQ108 U92:X108">
    <cfRule type="expression" dxfId="4" priority="6">
      <formula>IF($D$22="%",TRUE,FALSE)</formula>
    </cfRule>
  </conditionalFormatting>
  <conditionalFormatting sqref="B86:D86">
    <cfRule type="expression" dxfId="3" priority="1">
      <formula>IF(E86=$J$5,TRUE,FALSE)</formula>
    </cfRule>
    <cfRule type="expression" dxfId="2" priority="4">
      <formula>IF($U$86="",TRUE,FALSE)</formula>
    </cfRule>
  </conditionalFormatting>
  <conditionalFormatting sqref="B66:Y85">
    <cfRule type="expression" dxfId="1" priority="2">
      <formula>IF(E66=$J$5,TRUE,FALSE)</formula>
    </cfRule>
  </conditionalFormatting>
  <dataValidations count="4">
    <dataValidation type="list" allowBlank="1" showInputMessage="1" showErrorMessage="1" sqref="W6:AM10" xr:uid="{00000000-0002-0000-0000-000000000000}">
      <formula1>Indicators</formula1>
    </dataValidation>
    <dataValidation type="list" allowBlank="1" showInputMessage="1" showErrorMessage="1" sqref="W12:AM12" xr:uid="{00000000-0002-0000-0000-000001000000}">
      <formula1>Years</formula1>
    </dataValidation>
    <dataValidation type="list" allowBlank="1" showInputMessage="1" showErrorMessage="1" sqref="D59:E59 D3:E4 D110:E110 D1:E1" xr:uid="{00000000-0002-0000-0000-000002000000}">
      <formula1>#REF!</formula1>
    </dataValidation>
    <dataValidation type="list" allowBlank="1" showInputMessage="1" showErrorMessage="1" sqref="J5:S6" xr:uid="{00000000-0002-0000-0000-000003000000}">
      <formula1>Authorities</formula1>
    </dataValidation>
  </dataValidations>
  <pageMargins left="0.7" right="0.7" top="0.75" bottom="0.75" header="0.3" footer="0.3"/>
  <pageSetup scale="92" orientation="portrait" r:id="rId1"/>
  <rowBreaks count="2" manualBreakCount="2">
    <brk id="58" max="16383" man="1"/>
    <brk id="10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6" tint="0.39997558519241921"/>
  </sheetPr>
  <dimension ref="A1:ABM368"/>
  <sheetViews>
    <sheetView topLeftCell="A344" workbookViewId="0">
      <selection activeCell="C11" sqref="C11:C368"/>
    </sheetView>
  </sheetViews>
  <sheetFormatPr defaultColWidth="0" defaultRowHeight="13.2"/>
  <cols>
    <col min="1" max="1" width="5.6640625" style="56" customWidth="1"/>
    <col min="2" max="2" width="15.44140625" style="56" customWidth="1"/>
    <col min="3" max="3" width="28.44140625" style="8" bestFit="1" customWidth="1"/>
    <col min="4" max="4" width="14.6640625" style="26" customWidth="1"/>
    <col min="5" max="5" width="11.33203125" style="26" customWidth="1"/>
    <col min="6" max="6" width="11.5546875" style="26" customWidth="1"/>
    <col min="7" max="7" width="4" style="26" customWidth="1"/>
    <col min="8" max="8" width="8.6640625" style="78" customWidth="1"/>
    <col min="9" max="9" width="9.88671875" style="78" customWidth="1"/>
    <col min="10" max="10" width="18.5546875" style="26" customWidth="1"/>
    <col min="11" max="11" width="8.33203125" style="28" customWidth="1"/>
    <col min="12" max="12" width="20.6640625" style="36" customWidth="1"/>
    <col min="13" max="13" width="20.6640625" style="90" customWidth="1"/>
    <col min="14" max="14" width="11.33203125" style="90" customWidth="1"/>
    <col min="15" max="18" width="12.33203125" style="90" customWidth="1"/>
    <col min="19" max="19" width="6.6640625" style="37" customWidth="1"/>
    <col min="20" max="20" width="10.44140625" style="176" customWidth="1"/>
    <col min="21" max="21" width="8" style="183" customWidth="1"/>
    <col min="22" max="22" width="7.44140625" style="183" customWidth="1"/>
    <col min="23" max="23" width="6" style="183" customWidth="1"/>
    <col min="24" max="24" width="19.44140625" style="38" customWidth="1"/>
    <col min="25" max="25" width="10.33203125" style="8" customWidth="1"/>
    <col min="26" max="26" width="8.88671875" style="8" customWidth="1"/>
    <col min="27" max="27" width="14.5546875" style="176" customWidth="1"/>
    <col min="28" max="29" width="7.5546875" style="177" customWidth="1"/>
    <col min="30" max="30" width="4.33203125" style="177" customWidth="1"/>
    <col min="31" max="31" width="8.44140625" style="38" customWidth="1"/>
    <col min="32" max="32" width="20.6640625" style="26" customWidth="1"/>
    <col min="33" max="33" width="9.6640625" style="8" customWidth="1"/>
    <col min="34" max="34" width="5" style="8" customWidth="1"/>
    <col min="35" max="35" width="15.6640625" style="38" bestFit="1" customWidth="1"/>
    <col min="36" max="36" width="9.33203125" style="8" customWidth="1"/>
    <col min="37" max="37" width="10.88671875" style="8" customWidth="1"/>
    <col min="38" max="38" width="10.88671875" style="26" customWidth="1"/>
    <col min="39" max="39" width="21.5546875" style="8" customWidth="1"/>
    <col min="40" max="40" width="5.44140625" style="8" customWidth="1"/>
    <col min="41" max="41" width="9.109375" style="8" customWidth="1"/>
    <col min="42" max="42" width="21.5546875" style="38" customWidth="1"/>
    <col min="43" max="43" width="8.6640625" style="71" customWidth="1"/>
    <col min="44" max="45" width="7.109375" style="26" customWidth="1"/>
    <col min="46" max="46" width="15.33203125" style="26" customWidth="1"/>
    <col min="47" max="47" width="13.6640625" style="26" customWidth="1"/>
    <col min="48" max="48" width="11.88671875" style="26" customWidth="1"/>
    <col min="49" max="49" width="9.6640625" style="80" customWidth="1"/>
    <col min="50" max="50" width="24.88671875" style="19" customWidth="1"/>
    <col min="51" max="51" width="7.44140625" style="119" customWidth="1"/>
    <col min="52" max="52" width="9" style="19" customWidth="1"/>
    <col min="53" max="84" width="9.109375" style="8" customWidth="1"/>
    <col min="85" max="734" width="0" style="8" hidden="1" customWidth="1"/>
    <col min="735" max="735" width="0" style="38" hidden="1" customWidth="1"/>
    <col min="736" max="741" width="0" style="8" hidden="1" customWidth="1"/>
    <col min="742" max="16384" width="9.109375" style="8" hidden="1"/>
  </cols>
  <sheetData>
    <row r="1" spans="1:735" s="25" customFormat="1">
      <c r="A1" s="53"/>
      <c r="B1" s="53"/>
      <c r="C1" s="63" t="s">
        <v>377</v>
      </c>
      <c r="D1" s="64" t="s">
        <v>380</v>
      </c>
      <c r="E1" s="24"/>
      <c r="F1" s="24"/>
      <c r="G1" s="24"/>
      <c r="H1" s="72"/>
      <c r="I1" s="73"/>
      <c r="K1" s="58"/>
      <c r="L1" s="25" t="s">
        <v>358</v>
      </c>
      <c r="M1" s="87" t="s">
        <v>382</v>
      </c>
      <c r="N1" s="87" t="s">
        <v>382</v>
      </c>
      <c r="O1" s="87"/>
      <c r="P1" s="87"/>
      <c r="Q1" s="87"/>
      <c r="R1" s="87"/>
      <c r="T1" s="356" t="s">
        <v>823</v>
      </c>
      <c r="U1" s="357"/>
      <c r="V1" s="357"/>
      <c r="W1" s="358"/>
      <c r="X1" s="58"/>
      <c r="AA1" s="356" t="s">
        <v>822</v>
      </c>
      <c r="AB1" s="357"/>
      <c r="AC1" s="357"/>
      <c r="AD1" s="358"/>
      <c r="AE1" s="60"/>
      <c r="AF1" s="24"/>
      <c r="AI1" s="58"/>
      <c r="AL1" s="24"/>
      <c r="AP1" s="58"/>
      <c r="AQ1" s="69"/>
      <c r="AR1" s="24"/>
      <c r="AS1" s="24"/>
      <c r="AT1" s="24"/>
      <c r="AU1" s="24"/>
      <c r="AV1" s="24"/>
      <c r="AW1" s="79"/>
      <c r="AX1" s="42"/>
      <c r="AY1" s="118"/>
      <c r="AZ1" s="42"/>
    </row>
    <row r="2" spans="1:735" s="25" customFormat="1">
      <c r="A2" s="53"/>
      <c r="B2" s="53"/>
      <c r="D2" s="24"/>
      <c r="E2" s="24"/>
      <c r="F2" s="24"/>
      <c r="G2" s="24"/>
      <c r="H2" s="72"/>
      <c r="I2" s="73"/>
      <c r="K2" s="58"/>
      <c r="L2" s="25" t="s">
        <v>385</v>
      </c>
      <c r="M2" s="87" t="s">
        <v>413</v>
      </c>
      <c r="N2" s="87" t="s">
        <v>419</v>
      </c>
      <c r="O2" s="87"/>
      <c r="P2" s="88"/>
      <c r="Q2" s="88"/>
      <c r="R2" s="88"/>
      <c r="S2" s="59"/>
      <c r="T2" s="356"/>
      <c r="U2" s="357"/>
      <c r="V2" s="357"/>
      <c r="W2" s="358"/>
      <c r="X2" s="354"/>
      <c r="Y2" s="355"/>
      <c r="Z2" s="355"/>
      <c r="AA2" s="356"/>
      <c r="AB2" s="357"/>
      <c r="AC2" s="357"/>
      <c r="AD2" s="358"/>
      <c r="AE2" s="58"/>
      <c r="AF2" s="61"/>
      <c r="AG2" s="61"/>
      <c r="AI2" s="58"/>
      <c r="AL2" s="24"/>
      <c r="AP2" s="58"/>
      <c r="AQ2" s="69"/>
      <c r="AR2" s="24"/>
      <c r="AS2" s="24"/>
      <c r="AT2" s="24"/>
      <c r="AU2" s="24"/>
      <c r="AV2" s="24"/>
      <c r="AW2" s="79"/>
      <c r="AX2" s="42"/>
      <c r="AZ2" s="42"/>
      <c r="ABG2" s="62" t="s">
        <v>404</v>
      </c>
    </row>
    <row r="3" spans="1:735" s="25" customFormat="1">
      <c r="A3" s="53"/>
      <c r="B3" s="53"/>
      <c r="C3" s="25" t="s">
        <v>407</v>
      </c>
      <c r="D3" s="25" t="str">
        <f>Profile!J5</f>
        <v>Allerdale</v>
      </c>
      <c r="F3" s="73" t="str">
        <f>VLOOKUP(D3,classifications!C:G,4,FALSE)</f>
        <v>SD</v>
      </c>
      <c r="G3" s="25" t="str">
        <f>VLOOKUP(D3,classifications!C:E,3,FALSE)</f>
        <v>North West</v>
      </c>
      <c r="H3" s="81" t="str">
        <f>VLOOKUP(D3,classifications!C:H,6,FALSE)</f>
        <v xml:space="preserve">Mainly Rural (rural including hub towns &gt;=80%) </v>
      </c>
      <c r="I3" s="25" t="str">
        <f>VLOOKUP(D3,classifications!C:J,8,FALSE)</f>
        <v>Cumbria</v>
      </c>
      <c r="J3" s="24" t="str">
        <f>VLOOKUP(D3,classifications!C:I,7,FALSE)</f>
        <v>Predominantly Rural</v>
      </c>
      <c r="K3" s="58"/>
      <c r="L3" s="25" t="s">
        <v>386</v>
      </c>
      <c r="M3" s="87" t="s">
        <v>414</v>
      </c>
      <c r="N3" s="87" t="s">
        <v>395</v>
      </c>
      <c r="O3" s="87"/>
      <c r="P3" s="87"/>
      <c r="Q3" s="87"/>
      <c r="R3" s="87"/>
      <c r="T3" s="176"/>
      <c r="U3" s="177"/>
      <c r="V3" s="177"/>
      <c r="W3" s="177"/>
      <c r="X3" s="58"/>
      <c r="AA3" s="176"/>
      <c r="AB3" s="177"/>
      <c r="AC3" s="177"/>
      <c r="AD3" s="177"/>
      <c r="AE3" s="58"/>
      <c r="AF3" s="24"/>
      <c r="AI3" s="58"/>
      <c r="AL3" s="24"/>
      <c r="AP3" s="58"/>
      <c r="AQ3" s="69"/>
      <c r="AR3" s="24"/>
      <c r="AS3" s="24"/>
      <c r="AT3" s="24"/>
      <c r="AU3" s="24"/>
      <c r="AV3" s="24"/>
      <c r="AW3" s="79"/>
      <c r="AX3" s="42"/>
      <c r="AZ3" s="42"/>
    </row>
    <row r="4" spans="1:735" s="25" customFormat="1">
      <c r="A4" s="53"/>
      <c r="B4" s="53"/>
      <c r="C4" s="42"/>
      <c r="H4" s="73"/>
      <c r="I4" s="75"/>
      <c r="K4" s="58" t="s">
        <v>3</v>
      </c>
      <c r="L4" s="25" t="s">
        <v>388</v>
      </c>
      <c r="M4" s="87" t="s">
        <v>415</v>
      </c>
      <c r="N4" s="87" t="s">
        <v>301</v>
      </c>
      <c r="O4" s="87"/>
      <c r="P4" s="87"/>
      <c r="Q4" s="87"/>
      <c r="R4" s="87"/>
      <c r="T4" s="176"/>
      <c r="U4" s="177"/>
      <c r="V4" s="177"/>
      <c r="W4" s="177"/>
      <c r="X4" s="58"/>
      <c r="AA4" s="176"/>
      <c r="AB4" s="177"/>
      <c r="AC4" s="177"/>
      <c r="AD4" s="177"/>
      <c r="AE4" s="58"/>
      <c r="AF4" s="24"/>
      <c r="AI4" s="58"/>
      <c r="AL4" s="24"/>
      <c r="AP4" s="58"/>
      <c r="AQ4" s="69"/>
      <c r="AR4" s="24"/>
      <c r="AS4" s="24"/>
      <c r="AT4" s="24"/>
      <c r="AU4" s="24"/>
      <c r="AV4" s="24"/>
      <c r="AW4" s="79"/>
      <c r="AX4" s="42"/>
      <c r="AZ4" s="42"/>
    </row>
    <row r="5" spans="1:735" s="25" customFormat="1">
      <c r="A5" s="53"/>
      <c r="B5" s="53"/>
      <c r="C5" s="25" t="s">
        <v>405</v>
      </c>
      <c r="D5" s="82" t="str">
        <f>Profile!W6</f>
        <v>Proportion of residents who walk (for at least 10 minutes) at least once a month</v>
      </c>
      <c r="E5" s="82"/>
      <c r="F5" s="24"/>
      <c r="G5" s="24"/>
      <c r="H5" s="72"/>
      <c r="I5" s="73"/>
      <c r="K5" s="58" t="s">
        <v>3</v>
      </c>
      <c r="L5" s="25" t="s">
        <v>380</v>
      </c>
      <c r="M5" s="87" t="s">
        <v>416</v>
      </c>
      <c r="N5" s="87" t="s">
        <v>5</v>
      </c>
      <c r="O5" s="87"/>
      <c r="P5" s="87"/>
      <c r="T5" s="176"/>
      <c r="U5" s="177"/>
      <c r="V5" s="177"/>
      <c r="W5" s="177"/>
      <c r="X5" s="58"/>
      <c r="AA5" s="176"/>
      <c r="AB5" s="177"/>
      <c r="AC5" s="177"/>
      <c r="AD5" s="177"/>
      <c r="AE5" s="58"/>
      <c r="AF5" s="24"/>
      <c r="AI5" s="58"/>
      <c r="AL5" s="24"/>
      <c r="AP5" s="58"/>
      <c r="AQ5" s="69"/>
      <c r="AR5" s="24"/>
      <c r="AS5" s="24"/>
      <c r="AT5" s="24"/>
      <c r="AU5" s="24"/>
      <c r="AV5" s="24"/>
      <c r="AW5" s="79"/>
      <c r="AX5" s="42"/>
      <c r="AZ5" s="42"/>
    </row>
    <row r="6" spans="1:735" s="25" customFormat="1">
      <c r="A6" s="53"/>
      <c r="B6" s="53"/>
      <c r="C6" s="25" t="s">
        <v>406</v>
      </c>
      <c r="D6" s="83" t="str">
        <f>Profile!W12</f>
        <v>2018/19</v>
      </c>
      <c r="E6" s="83"/>
      <c r="F6" s="24"/>
      <c r="G6" s="24"/>
      <c r="H6" s="72"/>
      <c r="I6" s="74"/>
      <c r="K6" s="58" t="s">
        <v>3</v>
      </c>
      <c r="L6" s="25" t="s">
        <v>417</v>
      </c>
      <c r="M6" s="87" t="s">
        <v>418</v>
      </c>
      <c r="N6" s="87" t="s">
        <v>420</v>
      </c>
      <c r="O6" s="87"/>
      <c r="P6" s="97" t="s">
        <v>401</v>
      </c>
      <c r="Q6" s="97" t="s">
        <v>402</v>
      </c>
      <c r="T6" s="176"/>
      <c r="U6" s="177"/>
      <c r="V6" s="177"/>
      <c r="W6" s="177"/>
      <c r="X6" s="58"/>
      <c r="AA6" s="176"/>
      <c r="AB6" s="177"/>
      <c r="AC6" s="177"/>
      <c r="AD6" s="177"/>
      <c r="AE6" s="58"/>
      <c r="AF6" s="24"/>
      <c r="AI6" s="58"/>
      <c r="AL6" s="24"/>
      <c r="AP6" s="58"/>
      <c r="AQ6" s="69"/>
      <c r="AR6" s="24"/>
      <c r="AS6" s="24"/>
      <c r="AT6" s="24"/>
      <c r="AU6" s="24"/>
      <c r="AV6" s="24"/>
      <c r="AW6" s="79"/>
      <c r="AX6" s="42"/>
      <c r="AZ6" s="42"/>
    </row>
    <row r="7" spans="1:735" s="25" customFormat="1">
      <c r="A7" s="53"/>
      <c r="B7" s="53"/>
      <c r="F7" s="24"/>
      <c r="G7" s="24"/>
      <c r="H7" s="72"/>
      <c r="I7" s="74"/>
      <c r="K7" s="58" t="s">
        <v>3</v>
      </c>
      <c r="M7" s="87"/>
      <c r="N7" s="87"/>
      <c r="P7" s="98">
        <f>IF(I8="A",MIN(N$11:N$368),MAX(N$11:N$368))</f>
        <v>89.096389225280319</v>
      </c>
      <c r="Q7" s="98">
        <f>IF(I8="A",MAX(N11:N363),MIN(N11:N363))</f>
        <v>70.443513596076485</v>
      </c>
      <c r="T7" s="176"/>
      <c r="U7" s="177"/>
      <c r="V7" s="177"/>
      <c r="W7" s="177"/>
      <c r="X7" s="58"/>
      <c r="AA7" s="176"/>
      <c r="AB7" s="177"/>
      <c r="AC7" s="177"/>
      <c r="AD7" s="177"/>
      <c r="AE7" s="58"/>
      <c r="AF7" s="24"/>
      <c r="AI7" s="58"/>
      <c r="AL7" s="24"/>
      <c r="AP7" s="58"/>
      <c r="AQ7" s="69"/>
      <c r="AR7" s="24"/>
      <c r="AS7" s="24"/>
      <c r="AT7" s="24"/>
      <c r="AU7" s="24"/>
      <c r="AV7" s="24"/>
      <c r="AW7" s="79"/>
      <c r="AX7" s="42"/>
      <c r="AZ7" s="42"/>
    </row>
    <row r="8" spans="1:735" s="25" customFormat="1" ht="15.6">
      <c r="A8" s="53"/>
      <c r="B8" s="53"/>
      <c r="C8" s="83" t="s">
        <v>793</v>
      </c>
      <c r="D8" s="165" t="str">
        <f>VLOOKUP(D5,'Indicator info'!A:D,2,FALSE)</f>
        <v>.</v>
      </c>
      <c r="E8" s="165"/>
      <c r="F8" s="83" t="s">
        <v>792</v>
      </c>
      <c r="G8" s="166" t="str">
        <f>VLOOKUP(D5,'Indicator info'!A:D,3,FALSE)</f>
        <v>.</v>
      </c>
      <c r="H8" s="167" t="str">
        <f>D8&amp;G8</f>
        <v>..</v>
      </c>
      <c r="I8" s="168" t="str">
        <f>VLOOKUP(D5,'Indicator info'!A:D,4,FALSE)</f>
        <v>D</v>
      </c>
      <c r="K8" s="58"/>
      <c r="M8" s="100"/>
      <c r="N8" s="100"/>
      <c r="O8" s="100"/>
      <c r="P8" s="75" t="str">
        <f>D3</f>
        <v>Allerdale</v>
      </c>
      <c r="Q8" s="99">
        <f>VLOOKUP(D3,L11:N363,3,FALSE)</f>
        <v>80.664917544522837</v>
      </c>
      <c r="R8" s="100" t="str">
        <f>IF(I8="A",IF(Q8&gt;Q10,"Bottom",IF(Q8&gt;P10,"Third",IF(Q8&gt;O10,"Second","Top"))),IF(Q8&gt;=O10,"Top",IF(Q8&gt;=P10,"Second",IF(Q8&gt;=Q10,"Third","Bottom"))))</f>
        <v>Third</v>
      </c>
      <c r="T8" s="176"/>
      <c r="U8" s="177"/>
      <c r="V8" s="177"/>
      <c r="W8" s="177"/>
      <c r="X8" s="58"/>
      <c r="AA8" s="176"/>
      <c r="AB8" s="177"/>
      <c r="AC8" s="177"/>
      <c r="AD8" s="177"/>
      <c r="AE8" s="58"/>
      <c r="AF8" s="24"/>
      <c r="AI8" s="58"/>
      <c r="AL8" s="24"/>
      <c r="AP8" s="58"/>
      <c r="AQ8" s="69"/>
      <c r="AR8" s="24"/>
      <c r="AS8" s="24"/>
      <c r="AT8" s="24"/>
      <c r="AU8" s="24"/>
      <c r="AV8" s="24"/>
      <c r="AW8" s="79"/>
      <c r="AX8" s="141"/>
      <c r="AZ8" s="127"/>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row>
    <row r="9" spans="1:735" s="23" customFormat="1" ht="46.5" customHeight="1">
      <c r="A9" s="54"/>
      <c r="B9" s="54"/>
      <c r="C9" s="8"/>
      <c r="D9" s="26"/>
      <c r="E9" s="26"/>
      <c r="F9" s="26"/>
      <c r="G9" s="26"/>
      <c r="H9" s="41" t="str">
        <f>"Results for "&amp;D1&amp;" Authorities only"</f>
        <v>Results for SD Authorities only</v>
      </c>
      <c r="I9" s="76"/>
      <c r="J9" s="18"/>
      <c r="K9" s="31" t="str">
        <f>"Rank &amp; Quartiles for all "&amp;D1&amp;" Authorities"</f>
        <v>Rank &amp; Quartiles for all SD Authorities</v>
      </c>
      <c r="L9" s="32"/>
      <c r="M9" s="86">
        <f>IF($H$8="%.",(AVERAGE(M11:M363))/100,(AVERAGE(M11:M363)))</f>
        <v>80.892616842679516</v>
      </c>
      <c r="N9" s="86"/>
      <c r="O9" s="89" t="s">
        <v>340</v>
      </c>
      <c r="P9" s="89" t="s">
        <v>351</v>
      </c>
      <c r="Q9" s="89" t="s">
        <v>352</v>
      </c>
      <c r="R9" s="91" t="s">
        <v>400</v>
      </c>
      <c r="S9" s="30"/>
      <c r="T9" s="178" t="s">
        <v>818</v>
      </c>
      <c r="U9" s="179">
        <f>IF($H$8="%.",(AVERAGE(U11:U363))/100,(AVERAGE(U11:U363)))</f>
        <v>81.664106850826698</v>
      </c>
      <c r="V9" s="180"/>
      <c r="W9" s="180"/>
      <c r="X9" s="84" t="str">
        <f>"Lower Level Ranking for Authorites in "&amp;H3&amp;" &amp; are a "&amp;F3</f>
        <v>Lower Level Ranking for Authorites in Mainly Rural (rural including hub towns &gt;=80%)  &amp; are a SD</v>
      </c>
      <c r="Y9" s="86">
        <f>IF($H$8="%.",(AVERAGE(Y11:Y363))/100,(AVERAGE(Y11:Y363)))</f>
        <v>81.585817249144441</v>
      </c>
      <c r="Z9" s="85"/>
      <c r="AA9" s="186" t="s">
        <v>379</v>
      </c>
      <c r="AB9" s="179">
        <f>IF($H$8="%.",(AVERAGE(AB11:AB363))/100,(AVERAGE(AB11:AB363)))</f>
        <v>81.524787428206025</v>
      </c>
      <c r="AC9" s="187"/>
      <c r="AD9" s="187"/>
      <c r="AE9" s="31" t="s">
        <v>409</v>
      </c>
      <c r="AG9" s="86">
        <f>IF($H$8="%.",(AVERAGE(AG11:AG363))/100,(AVERAGE(AG11:AG363)))</f>
        <v>79.513104544814098</v>
      </c>
      <c r="AI9" s="84" t="str">
        <f>"County Ranking &amp; Top Authorites in "&amp;I3&amp;" &amp; are a "&amp;F3</f>
        <v>County Ranking &amp; Top Authorites in Cumbria &amp; are a SD</v>
      </c>
      <c r="AJ9" s="86">
        <f>IF($H$8="%.",(AVERAGE(AJ11:AJ363))/100,(AVERAGE(AJ11:AJ363)))</f>
        <v>81.771635936917235</v>
      </c>
      <c r="AK9" s="85"/>
      <c r="AL9" s="44"/>
      <c r="AM9" s="8"/>
      <c r="AN9" s="8"/>
      <c r="AP9" s="84" t="str">
        <f>"Regional Ranking in for "&amp;F3</f>
        <v>Regional Ranking in for SD</v>
      </c>
      <c r="AQ9" s="86">
        <f>IF($H$8="%.",(AVERAGE(AQ11:AQ363))/100,(AVERAGE(AQ11:AQ363)))</f>
        <v>79.507047266139494</v>
      </c>
      <c r="AR9" s="85"/>
      <c r="AS9" s="85"/>
      <c r="AT9" s="85"/>
      <c r="AU9" s="85"/>
      <c r="AV9" s="26"/>
      <c r="AW9" s="79"/>
      <c r="AX9" s="125" t="str">
        <f>Profile!$W$6</f>
        <v>Proportion of residents who walk (for at least 10 minutes) at least once a month</v>
      </c>
      <c r="AY9" s="25"/>
      <c r="AZ9" s="125"/>
      <c r="BA9" s="124"/>
      <c r="BB9" s="124"/>
      <c r="BC9" s="124"/>
      <c r="BD9" s="124"/>
      <c r="BE9" s="124"/>
      <c r="BF9" s="124"/>
      <c r="BG9" s="124"/>
      <c r="BH9" s="124"/>
      <c r="BI9" s="124"/>
      <c r="BJ9" s="124"/>
      <c r="BK9" s="124"/>
      <c r="BL9" s="124"/>
      <c r="BM9" s="124"/>
      <c r="BN9" s="124"/>
      <c r="BO9" s="124"/>
      <c r="BP9" s="124"/>
      <c r="BQ9" s="124"/>
      <c r="BR9" s="124"/>
      <c r="BS9" s="124"/>
      <c r="BT9" s="124"/>
      <c r="BU9" s="124"/>
      <c r="BV9" s="124"/>
      <c r="BW9" s="124"/>
      <c r="BX9" s="124"/>
      <c r="BY9" s="124"/>
      <c r="BZ9" s="124"/>
      <c r="CA9" s="124"/>
      <c r="CB9" s="124"/>
      <c r="CC9" s="124"/>
      <c r="CD9" s="124"/>
      <c r="CE9" s="124"/>
      <c r="CF9" s="124"/>
      <c r="ABG9" s="33"/>
    </row>
    <row r="10" spans="1:735" s="20" customFormat="1">
      <c r="A10" s="55" t="s">
        <v>410</v>
      </c>
      <c r="B10" s="55"/>
      <c r="C10" s="20" t="s">
        <v>398</v>
      </c>
      <c r="D10" s="20" t="s">
        <v>377</v>
      </c>
      <c r="E10" s="20" t="s">
        <v>372</v>
      </c>
      <c r="F10" s="20" t="s">
        <v>373</v>
      </c>
      <c r="H10" s="52" t="s">
        <v>373</v>
      </c>
      <c r="I10" s="52" t="s">
        <v>353</v>
      </c>
      <c r="K10" s="47" t="s">
        <v>353</v>
      </c>
      <c r="L10" s="48" t="s">
        <v>333</v>
      </c>
      <c r="M10" s="92" t="s">
        <v>373</v>
      </c>
      <c r="N10" s="92" t="s">
        <v>798</v>
      </c>
      <c r="O10" s="93">
        <f>IF(I8="A",QUARTILE(N:N,1),QUARTILE(N:N,3))</f>
        <v>83.550972610284674</v>
      </c>
      <c r="P10" s="93">
        <f>QUARTILE(N:N,2)</f>
        <v>80.987164441476224</v>
      </c>
      <c r="Q10" s="93">
        <f>IF(I8="A",QUARTILE(N:N,3),QUARTILE(N:N,1))</f>
        <v>78.624124804390377</v>
      </c>
      <c r="R10" s="92"/>
      <c r="S10" s="49"/>
      <c r="T10" s="181" t="s">
        <v>372</v>
      </c>
      <c r="U10" s="182" t="s">
        <v>373</v>
      </c>
      <c r="V10" s="182" t="s">
        <v>353</v>
      </c>
      <c r="W10" s="182"/>
      <c r="X10" s="50" t="s">
        <v>378</v>
      </c>
      <c r="Y10" s="20" t="s">
        <v>373</v>
      </c>
      <c r="Z10" s="20" t="s">
        <v>353</v>
      </c>
      <c r="AA10" s="181" t="s">
        <v>379</v>
      </c>
      <c r="AB10" s="182" t="s">
        <v>373</v>
      </c>
      <c r="AC10" s="182" t="s">
        <v>353</v>
      </c>
      <c r="AD10" s="182"/>
      <c r="AE10" s="50" t="s">
        <v>353</v>
      </c>
      <c r="AF10" s="20" t="s">
        <v>408</v>
      </c>
      <c r="AG10" s="70" t="s">
        <v>373</v>
      </c>
      <c r="AI10" s="50" t="s">
        <v>301</v>
      </c>
      <c r="AJ10" s="20" t="s">
        <v>373</v>
      </c>
      <c r="AK10" s="51" t="s">
        <v>353</v>
      </c>
      <c r="AL10" s="51" t="s">
        <v>374</v>
      </c>
      <c r="AM10" s="20" t="s">
        <v>408</v>
      </c>
      <c r="AN10" s="20" t="s">
        <v>373</v>
      </c>
      <c r="AO10" s="52"/>
      <c r="AP10" s="50" t="s">
        <v>339</v>
      </c>
      <c r="AQ10" s="70" t="s">
        <v>373</v>
      </c>
      <c r="AR10" s="20" t="s">
        <v>353</v>
      </c>
      <c r="AS10" s="51" t="s">
        <v>374</v>
      </c>
      <c r="AT10" s="20" t="s">
        <v>408</v>
      </c>
      <c r="AU10" s="20" t="s">
        <v>373</v>
      </c>
      <c r="AW10" s="121"/>
      <c r="AX10" s="170" t="str">
        <f>D6</f>
        <v>2018/19</v>
      </c>
      <c r="AY10" s="122"/>
      <c r="AZ10" s="123"/>
      <c r="BA10" s="123"/>
      <c r="BB10" s="123"/>
      <c r="BC10" s="123"/>
      <c r="BD10" s="123"/>
      <c r="BE10" s="123"/>
      <c r="BF10" s="123"/>
      <c r="BG10" s="123"/>
      <c r="BH10" s="123"/>
      <c r="BI10" s="123"/>
      <c r="BJ10" s="123"/>
      <c r="BK10" s="123"/>
      <c r="BL10" s="123"/>
      <c r="BM10" s="123"/>
      <c r="BN10" s="123"/>
      <c r="BO10" s="123"/>
      <c r="BP10" s="123"/>
      <c r="BQ10" s="123"/>
      <c r="BR10" s="123"/>
      <c r="BS10" s="123"/>
      <c r="BT10" s="123"/>
      <c r="BU10" s="123"/>
      <c r="BV10" s="123"/>
      <c r="BW10" s="123"/>
      <c r="BX10" s="123"/>
      <c r="BY10" s="123"/>
      <c r="BZ10" s="123"/>
      <c r="CA10" s="123"/>
      <c r="CB10" s="123"/>
      <c r="CC10" s="123"/>
      <c r="CD10" s="123"/>
      <c r="CE10" s="123"/>
      <c r="CF10" s="123"/>
      <c r="ABG10" s="50"/>
    </row>
    <row r="11" spans="1:735">
      <c r="A11" s="56" t="str">
        <f>$D$1&amp;1</f>
        <v>SD1</v>
      </c>
      <c r="B11" s="57" t="str">
        <f>IF(ISERROR(VLOOKUP(A11,classifications!A:C,3,FALSE)),0,VLOOKUP(A11,classifications!A:C,3,FALSE))</f>
        <v>Allerdale</v>
      </c>
      <c r="C11" s="8" t="s">
        <v>4</v>
      </c>
      <c r="D11" s="26" t="str">
        <f>VLOOKUP($C11,classifications!$C:$J,4,FALSE)</f>
        <v>SD</v>
      </c>
      <c r="E11" s="26">
        <f>VLOOKUP(C11,classifications!C:K,9,FALSE)</f>
        <v>0</v>
      </c>
      <c r="F11" s="36">
        <f t="shared" ref="F11:F74" si="0">HLOOKUP($D$6,AX$10:ZX$368,ROW()-9,FALSE)</f>
        <v>80.665375065265906</v>
      </c>
      <c r="G11" s="71"/>
      <c r="H11" s="37">
        <f t="shared" ref="H11:H74" si="1">IF(D11=$D$1,HLOOKUP($D$6,$AX$10:$ZZ$368,ROW()-9,FALSE),"")</f>
        <v>80.665375065265906</v>
      </c>
      <c r="I11" s="77">
        <f>IF(H11="","",IF($I$8="A",(RANK(H11,H$11:H$368,1)+COUNTIF(H$11:H11,H11)-1),(RANK(H11,H$11:H$368)+COUNTIF(H$11:H11,H11)-1)))</f>
        <v>102</v>
      </c>
      <c r="J11" s="35"/>
      <c r="K11" s="28">
        <v>1</v>
      </c>
      <c r="L11" s="36" t="str">
        <f t="shared" ref="L11:L74" si="2">IF(K11="","",INDEX(C$11:C$368,MATCH(K11,I$11:I$368,0)))</f>
        <v>East Hertfordshire</v>
      </c>
      <c r="M11" s="102">
        <f>IF(L11="","",IF(VLOOKUP(L11,C:D,2,FALSE)=$F$3,VLOOKUP(L11,C:H,6,FALSE),""))</f>
        <v>89.096389225280319</v>
      </c>
      <c r="N11" s="101">
        <f>IF(L11="","",IF($H$8="%%",M11*100,M11))</f>
        <v>89.096389225280319</v>
      </c>
      <c r="O11" s="94">
        <f>IF(I$8="A",IF(N11&gt;=$P$7,IF(N11&lt;=$O$10,N11,""),""),IF(N11&lt;=$P$7,IF(N11&gt;=$O$10,N11,""),""))</f>
        <v>89.096389225280319</v>
      </c>
      <c r="P11" s="94" t="str">
        <f>IF(I$8="A",IF(N11&gt;$O$10,IF(N11&lt;=$P$10,N11,""),""),IF(N11&lt;$O$10,IF(N11&gt;=$P$10,N11,""),""))</f>
        <v/>
      </c>
      <c r="Q11" s="94" t="str">
        <f>IF(I$8="A",IF(N11&gt;$P$10,IF(N11&lt;=$Q$10,N11,""),""),IF(N11&lt;$P$10,IF(N11&gt;=$Q$10,N11,""),""))</f>
        <v/>
      </c>
      <c r="R11" s="90" t="str">
        <f>IF(I$8="A",IF(N11&gt;$Q$10,N11,""),IF(N11&lt;$Q$10,N11,""))</f>
        <v/>
      </c>
      <c r="S11" s="37" t="str">
        <f>IF(L11=D$3,"u","")</f>
        <v/>
      </c>
      <c r="T11" s="176" t="str">
        <f>IF(L11="","",VLOOKUP(L11,classifications!C:K,9,FALSE))</f>
        <v>Sparse</v>
      </c>
      <c r="U11" s="183">
        <f>IF(T11="Sparse",M11,"")</f>
        <v>89.096389225280319</v>
      </c>
      <c r="V11" s="184">
        <f>IF(U11="","",IF($I$8="A",(RANK(U11,U$11:U$368)+COUNTIF(U$11:U11,U11)-1),(RANK(U11,U$11:U$368,1)+COUNTIF(U$11:U11,U11)-1)))</f>
        <v>77</v>
      </c>
      <c r="W11" s="185"/>
      <c r="X11" s="38" t="str">
        <f>IF(L11="","",VLOOKUP($L11,classifications!$C:$J,6,FALSE))</f>
        <v>Urban with Significant Rural (rural including hub towns 26-49%)</v>
      </c>
      <c r="Y11" s="26" t="str">
        <f t="shared" ref="Y11:Y74" si="3">IF($D$1="UA",IF(X11="Largely Rural (rural including hub towns 50-79%) ",M11,IF(X11="Mainly Rural (rural including hub towns &gt;=80%) ",M11,IF(X11="Urban with Significant Rural (rural including hub towns 26-49%)",M11,""))),IF($D$1="SD",IF(X11=$H$3,M11,"")))</f>
        <v/>
      </c>
      <c r="Z11" s="34" t="str">
        <f>IF(Y11="","",IF(I$8="A",(RANK(Y11,Y$11:Y$368,1)+COUNTIF(Y$11:Y11,Y11)-1),(RANK(Y11,Y$11:Y$368)+COUNTIF(Y$11:Y11,Y11)-1)))</f>
        <v/>
      </c>
      <c r="AA11" s="188" t="str">
        <f>IF(L11="","",VLOOKUP($L11,classifications!C:I,7,FALSE))</f>
        <v>Significant Rural</v>
      </c>
      <c r="AB11" s="184" t="str">
        <f>IF(AA11=$J$3,M11,"")</f>
        <v/>
      </c>
      <c r="AC11" s="184" t="str">
        <f>IF(AB11="","",IF($I$8="A",(RANK(AB11,AB$11:AB$368)+COUNTIF(AB$11:AB11,AB11)-1),(RANK(AB11,AB$11:AB$368,1)+COUNTIF(AB$11:AB11,AB11)-1)))</f>
        <v/>
      </c>
      <c r="AD11" s="184"/>
      <c r="AE11" s="45">
        <f>IF(I$8="A",(RANK(AG11,AG$11:AG$368,1)+COUNTIF(AG$11:AG11,AG11)-1),(RANK(AG11,AG$11:AG$368)+COUNTIF(AG$11:AG11,AG11)-1))</f>
        <v>4</v>
      </c>
      <c r="AF11" s="43" t="str">
        <f>'Filtered Data'!D3</f>
        <v>Allerdale</v>
      </c>
      <c r="AG11" s="95">
        <f>VLOOKUP(Profile!$J$5,$C$11:$H$368,4,FALSE)</f>
        <v>80.664917544522837</v>
      </c>
      <c r="AH11" s="46">
        <f>AE11</f>
        <v>4</v>
      </c>
      <c r="AI11" s="38" t="str">
        <f>IF(L11="","",VLOOKUP($L11,classifications!$C:$J,8,FALSE))</f>
        <v>Hertfordshire</v>
      </c>
      <c r="AJ11" s="39" t="str">
        <f t="shared" ref="AJ11:AJ74" si="4">IF(AI11=$I$3,M11,"")</f>
        <v/>
      </c>
      <c r="AK11" s="34" t="str">
        <f>IF(AJ11="","",IF(I$8="A",(RANK(AJ11,AJ$11:AJ$368,1)+COUNTIF(AJ$11:AJ11,AJ11)-1),(RANK(AJ11,AJ$11:AJ$368)+COUNTIF(AJ$11:AJ11,AJ11)-1)))</f>
        <v/>
      </c>
      <c r="AL11" s="34">
        <v>1</v>
      </c>
      <c r="AM11" s="8" t="str">
        <f t="shared" ref="AM11:AM74" si="5">IF(ISNA(IF(AL11="","",INDEX(L$11:L$368,MATCH(AL11,AK$11:AK$368,0)))),"",(IF(AL11="","",INDEX(L$11:L$368,MATCH(AL11,AK$11:AK$368,0)))))</f>
        <v>South Lakeland</v>
      </c>
      <c r="AN11" s="8">
        <f>(VLOOKUP(AM11,L:M,2,FALSE))</f>
        <v>84.820275705397847</v>
      </c>
      <c r="AP11" s="38" t="str">
        <f>IF(L11="","",VLOOKUP($L11,classifications!$C:$E,3,FALSE))</f>
        <v>East of England</v>
      </c>
      <c r="AQ11" s="39" t="str">
        <f>IF(AP11=$G$3,$M11,"")</f>
        <v/>
      </c>
      <c r="AR11" s="34" t="str">
        <f>IF(AQ11="","",IF(I$8="A",(RANK(AQ11,AQ$11:AQ$368,1)+COUNTIF(AQ$11:AQ11,AQ11)-1),(RANK(AQ11,AQ$11:AQ$368)+COUNTIF(AQ$11:AQ11,AQ11)-1)))</f>
        <v/>
      </c>
      <c r="AS11" s="34">
        <v>1</v>
      </c>
      <c r="AT11" s="34" t="str">
        <f t="shared" ref="AT11:AT74" si="6">IF(AS11="","",INDEX(L$11:L$368,MATCH(AS11,AR$11:AR$368,0)))</f>
        <v>Lancaster</v>
      </c>
      <c r="AU11" s="39">
        <f>IF(AT11="","",VLOOKUP(AT11,L:M,2,FALSE))</f>
        <v>84.992900604276272</v>
      </c>
      <c r="AX11" s="21">
        <f>HLOOKUP($AX$9&amp;$AX$10,Data!$A$1:$ZZ$2000,(MATCH($C11,Data!$A$1:$A$2000,0)),FALSE)</f>
        <v>80.665375065265906</v>
      </c>
      <c r="AY11" s="103"/>
      <c r="AZ11" s="21"/>
    </row>
    <row r="12" spans="1:735">
      <c r="A12" s="56" t="str">
        <f>$D$1&amp;2</f>
        <v>SD2</v>
      </c>
      <c r="B12" s="57" t="str">
        <f>IF(ISERROR(VLOOKUP(A12,classifications!A:C,3,FALSE)),0,VLOOKUP(A12,classifications!A:C,3,FALSE))</f>
        <v>Ashford</v>
      </c>
      <c r="C12" s="8" t="s">
        <v>6</v>
      </c>
      <c r="D12" s="26" t="str">
        <f>VLOOKUP($C12,classifications!$C:$J,4,FALSE)</f>
        <v>SD</v>
      </c>
      <c r="E12" s="26" t="str">
        <f>VLOOKUP(C12,classifications!C:K,9,FALSE)</f>
        <v>Sparse</v>
      </c>
      <c r="F12" s="36">
        <f t="shared" si="0"/>
        <v>80.664917544522837</v>
      </c>
      <c r="G12" s="71"/>
      <c r="H12" s="37">
        <f t="shared" si="1"/>
        <v>80.664917544522837</v>
      </c>
      <c r="I12" s="77">
        <f>IF(H12="","",IF($I$8="A",(RANK(H12,H$11:H$368,1)+COUNTIF(H$11:H12,H12)-1),(RANK(H12,H$11:H$368)+COUNTIF(H$11:H12,H12)-1)))</f>
        <v>103</v>
      </c>
      <c r="J12" s="35"/>
      <c r="K12" s="28">
        <f t="shared" ref="K12:K75" si="7">IF(K11="","",IF(K11+1&gt;(COUNT(H$11:H$368)),"",K11+1))</f>
        <v>2</v>
      </c>
      <c r="L12" s="36" t="str">
        <f t="shared" si="2"/>
        <v>Vale of White Horse</v>
      </c>
      <c r="M12" s="102">
        <f>IF(L12="","",IF(VLOOKUP(L12,C:D,2,FALSE)=$F$3,VLOOKUP(L12,C:H,6,FALSE),""))</f>
        <v>87.849849296209598</v>
      </c>
      <c r="N12" s="101">
        <f>IF(L12="","",IF($H$8="%%",M12*100,M12))</f>
        <v>87.849849296209598</v>
      </c>
      <c r="O12" s="94">
        <f t="shared" ref="O12:O74" si="8">IF(I$8="A",IF(N12&gt;=$P$7,IF(N12&lt;=$O$10,N12,""),""),IF(N12&lt;=$P$7,IF(N12&gt;=$O$10,N12,""),""))</f>
        <v>87.849849296209598</v>
      </c>
      <c r="P12" s="94" t="str">
        <f>IF(I$8="A",IF(N12&gt;$O$10,IF(N12&lt;=$P$10,N12,""),""),IF(N12&lt;$O$10,IF(N12&gt;=$P$10,N12,""),""))</f>
        <v/>
      </c>
      <c r="Q12" s="94" t="str">
        <f>IF(I$8="A",IF(N12&gt;$P$10,IF(N12&lt;=$Q$10,N12,""),""),IF(N12&lt;$P$10,IF(N12&gt;=$Q$10,N12,""),""))</f>
        <v/>
      </c>
      <c r="R12" s="90" t="str">
        <f>IF(I$8="A",IF(N12&gt;$Q$10,N12,""),IF(N12&lt;$Q$10,N12,""))</f>
        <v/>
      </c>
      <c r="S12" s="37" t="str">
        <f t="shared" ref="S12:S75" si="9">IF(L12=D$3,"u","")</f>
        <v/>
      </c>
      <c r="T12" s="176" t="str">
        <f>IF(L12="","",VLOOKUP(L12,classifications!C:K,9,FALSE))</f>
        <v>Sparse</v>
      </c>
      <c r="U12" s="183">
        <f t="shared" ref="U12:U42" si="10">IF(T12="Sparse",M12,"")</f>
        <v>87.849849296209598</v>
      </c>
      <c r="V12" s="184">
        <f>IF(U12="","",IF($I$8="A",(RANK(U12,U$11:U$368)+COUNTIF(U$11:U12,U12)-1),(RANK(U12,U$11:U$368,1)+COUNTIF(U$11:U12,U12)-1)))</f>
        <v>76</v>
      </c>
      <c r="W12" s="185"/>
      <c r="X12" s="38" t="str">
        <f>IF(L12="","",VLOOKUP($L12,classifications!$C:$J,6,FALSE))</f>
        <v xml:space="preserve">Largely Rural (rural including hub towns 50-79%) </v>
      </c>
      <c r="Y12" s="26" t="str">
        <f t="shared" si="3"/>
        <v/>
      </c>
      <c r="Z12" s="34" t="str">
        <f>IF(Y12="","",IF(I$8="A",(RANK(Y12,Y$11:Y$368,1)+COUNTIF(Y$11:Y12,Y12)-1),(RANK(Y12,Y$11:Y$368)+COUNTIF(Y$11:Y12,Y12)-1)))</f>
        <v/>
      </c>
      <c r="AA12" s="188" t="str">
        <f>IF(L12="","",VLOOKUP($L12,classifications!C:I,7,FALSE))</f>
        <v>Predominantly Rural</v>
      </c>
      <c r="AB12" s="184">
        <f t="shared" ref="AB12:AB75" si="11">IF(AA12=$J$3,M12,"")</f>
        <v>87.849849296209598</v>
      </c>
      <c r="AC12" s="184">
        <f>IF(AB12="","",IF($I$8="A",(RANK(AB12,AB$11:AB$368)+COUNTIF(AB$11:AB12,AB12)-1),(RANK(AB12,AB$11:AB$368,1)+COUNTIF(AB$11:AB12,AB12)-1)))</f>
        <v>75</v>
      </c>
      <c r="AD12" s="184"/>
      <c r="AE12" s="45">
        <f>IF(I$8="A",(RANK(AG12,AG$11:AG$368,1)+COUNTIF(AG$11:AG12,AG12)-1),(RANK(AG12,AG$11:AG$368)+COUNTIF(AG$11:AG12,AG12)-1))</f>
        <v>1</v>
      </c>
      <c r="AF12" s="1" t="str">
        <f>VLOOKUP(Profile!$J$5,Families!$C:$R,2,FALSE)</f>
        <v>Dover</v>
      </c>
      <c r="AG12" s="96">
        <f t="shared" ref="AG12:AG26" si="12">VLOOKUP(AF12,$C$11:$H$368,4,FALSE)</f>
        <v>82.037877068464695</v>
      </c>
      <c r="AH12" s="46">
        <f>AE12</f>
        <v>1</v>
      </c>
      <c r="AI12" s="38" t="str">
        <f>IF(L12="","",VLOOKUP($L12,classifications!$C:$J,8,FALSE))</f>
        <v>Oxfordshire</v>
      </c>
      <c r="AJ12" s="39" t="str">
        <f t="shared" si="4"/>
        <v/>
      </c>
      <c r="AK12" s="34" t="str">
        <f>IF(AJ12="","",IF(I$8="A",(RANK(AJ12,AJ$11:AJ$368,1)+COUNTIF(AJ$11:AJ12,AJ12)-1),(RANK(AJ12,AJ$11:AJ$368)+COUNTIF(AJ$11:AJ12,AJ12)-1)))</f>
        <v/>
      </c>
      <c r="AL12" s="29">
        <f t="shared" ref="AL12:AL75" si="13">IF(AL11="","",IF(AL11+1&gt;(COUNT(AJ$11:AJ$368)),"",AL11+1))</f>
        <v>2</v>
      </c>
      <c r="AM12" s="8" t="str">
        <f t="shared" si="5"/>
        <v>Eden</v>
      </c>
      <c r="AN12" s="8">
        <f t="shared" ref="AN12:AN75" si="14">(VLOOKUP(AM12,L:M,2,FALSE))</f>
        <v>83.882245443162091</v>
      </c>
      <c r="AP12" s="38" t="str">
        <f>IF(L12="","",VLOOKUP($L12,classifications!$C:$E,3,FALSE))</f>
        <v>South East</v>
      </c>
      <c r="AQ12" s="39" t="str">
        <f t="shared" ref="AQ12:AQ75" si="15">IF(AP12=$G$3,$M12,"")</f>
        <v/>
      </c>
      <c r="AR12" s="34" t="str">
        <f>IF(AQ12="","",IF(I$8="A",(RANK(AQ12,AQ$11:AQ$368,1)+COUNTIF(AQ$11:AQ12,AQ12)-1),(RANK(AQ12,AQ$11:AQ$368)+COUNTIF(AQ$11:AQ12,AQ12)-1)))</f>
        <v/>
      </c>
      <c r="AS12" s="29">
        <f t="shared" ref="AS12:AS75" si="16">IF(AS11="","",IF(AS11+1&gt;(COUNT(AQ$11:AQ$368)),"",AS11+1))</f>
        <v>2</v>
      </c>
      <c r="AT12" s="34" t="str">
        <f t="shared" si="6"/>
        <v>South Lakeland</v>
      </c>
      <c r="AU12" s="39">
        <f t="shared" ref="AU12:AU75" si="17">IF(AT12="","",VLOOKUP(AT12,L:M,2,FALSE))</f>
        <v>84.820275705397847</v>
      </c>
      <c r="AX12" s="21">
        <f>HLOOKUP($AX$9&amp;$AX$10,Data!$A$1:$ZZ$2000,(MATCH($C12,Data!$A$1:$A$2000,0)),FALSE)</f>
        <v>80.664917544522837</v>
      </c>
      <c r="AY12" s="103"/>
      <c r="AZ12" s="21"/>
    </row>
    <row r="13" spans="1:735">
      <c r="A13" s="56" t="str">
        <f>$D$1&amp;3</f>
        <v>SD3</v>
      </c>
      <c r="B13" s="57" t="str">
        <f>IF(ISERROR(VLOOKUP(A13,classifications!A:C,3,FALSE)),0,VLOOKUP(A13,classifications!A:C,3,FALSE))</f>
        <v>Babergh</v>
      </c>
      <c r="C13" s="8" t="s">
        <v>7</v>
      </c>
      <c r="D13" s="26" t="str">
        <f>VLOOKUP($C13,classifications!$C:$J,4,FALSE)</f>
        <v>SD</v>
      </c>
      <c r="E13" s="26">
        <f>VLOOKUP(C13,classifications!C:K,9,FALSE)</f>
        <v>0</v>
      </c>
      <c r="F13" s="36">
        <f t="shared" si="0"/>
        <v>80.023065629365846</v>
      </c>
      <c r="G13" s="71"/>
      <c r="H13" s="37">
        <f t="shared" si="1"/>
        <v>80.023065629365846</v>
      </c>
      <c r="I13" s="77">
        <f>IF(H13="","",IF($I$8="A",(RANK(H13,H$11:H$368,1)+COUNTIF(H$11:H13,H13)-1),(RANK(H13,H$11:H$368)+COUNTIF(H$11:H13,H13)-1)))</f>
        <v>115</v>
      </c>
      <c r="J13" s="35"/>
      <c r="K13" s="28">
        <f t="shared" si="7"/>
        <v>3</v>
      </c>
      <c r="L13" s="36" t="str">
        <f t="shared" si="2"/>
        <v>Tunbridge Wells</v>
      </c>
      <c r="M13" s="102">
        <f>IF(L13="","",IF(VLOOKUP(L13,C:D,2,FALSE)=$F$3,VLOOKUP(L13,C:H,6,FALSE),""))</f>
        <v>87.387814475626797</v>
      </c>
      <c r="N13" s="101">
        <f>IF(L13="","",IF($H$8="%%",M13*100,M13))</f>
        <v>87.387814475626797</v>
      </c>
      <c r="O13" s="94">
        <f t="shared" si="8"/>
        <v>87.387814475626797</v>
      </c>
      <c r="P13" s="94" t="str">
        <f t="shared" ref="P13:P76" si="18">IF(I$8="A",IF(N13&gt;$O$10,IF(N13&lt;=$P$10,N13,""),""),IF(N13&lt;$O$10,IF(N13&gt;=$P$10,N13,""),""))</f>
        <v/>
      </c>
      <c r="Q13" s="94" t="str">
        <f t="shared" ref="Q13:Q76" si="19">IF(I$8="A",IF(N13&gt;$P$10,IF(N13&lt;=$Q$10,N13,""),""),IF(N13&lt;$P$10,IF(N13&gt;=$Q$10,N13,""),""))</f>
        <v/>
      </c>
      <c r="R13" s="90" t="str">
        <f t="shared" ref="R13:R76" si="20">IF(I$8="A",IF(N13&gt;$Q$10,N13,""),IF(N13&lt;$Q$10,N13,""))</f>
        <v/>
      </c>
      <c r="S13" s="37" t="str">
        <f t="shared" si="9"/>
        <v/>
      </c>
      <c r="T13" s="176" t="str">
        <f>IF(L13="","",VLOOKUP(L13,classifications!C:K,9,FALSE))</f>
        <v>Sparse</v>
      </c>
      <c r="U13" s="183">
        <f t="shared" si="10"/>
        <v>87.387814475626797</v>
      </c>
      <c r="V13" s="184">
        <f>IF(U13="","",IF($I$8="A",(RANK(U13,U$11:U$368)+COUNTIF(U$11:U13,U13)-1),(RANK(U13,U$11:U$368,1)+COUNTIF(U$11:U13,U13)-1)))</f>
        <v>75</v>
      </c>
      <c r="W13" s="185"/>
      <c r="X13" s="38" t="str">
        <f>IF(L13="","",VLOOKUP($L13,classifications!$C:$J,6,FALSE))</f>
        <v>Urban with Significant Rural (rural including hub towns 26-49%)</v>
      </c>
      <c r="Y13" s="26" t="str">
        <f t="shared" si="3"/>
        <v/>
      </c>
      <c r="Z13" s="34" t="str">
        <f>IF(Y13="","",IF(I$8="A",(RANK(Y13,Y$11:Y$368,1)+COUNTIF(Y$11:Y13,Y13)-1),(RANK(Y13,Y$11:Y$368)+COUNTIF(Y$11:Y13,Y13)-1)))</f>
        <v/>
      </c>
      <c r="AA13" s="188" t="str">
        <f>IF(L13="","",VLOOKUP($L13,classifications!C:I,7,FALSE))</f>
        <v>Significant Rural</v>
      </c>
      <c r="AB13" s="184" t="str">
        <f>IF(AA13=$J$3,M13,"")</f>
        <v/>
      </c>
      <c r="AC13" s="184" t="str">
        <f>IF(AB13="","",IF($I$8="A",(RANK(AB13,AB$11:AB$368)+COUNTIF(AB$11:AB13,AB13)-1),(RANK(AB13,AB$11:AB$368,1)+COUNTIF(AB$11:AB13,AB13)-1)))</f>
        <v/>
      </c>
      <c r="AD13" s="184"/>
      <c r="AE13" s="45">
        <f>IF(I$8="A",(RANK(AG13,AG$11:AG$368,1)+COUNTIF(AG$11:AG13,AG13)-1),(RANK(AG13,AG$11:AG$368)+COUNTIF(AG$11:AG13,AG13)-1))</f>
        <v>11</v>
      </c>
      <c r="AF13" s="1" t="str">
        <f>VLOOKUP(Profile!$J$5,Families!$C:$R,3,FALSE)</f>
        <v>Carlisle</v>
      </c>
      <c r="AG13" s="96">
        <f t="shared" si="12"/>
        <v>78.627178356786359</v>
      </c>
      <c r="AH13" s="46">
        <f t="shared" ref="AH13:AH26" si="21">AE13</f>
        <v>11</v>
      </c>
      <c r="AI13" s="38" t="str">
        <f>IF(L13="","",VLOOKUP($L13,classifications!$C:$J,8,FALSE))</f>
        <v>Kent</v>
      </c>
      <c r="AJ13" s="39" t="str">
        <f>IF(AI13=$I$3,M13,"")</f>
        <v/>
      </c>
      <c r="AK13" s="34" t="str">
        <f>IF(AJ13="","",IF(I$8="A",(RANK(AJ13,AJ$11:AJ$368,1)+COUNTIF(AJ$11:AJ13,AJ13)-1),(RANK(AJ13,AJ$11:AJ$368)+COUNTIF(AJ$11:AJ13,AJ13)-1)))</f>
        <v/>
      </c>
      <c r="AL13" s="29">
        <f t="shared" si="13"/>
        <v>3</v>
      </c>
      <c r="AM13" s="8" t="str">
        <f t="shared" si="5"/>
        <v>Barrow-in-Furness</v>
      </c>
      <c r="AN13" s="8">
        <f t="shared" si="14"/>
        <v>81.833029922135211</v>
      </c>
      <c r="AP13" s="38" t="str">
        <f>IF(L13="","",VLOOKUP($L13,classifications!$C:$E,3,FALSE))</f>
        <v>South East</v>
      </c>
      <c r="AQ13" s="39" t="str">
        <f t="shared" si="15"/>
        <v/>
      </c>
      <c r="AR13" s="34" t="str">
        <f>IF(AQ13="","",IF(I$8="A",(RANK(AQ13,AQ$11:AQ$368,1)+COUNTIF(AQ$11:AQ13,AQ13)-1),(RANK(AQ13,AQ$11:AQ$368)+COUNTIF(AQ$11:AQ13,AQ13)-1)))</f>
        <v/>
      </c>
      <c r="AS13" s="29">
        <f t="shared" si="16"/>
        <v>3</v>
      </c>
      <c r="AT13" s="34" t="str">
        <f t="shared" si="6"/>
        <v>Ribble Valley</v>
      </c>
      <c r="AU13" s="39">
        <f t="shared" si="17"/>
        <v>83.9788150549292</v>
      </c>
      <c r="AX13" s="21">
        <f>HLOOKUP($AX$9&amp;$AX$10,Data!$A$1:$ZZ$2000,(MATCH($C13,Data!$A$1:$A$2000,0)),FALSE)</f>
        <v>80.023065629365846</v>
      </c>
      <c r="AY13" s="103"/>
      <c r="AZ13" s="21"/>
    </row>
    <row r="14" spans="1:735">
      <c r="A14" s="56" t="str">
        <f>$D$1&amp;4</f>
        <v>SD4</v>
      </c>
      <c r="B14" s="57" t="str">
        <f>IF(ISERROR(VLOOKUP(A14,classifications!A:C,3,FALSE)),0,VLOOKUP(A14,classifications!A:C,3,FALSE))</f>
        <v>Boston</v>
      </c>
      <c r="C14" s="8" t="s">
        <v>8</v>
      </c>
      <c r="D14" s="26" t="str">
        <f>VLOOKUP($C14,classifications!$C:$J,4,FALSE)</f>
        <v>SD</v>
      </c>
      <c r="E14" s="26">
        <f>VLOOKUP(C14,classifications!C:K,9,FALSE)</f>
        <v>0</v>
      </c>
      <c r="F14" s="36">
        <f t="shared" si="0"/>
        <v>84.514725319808676</v>
      </c>
      <c r="G14" s="71"/>
      <c r="H14" s="37">
        <f t="shared" si="1"/>
        <v>84.514725319808676</v>
      </c>
      <c r="I14" s="77">
        <f>IF(H14="","",IF($I$8="A",(RANK(H14,H$11:H$368,1)+COUNTIF(H$11:H14,H14)-1),(RANK(H14,H$11:H$368)+COUNTIF(H$11:H14,H14)-1)))</f>
        <v>39</v>
      </c>
      <c r="J14" s="35"/>
      <c r="K14" s="28">
        <f t="shared" si="7"/>
        <v>4</v>
      </c>
      <c r="L14" s="36" t="str">
        <f t="shared" si="2"/>
        <v>Waverley</v>
      </c>
      <c r="M14" s="102">
        <f t="shared" ref="M14:M75" si="22">IF(L14="","",IF(VLOOKUP(L14,C:D,2,FALSE)=$F$3,VLOOKUP(L14,C:H,6,FALSE),""))</f>
        <v>87.271203980687972</v>
      </c>
      <c r="N14" s="101">
        <f t="shared" ref="N14:N75" si="23">IF(L14="","",IF($H$8="%%",M14*100,M14))</f>
        <v>87.271203980687972</v>
      </c>
      <c r="O14" s="94">
        <f t="shared" si="8"/>
        <v>87.271203980687972</v>
      </c>
      <c r="P14" s="94" t="str">
        <f t="shared" si="18"/>
        <v/>
      </c>
      <c r="Q14" s="94" t="str">
        <f t="shared" si="19"/>
        <v/>
      </c>
      <c r="R14" s="90" t="str">
        <f t="shared" si="20"/>
        <v/>
      </c>
      <c r="S14" s="37" t="str">
        <f t="shared" si="9"/>
        <v/>
      </c>
      <c r="T14" s="176">
        <f>IF(L14="","",VLOOKUP(L14,classifications!C:K,9,FALSE))</f>
        <v>0</v>
      </c>
      <c r="U14" s="183" t="str">
        <f t="shared" si="10"/>
        <v/>
      </c>
      <c r="V14" s="184" t="str">
        <f>IF(U14="","",IF($I$8="A",(RANK(U14,U$11:U$368)+COUNTIF(U$11:U14,U14)-1),(RANK(U14,U$11:U$368,1)+COUNTIF(U$11:U14,U14)-1)))</f>
        <v/>
      </c>
      <c r="W14" s="185"/>
      <c r="X14" s="38" t="str">
        <f>IF(L14="","",VLOOKUP($L14,classifications!$C:$J,6,FALSE))</f>
        <v xml:space="preserve">Largely Rural (rural including hub towns 50-79%) </v>
      </c>
      <c r="Y14" s="26" t="str">
        <f t="shared" si="3"/>
        <v/>
      </c>
      <c r="Z14" s="34" t="str">
        <f>IF(Y14="","",IF(I$8="A",(RANK(Y14,Y$11:Y$368,1)+COUNTIF(Y$11:Y14,Y14)-1),(RANK(Y14,Y$11:Y$368)+COUNTIF(Y$11:Y14,Y14)-1)))</f>
        <v/>
      </c>
      <c r="AA14" s="188" t="str">
        <f>IF(L14="","",VLOOKUP($L14,classifications!C:I,7,FALSE))</f>
        <v>Predominantly Rural</v>
      </c>
      <c r="AB14" s="184">
        <f t="shared" si="11"/>
        <v>87.271203980687972</v>
      </c>
      <c r="AC14" s="184">
        <f>IF(AB14="","",IF($I$8="A",(RANK(AB14,AB$11:AB$368)+COUNTIF(AB$11:AB14,AB14)-1),(RANK(AB14,AB$11:AB$368,1)+COUNTIF(AB$11:AB14,AB14)-1)))</f>
        <v>74</v>
      </c>
      <c r="AD14" s="184"/>
      <c r="AE14" s="45" t="e">
        <f>IF(I$8="A",(RANK(AG14,AG$11:AG$368,1)+COUNTIF(AG$11:AG14,AG14)-1),(RANK(AG14,AG$11:AG$368)+COUNTIF(AG$11:AG14,AG14)-1))</f>
        <v>#VALUE!</v>
      </c>
      <c r="AF14" s="1" t="str">
        <f>VLOOKUP(Profile!$J$5,Families!$C:$R,4,FALSE)</f>
        <v>Waveney</v>
      </c>
      <c r="AG14" s="96" t="str">
        <f t="shared" si="12"/>
        <v>-</v>
      </c>
      <c r="AH14" s="46" t="e">
        <f t="shared" si="21"/>
        <v>#VALUE!</v>
      </c>
      <c r="AI14" s="38" t="str">
        <f>IF(L14="","",VLOOKUP($L14,classifications!$C:$J,8,FALSE))</f>
        <v>Surrey</v>
      </c>
      <c r="AJ14" s="39" t="str">
        <f t="shared" si="4"/>
        <v/>
      </c>
      <c r="AK14" s="34" t="str">
        <f>IF(AJ14="","",IF(I$8="A",(RANK(AJ14,AJ$11:AJ$368,1)+COUNTIF(AJ$11:AJ14,AJ14)-1),(RANK(AJ14,AJ$11:AJ$368)+COUNTIF(AJ$11:AJ14,AJ14)-1)))</f>
        <v/>
      </c>
      <c r="AL14" s="29">
        <f t="shared" si="13"/>
        <v>4</v>
      </c>
      <c r="AM14" s="8" t="str">
        <f t="shared" si="5"/>
        <v>Copeland</v>
      </c>
      <c r="AN14" s="8">
        <f t="shared" si="14"/>
        <v>80.802168649499023</v>
      </c>
      <c r="AP14" s="38" t="str">
        <f>IF(L14="","",VLOOKUP($L14,classifications!$C:$E,3,FALSE))</f>
        <v>South East</v>
      </c>
      <c r="AQ14" s="39" t="str">
        <f t="shared" si="15"/>
        <v/>
      </c>
      <c r="AR14" s="34" t="str">
        <f>IF(AQ14="","",IF(I$8="A",(RANK(AQ14,AQ$11:AQ$368,1)+COUNTIF(AQ$11:AQ14,AQ14)-1),(RANK(AQ14,AQ$11:AQ$368)+COUNTIF(AQ$11:AQ14,AQ14)-1)))</f>
        <v/>
      </c>
      <c r="AS14" s="29">
        <f t="shared" si="16"/>
        <v>4</v>
      </c>
      <c r="AT14" s="34" t="str">
        <f t="shared" si="6"/>
        <v>Eden</v>
      </c>
      <c r="AU14" s="39">
        <f t="shared" si="17"/>
        <v>83.882245443162091</v>
      </c>
      <c r="AX14" s="21">
        <f>HLOOKUP($AX$9&amp;$AX$10,Data!$A$1:$ZZ$2000,(MATCH($C14,Data!$A$1:$A$2000,0)),FALSE)</f>
        <v>84.514725319808676</v>
      </c>
      <c r="AY14" s="103"/>
      <c r="AZ14" s="21"/>
    </row>
    <row r="15" spans="1:735">
      <c r="A15" s="56" t="str">
        <f>$D$1&amp;5</f>
        <v>SD5</v>
      </c>
      <c r="B15" s="57" t="str">
        <f>IF(ISERROR(VLOOKUP(A15,classifications!A:C,3,FALSE)),0,VLOOKUP(A15,classifications!A:C,3,FALSE))</f>
        <v>Braintree</v>
      </c>
      <c r="C15" s="8" t="s">
        <v>9</v>
      </c>
      <c r="D15" s="26" t="str">
        <f>VLOOKUP($C15,classifications!$C:$J,4,FALSE)</f>
        <v>SD</v>
      </c>
      <c r="E15" s="26">
        <f>VLOOKUP(C15,classifications!C:K,9,FALSE)</f>
        <v>0</v>
      </c>
      <c r="F15" s="36">
        <f t="shared" si="0"/>
        <v>76.217957761705563</v>
      </c>
      <c r="G15" s="71"/>
      <c r="H15" s="37">
        <f t="shared" si="1"/>
        <v>76.217957761705563</v>
      </c>
      <c r="I15" s="77">
        <f>IF(H15="","",IF($I$8="A",(RANK(H15,H$11:H$368,1)+COUNTIF(H$11:H15,H15)-1),(RANK(H15,H$11:H$368)+COUNTIF(H$11:H15,H15)-1)))</f>
        <v>169</v>
      </c>
      <c r="J15" s="35"/>
      <c r="K15" s="28">
        <f t="shared" si="7"/>
        <v>5</v>
      </c>
      <c r="L15" s="36" t="str">
        <f t="shared" si="2"/>
        <v>South Hams</v>
      </c>
      <c r="M15" s="102">
        <f t="shared" si="22"/>
        <v>87.125749547120805</v>
      </c>
      <c r="N15" s="101">
        <f t="shared" si="23"/>
        <v>87.125749547120805</v>
      </c>
      <c r="O15" s="94">
        <f t="shared" si="8"/>
        <v>87.125749547120805</v>
      </c>
      <c r="P15" s="94" t="str">
        <f t="shared" si="18"/>
        <v/>
      </c>
      <c r="Q15" s="94" t="str">
        <f t="shared" si="19"/>
        <v/>
      </c>
      <c r="R15" s="90" t="str">
        <f t="shared" si="20"/>
        <v/>
      </c>
      <c r="S15" s="37" t="str">
        <f t="shared" si="9"/>
        <v/>
      </c>
      <c r="T15" s="176" t="str">
        <f>IF(L15="","",VLOOKUP(L15,classifications!C:K,9,FALSE))</f>
        <v>Sparse</v>
      </c>
      <c r="U15" s="183">
        <f t="shared" si="10"/>
        <v>87.125749547120805</v>
      </c>
      <c r="V15" s="184">
        <f>IF(U15="","",IF($I$8="A",(RANK(U15,U$11:U$368)+COUNTIF(U$11:U15,U15)-1),(RANK(U15,U$11:U$368,1)+COUNTIF(U$11:U15,U15)-1)))</f>
        <v>74</v>
      </c>
      <c r="W15" s="185"/>
      <c r="X15" s="38" t="str">
        <f>IF(L15="","",VLOOKUP($L15,classifications!$C:$J,6,FALSE))</f>
        <v xml:space="preserve">Mainly Rural (rural including hub towns &gt;=80%) </v>
      </c>
      <c r="Y15" s="26">
        <f t="shared" si="3"/>
        <v>87.125749547120805</v>
      </c>
      <c r="Z15" s="34">
        <f>IF(Y15="","",IF(I$8="A",(RANK(Y15,Y$11:Y$368,1)+COUNTIF(Y$11:Y15,Y15)-1),(RANK(Y15,Y$11:Y$368)+COUNTIF(Y$11:Y15,Y15)-1)))</f>
        <v>1</v>
      </c>
      <c r="AA15" s="188" t="str">
        <f>IF(L15="","",VLOOKUP($L15,classifications!C:I,7,FALSE))</f>
        <v>Predominantly Rural</v>
      </c>
      <c r="AB15" s="184">
        <f t="shared" si="11"/>
        <v>87.125749547120805</v>
      </c>
      <c r="AC15" s="184">
        <f>IF(AB15="","",IF($I$8="A",(RANK(AB15,AB$11:AB$368)+COUNTIF(AB$11:AB15,AB15)-1),(RANK(AB15,AB$11:AB$368,1)+COUNTIF(AB$11:AB15,AB15)-1)))</f>
        <v>73</v>
      </c>
      <c r="AD15" s="184"/>
      <c r="AE15" s="45">
        <f>IF(I$8="A",(RANK(AG15,AG$11:AG$368,1)+COUNTIF(AG$11:AG15,AG15)-1),(RANK(AG15,AG$11:AG$368)+COUNTIF(AG$11:AG15,AG15)-1))</f>
        <v>13</v>
      </c>
      <c r="AF15" s="1" t="str">
        <f>VLOOKUP(Profile!$J$5,Families!$C:$R,5,FALSE)</f>
        <v>Bassetlaw</v>
      </c>
      <c r="AG15" s="96">
        <f t="shared" si="12"/>
        <v>77.942065091262734</v>
      </c>
      <c r="AH15" s="46">
        <f t="shared" si="21"/>
        <v>13</v>
      </c>
      <c r="AI15" s="38" t="str">
        <f>IF(L15="","",VLOOKUP($L15,classifications!$C:$J,8,FALSE))</f>
        <v>Devon</v>
      </c>
      <c r="AJ15" s="39" t="str">
        <f t="shared" si="4"/>
        <v/>
      </c>
      <c r="AK15" s="34" t="str">
        <f>IF(AJ15="","",IF(I$8="A",(RANK(AJ15,AJ$11:AJ$368,1)+COUNTIF(AJ$11:AJ15,AJ15)-1),(RANK(AJ15,AJ$11:AJ$368)+COUNTIF(AJ$11:AJ15,AJ15)-1)))</f>
        <v/>
      </c>
      <c r="AL15" s="29">
        <f t="shared" si="13"/>
        <v>5</v>
      </c>
      <c r="AM15" s="8" t="str">
        <f t="shared" si="5"/>
        <v>Allerdale</v>
      </c>
      <c r="AN15" s="8">
        <f t="shared" si="14"/>
        <v>80.664917544522837</v>
      </c>
      <c r="AP15" s="38" t="str">
        <f>IF(L15="","",VLOOKUP($L15,classifications!$C:$E,3,FALSE))</f>
        <v>South West</v>
      </c>
      <c r="AQ15" s="39" t="str">
        <f t="shared" si="15"/>
        <v/>
      </c>
      <c r="AR15" s="34" t="str">
        <f>IF(AQ15="","",IF(I$8="A",(RANK(AQ15,AQ$11:AQ$368,1)+COUNTIF(AQ$11:AQ15,AQ15)-1),(RANK(AQ15,AQ$11:AQ$368)+COUNTIF(AQ$11:AQ15,AQ15)-1)))</f>
        <v/>
      </c>
      <c r="AS15" s="29">
        <f t="shared" si="16"/>
        <v>5</v>
      </c>
      <c r="AT15" s="34" t="str">
        <f t="shared" si="6"/>
        <v>Barrow-in-Furness</v>
      </c>
      <c r="AU15" s="39">
        <f t="shared" si="17"/>
        <v>81.833029922135211</v>
      </c>
      <c r="AX15" s="21">
        <f>HLOOKUP($AX$9&amp;$AX$10,Data!$A$1:$ZZ$2000,(MATCH($C15,Data!$A$1:$A$2000,0)),FALSE)</f>
        <v>76.217957761705563</v>
      </c>
      <c r="AY15" s="103"/>
      <c r="AZ15" s="21"/>
    </row>
    <row r="16" spans="1:735">
      <c r="A16" s="56" t="str">
        <f>$D$1&amp;6</f>
        <v>SD6</v>
      </c>
      <c r="B16" s="57" t="str">
        <f>IF(ISERROR(VLOOKUP(A16,classifications!A:C,3,FALSE)),0,VLOOKUP(A16,classifications!A:C,3,FALSE))</f>
        <v>Breckland</v>
      </c>
      <c r="C16" s="8" t="s">
        <v>10</v>
      </c>
      <c r="D16" s="26" t="str">
        <f>VLOOKUP($C16,classifications!$C:$J,4,FALSE)</f>
        <v>SD</v>
      </c>
      <c r="E16" s="26" t="str">
        <f>VLOOKUP(C16,classifications!C:K,9,FALSE)</f>
        <v>Sparse</v>
      </c>
      <c r="F16" s="36">
        <f t="shared" si="0"/>
        <v>78.610915016735788</v>
      </c>
      <c r="G16" s="71"/>
      <c r="H16" s="37">
        <f t="shared" si="1"/>
        <v>78.610915016735788</v>
      </c>
      <c r="I16" s="77">
        <f>IF(H16="","",IF($I$8="A",(RANK(H16,H$11:H$368,1)+COUNTIF(H$11:H16,H16)-1),(RANK(H16,H$11:H$368)+COUNTIF(H$11:H16,H16)-1)))</f>
        <v>146</v>
      </c>
      <c r="J16" s="35"/>
      <c r="K16" s="28">
        <f t="shared" si="7"/>
        <v>6</v>
      </c>
      <c r="L16" s="36" t="str">
        <f t="shared" si="2"/>
        <v>Mid Sussex</v>
      </c>
      <c r="M16" s="102">
        <f t="shared" si="22"/>
        <v>87.100026452317209</v>
      </c>
      <c r="N16" s="101">
        <f t="shared" si="23"/>
        <v>87.100026452317209</v>
      </c>
      <c r="O16" s="94">
        <f t="shared" si="8"/>
        <v>87.100026452317209</v>
      </c>
      <c r="P16" s="94" t="str">
        <f t="shared" si="18"/>
        <v/>
      </c>
      <c r="Q16" s="94" t="str">
        <f t="shared" si="19"/>
        <v/>
      </c>
      <c r="R16" s="90" t="str">
        <f t="shared" si="20"/>
        <v/>
      </c>
      <c r="S16" s="37" t="str">
        <f t="shared" si="9"/>
        <v/>
      </c>
      <c r="T16" s="176" t="str">
        <f>IF(L16="","",VLOOKUP(L16,classifications!C:K,9,FALSE))</f>
        <v>Sparse</v>
      </c>
      <c r="U16" s="183">
        <f t="shared" si="10"/>
        <v>87.100026452317209</v>
      </c>
      <c r="V16" s="184">
        <f>IF(U16="","",IF($I$8="A",(RANK(U16,U$11:U$368)+COUNTIF(U$11:U16,U16)-1),(RANK(U16,U$11:U$368,1)+COUNTIF(U$11:U16,U16)-1)))</f>
        <v>73</v>
      </c>
      <c r="W16" s="185"/>
      <c r="X16" s="38" t="str">
        <f>IF(L16="","",VLOOKUP($L16,classifications!$C:$J,6,FALSE))</f>
        <v>Urban with City and Town</v>
      </c>
      <c r="Y16" s="26" t="str">
        <f t="shared" si="3"/>
        <v/>
      </c>
      <c r="Z16" s="34" t="str">
        <f>IF(Y16="","",IF(I$8="A",(RANK(Y16,Y$11:Y$368,1)+COUNTIF(Y$11:Y16,Y16)-1),(RANK(Y16,Y$11:Y$368)+COUNTIF(Y$11:Y16,Y16)-1)))</f>
        <v/>
      </c>
      <c r="AA16" s="188" t="str">
        <f>IF(L16="","",VLOOKUP($L16,classifications!C:I,7,FALSE))</f>
        <v>Predominantly Urban</v>
      </c>
      <c r="AB16" s="184" t="str">
        <f t="shared" si="11"/>
        <v/>
      </c>
      <c r="AC16" s="184" t="str">
        <f>IF(AB16="","",IF($I$8="A",(RANK(AB16,AB$11:AB$368)+COUNTIF(AB$11:AB16,AB16)-1),(RANK(AB16,AB$11:AB$368,1)+COUNTIF(AB$11:AB16,AB16)-1)))</f>
        <v/>
      </c>
      <c r="AD16" s="184"/>
      <c r="AE16" s="45">
        <f>IF(I$8="A",(RANK(AG16,AG$11:AG$368,1)+COUNTIF(AG$11:AG16,AG16)-1),(RANK(AG16,AG$11:AG$368)+COUNTIF(AG$11:AG16,AG16)-1))</f>
        <v>8</v>
      </c>
      <c r="AF16" s="1" t="str">
        <f>VLOOKUP(Profile!$J$5,Families!$C:$R,6,FALSE)</f>
        <v>North Devon</v>
      </c>
      <c r="AG16" s="96">
        <f t="shared" si="12"/>
        <v>79.811729444586859</v>
      </c>
      <c r="AH16" s="46">
        <f t="shared" si="21"/>
        <v>8</v>
      </c>
      <c r="AI16" s="38" t="str">
        <f>IF(L16="","",VLOOKUP($L16,classifications!$C:$J,8,FALSE))</f>
        <v>West Sussex</v>
      </c>
      <c r="AJ16" s="39" t="str">
        <f t="shared" si="4"/>
        <v/>
      </c>
      <c r="AK16" s="34" t="str">
        <f>IF(AJ16="","",IF(I$8="A",(RANK(AJ16,AJ$11:AJ$368,1)+COUNTIF(AJ$11:AJ16,AJ16)-1),(RANK(AJ16,AJ$11:AJ$368)+COUNTIF(AJ$11:AJ16,AJ16)-1)))</f>
        <v/>
      </c>
      <c r="AL16" s="29">
        <f t="shared" si="13"/>
        <v>6</v>
      </c>
      <c r="AM16" s="8" t="str">
        <f t="shared" si="5"/>
        <v>Carlisle</v>
      </c>
      <c r="AN16" s="8">
        <f t="shared" si="14"/>
        <v>78.627178356786359</v>
      </c>
      <c r="AP16" s="38" t="str">
        <f>IF(L16="","",VLOOKUP($L16,classifications!$C:$E,3,FALSE))</f>
        <v>South East</v>
      </c>
      <c r="AQ16" s="39" t="str">
        <f t="shared" si="15"/>
        <v/>
      </c>
      <c r="AR16" s="34" t="str">
        <f>IF(AQ16="","",IF(I$8="A",(RANK(AQ16,AQ$11:AQ$368,1)+COUNTIF(AQ$11:AQ16,AQ16)-1),(RANK(AQ16,AQ$11:AQ$368)+COUNTIF(AQ$11:AQ16,AQ16)-1)))</f>
        <v/>
      </c>
      <c r="AS16" s="29">
        <f t="shared" si="16"/>
        <v>6</v>
      </c>
      <c r="AT16" s="34" t="str">
        <f t="shared" si="6"/>
        <v>South Ribble</v>
      </c>
      <c r="AU16" s="39">
        <f t="shared" si="17"/>
        <v>81.405018315126512</v>
      </c>
      <c r="AX16" s="21">
        <f>HLOOKUP($AX$9&amp;$AX$10,Data!$A$1:$ZZ$2000,(MATCH($C16,Data!$A$1:$A$2000,0)),FALSE)</f>
        <v>78.610915016735788</v>
      </c>
      <c r="AY16" s="103"/>
      <c r="AZ16" s="21"/>
    </row>
    <row r="17" spans="1:52">
      <c r="A17" s="56" t="str">
        <f>$D$1&amp;7</f>
        <v>SD7</v>
      </c>
      <c r="B17" s="57" t="str">
        <f>IF(ISERROR(VLOOKUP(A17,classifications!A:C,3,FALSE)),0,VLOOKUP(A17,classifications!A:C,3,FALSE))</f>
        <v>Cherwell</v>
      </c>
      <c r="C17" s="8" t="s">
        <v>11</v>
      </c>
      <c r="D17" s="26" t="str">
        <f>VLOOKUP($C17,classifications!$C:$J,4,FALSE)</f>
        <v>SD</v>
      </c>
      <c r="E17" s="26">
        <f>VLOOKUP(C17,classifications!C:K,9,FALSE)</f>
        <v>0</v>
      </c>
      <c r="F17" s="36">
        <f t="shared" si="0"/>
        <v>80.767974982154783</v>
      </c>
      <c r="G17" s="71"/>
      <c r="H17" s="37">
        <f t="shared" si="1"/>
        <v>80.767974982154783</v>
      </c>
      <c r="I17" s="77">
        <f>IF(H17="","",IF($I$8="A",(RANK(H17,H$11:H$368,1)+COUNTIF(H$11:H17,H17)-1),(RANK(H17,H$11:H$368)+COUNTIF(H$11:H17,H17)-1)))</f>
        <v>101</v>
      </c>
      <c r="J17" s="35"/>
      <c r="K17" s="28">
        <f t="shared" si="7"/>
        <v>7</v>
      </c>
      <c r="L17" s="36" t="str">
        <f t="shared" si="2"/>
        <v>Norwich</v>
      </c>
      <c r="M17" s="102">
        <f t="shared" si="22"/>
        <v>87.086289157111082</v>
      </c>
      <c r="N17" s="101">
        <f t="shared" si="23"/>
        <v>87.086289157111082</v>
      </c>
      <c r="O17" s="94">
        <f t="shared" si="8"/>
        <v>87.086289157111082</v>
      </c>
      <c r="P17" s="94" t="str">
        <f t="shared" si="18"/>
        <v/>
      </c>
      <c r="Q17" s="94" t="str">
        <f t="shared" si="19"/>
        <v/>
      </c>
      <c r="R17" s="90" t="str">
        <f t="shared" si="20"/>
        <v/>
      </c>
      <c r="S17" s="37" t="str">
        <f t="shared" si="9"/>
        <v/>
      </c>
      <c r="T17" s="176">
        <f>IF(L17="","",VLOOKUP(L17,classifications!C:K,9,FALSE))</f>
        <v>0</v>
      </c>
      <c r="U17" s="183" t="str">
        <f t="shared" si="10"/>
        <v/>
      </c>
      <c r="V17" s="184" t="str">
        <f>IF(U17="","",IF($I$8="A",(RANK(U17,U$11:U$368)+COUNTIF(U$11:U17,U17)-1),(RANK(U17,U$11:U$368,1)+COUNTIF(U$11:U17,U17)-1)))</f>
        <v/>
      </c>
      <c r="W17" s="185"/>
      <c r="X17" s="38" t="str">
        <f>IF(L17="","",VLOOKUP($L17,classifications!$C:$J,6,FALSE))</f>
        <v>Urban with City and Town</v>
      </c>
      <c r="Y17" s="26" t="str">
        <f t="shared" si="3"/>
        <v/>
      </c>
      <c r="Z17" s="34" t="str">
        <f>IF(Y17="","",IF(I$8="A",(RANK(Y17,Y$11:Y$368,1)+COUNTIF(Y$11:Y17,Y17)-1),(RANK(Y17,Y$11:Y$368)+COUNTIF(Y$11:Y17,Y17)-1)))</f>
        <v/>
      </c>
      <c r="AA17" s="188" t="str">
        <f>IF(L17="","",VLOOKUP($L17,classifications!C:I,7,FALSE))</f>
        <v>Predominantly Urban</v>
      </c>
      <c r="AB17" s="184" t="str">
        <f t="shared" si="11"/>
        <v/>
      </c>
      <c r="AC17" s="184" t="str">
        <f>IF(AB17="","",IF($I$8="A",(RANK(AB17,AB$11:AB$368)+COUNTIF(AB$11:AB17,AB17)-1),(RANK(AB17,AB$11:AB$368,1)+COUNTIF(AB$11:AB17,AB17)-1)))</f>
        <v/>
      </c>
      <c r="AD17" s="184"/>
      <c r="AE17" s="45">
        <f>IF(I$8="A",(RANK(AG17,AG$11:AG$368,1)+COUNTIF(AG$11:AG17,AG17)-1),(RANK(AG17,AG$11:AG$368)+COUNTIF(AG$11:AG17,AG17)-1))</f>
        <v>9</v>
      </c>
      <c r="AF17" s="1" t="str">
        <f>VLOOKUP(Profile!$J$5,Families!$C:$R,7,FALSE)</f>
        <v>Sedgemoor</v>
      </c>
      <c r="AG17" s="96">
        <f t="shared" si="12"/>
        <v>79.605148666688692</v>
      </c>
      <c r="AH17" s="46">
        <f t="shared" si="21"/>
        <v>9</v>
      </c>
      <c r="AI17" s="38" t="str">
        <f>IF(L17="","",VLOOKUP($L17,classifications!$C:$J,8,FALSE))</f>
        <v>Norfolk</v>
      </c>
      <c r="AJ17" s="39" t="str">
        <f t="shared" si="4"/>
        <v/>
      </c>
      <c r="AK17" s="34" t="str">
        <f>IF(AJ17="","",IF(I$8="A",(RANK(AJ17,AJ$11:AJ$368,1)+COUNTIF(AJ$11:AJ17,AJ17)-1),(RANK(AJ17,AJ$11:AJ$368)+COUNTIF(AJ$11:AJ17,AJ17)-1)))</f>
        <v/>
      </c>
      <c r="AL17" s="29" t="str">
        <f t="shared" si="13"/>
        <v/>
      </c>
      <c r="AM17" s="8" t="str">
        <f t="shared" si="5"/>
        <v/>
      </c>
      <c r="AN17" s="8" t="str">
        <f t="shared" si="14"/>
        <v/>
      </c>
      <c r="AP17" s="38" t="str">
        <f>IF(L17="","",VLOOKUP($L17,classifications!$C:$E,3,FALSE))</f>
        <v>East of England</v>
      </c>
      <c r="AQ17" s="39" t="str">
        <f t="shared" si="15"/>
        <v/>
      </c>
      <c r="AR17" s="34" t="str">
        <f>IF(AQ17="","",IF(I$8="A",(RANK(AQ17,AQ$11:AQ$368,1)+COUNTIF(AQ$11:AQ17,AQ17)-1),(RANK(AQ17,AQ$11:AQ$368)+COUNTIF(AQ$11:AQ17,AQ17)-1)))</f>
        <v/>
      </c>
      <c r="AS17" s="29">
        <f t="shared" si="16"/>
        <v>7</v>
      </c>
      <c r="AT17" s="34" t="str">
        <f t="shared" si="6"/>
        <v>Copeland</v>
      </c>
      <c r="AU17" s="39">
        <f t="shared" si="17"/>
        <v>80.802168649499023</v>
      </c>
      <c r="AX17" s="21">
        <f>HLOOKUP($AX$9&amp;$AX$10,Data!$A$1:$ZZ$2000,(MATCH($C17,Data!$A$1:$A$2000,0)),FALSE)</f>
        <v>80.767974982154783</v>
      </c>
      <c r="AY17" s="103"/>
      <c r="AZ17" s="21"/>
    </row>
    <row r="18" spans="1:52">
      <c r="A18" s="56" t="str">
        <f>$D$1&amp;8</f>
        <v>SD8</v>
      </c>
      <c r="B18" s="57" t="str">
        <f>IF(ISERROR(VLOOKUP(A18,classifications!A:C,3,FALSE)),0,VLOOKUP(A18,classifications!A:C,3,FALSE))</f>
        <v>Chichester</v>
      </c>
      <c r="C18" s="8" t="s">
        <v>12</v>
      </c>
      <c r="D18" s="26" t="str">
        <f>VLOOKUP($C18,classifications!$C:$J,4,FALSE)</f>
        <v>SD</v>
      </c>
      <c r="E18" s="26" t="str">
        <f>VLOOKUP(C18,classifications!C:K,9,FALSE)</f>
        <v>Sparse</v>
      </c>
      <c r="F18" s="36">
        <f t="shared" si="0"/>
        <v>77.483389981559796</v>
      </c>
      <c r="G18" s="71"/>
      <c r="H18" s="37">
        <f t="shared" si="1"/>
        <v>77.483389981559796</v>
      </c>
      <c r="I18" s="77">
        <f>IF(H18="","",IF($I$8="A",(RANK(H18,H$11:H$368,1)+COUNTIF(H$11:H18,H18)-1),(RANK(H18,H$11:H$368)+COUNTIF(H$11:H18,H18)-1)))</f>
        <v>159</v>
      </c>
      <c r="J18" s="35"/>
      <c r="K18" s="28">
        <f t="shared" si="7"/>
        <v>8</v>
      </c>
      <c r="L18" s="36" t="str">
        <f t="shared" si="2"/>
        <v>Elmbridge</v>
      </c>
      <c r="M18" s="102">
        <f t="shared" si="22"/>
        <v>86.958562974579777</v>
      </c>
      <c r="N18" s="101">
        <f t="shared" si="23"/>
        <v>86.958562974579777</v>
      </c>
      <c r="O18" s="94">
        <f t="shared" si="8"/>
        <v>86.958562974579777</v>
      </c>
      <c r="P18" s="94" t="str">
        <f t="shared" si="18"/>
        <v/>
      </c>
      <c r="Q18" s="94" t="str">
        <f t="shared" si="19"/>
        <v/>
      </c>
      <c r="R18" s="90" t="str">
        <f t="shared" si="20"/>
        <v/>
      </c>
      <c r="S18" s="37" t="str">
        <f t="shared" si="9"/>
        <v/>
      </c>
      <c r="T18" s="176">
        <f>IF(L18="","",VLOOKUP(L18,classifications!C:K,9,FALSE))</f>
        <v>0</v>
      </c>
      <c r="U18" s="183" t="str">
        <f t="shared" si="10"/>
        <v/>
      </c>
      <c r="V18" s="184" t="str">
        <f>IF(U18="","",IF($I$8="A",(RANK(U18,U$11:U$368)+COUNTIF(U$11:U18,U18)-1),(RANK(U18,U$11:U$368,1)+COUNTIF(U$11:U18,U18)-1)))</f>
        <v/>
      </c>
      <c r="W18" s="185"/>
      <c r="X18" s="38" t="str">
        <f>IF(L18="","",VLOOKUP($L18,classifications!$C:$J,6,FALSE))</f>
        <v>Urban with Major Conurbation</v>
      </c>
      <c r="Y18" s="26" t="str">
        <f t="shared" si="3"/>
        <v/>
      </c>
      <c r="Z18" s="34" t="str">
        <f>IF(Y18="","",IF(I$8="A",(RANK(Y18,Y$11:Y$368,1)+COUNTIF(Y$11:Y18,Y18)-1),(RANK(Y18,Y$11:Y$368)+COUNTIF(Y$11:Y18,Y18)-1)))</f>
        <v/>
      </c>
      <c r="AA18" s="188" t="str">
        <f>IF(L18="","",VLOOKUP($L18,classifications!C:I,7,FALSE))</f>
        <v>Predominantly Urban</v>
      </c>
      <c r="AB18" s="184" t="str">
        <f t="shared" si="11"/>
        <v/>
      </c>
      <c r="AC18" s="184" t="str">
        <f>IF(AB18="","",IF($I$8="A",(RANK(AB18,AB$11:AB$368)+COUNTIF(AB$11:AB18,AB18)-1),(RANK(AB18,AB$11:AB$368,1)+COUNTIF(AB$11:AB18,AB18)-1)))</f>
        <v/>
      </c>
      <c r="AD18" s="184"/>
      <c r="AE18" s="45">
        <f>IF(I$8="A",(RANK(AG18,AG$11:AG$368,1)+COUNTIF(AG$11:AG18,AG18)-1),(RANK(AG18,AG$11:AG$368)+COUNTIF(AG$11:AG18,AG18)-1))</f>
        <v>12</v>
      </c>
      <c r="AF18" s="1" t="str">
        <f>VLOOKUP(Profile!$J$5,Families!$C:$R,8,FALSE)</f>
        <v>Torridge</v>
      </c>
      <c r="AG18" s="96">
        <f t="shared" si="12"/>
        <v>78.572724688355649</v>
      </c>
      <c r="AH18" s="46">
        <f t="shared" si="21"/>
        <v>12</v>
      </c>
      <c r="AI18" s="38" t="str">
        <f>IF(L18="","",VLOOKUP($L18,classifications!$C:$J,8,FALSE))</f>
        <v>Surrey</v>
      </c>
      <c r="AJ18" s="39" t="str">
        <f t="shared" si="4"/>
        <v/>
      </c>
      <c r="AK18" s="34" t="str">
        <f>IF(AJ18="","",IF(I$8="A",(RANK(AJ18,AJ$11:AJ$368,1)+COUNTIF(AJ$11:AJ18,AJ18)-1),(RANK(AJ18,AJ$11:AJ$368)+COUNTIF(AJ$11:AJ18,AJ18)-1)))</f>
        <v/>
      </c>
      <c r="AL18" s="29" t="str">
        <f t="shared" si="13"/>
        <v/>
      </c>
      <c r="AM18" s="8" t="str">
        <f t="shared" si="5"/>
        <v/>
      </c>
      <c r="AN18" s="8" t="str">
        <f t="shared" si="14"/>
        <v/>
      </c>
      <c r="AP18" s="38" t="str">
        <f>IF(L18="","",VLOOKUP($L18,classifications!$C:$E,3,FALSE))</f>
        <v>South East</v>
      </c>
      <c r="AQ18" s="39" t="str">
        <f t="shared" si="15"/>
        <v/>
      </c>
      <c r="AR18" s="34" t="str">
        <f>IF(AQ18="","",IF(I$8="A",(RANK(AQ18,AQ$11:AQ$368,1)+COUNTIF(AQ$11:AQ18,AQ18)-1),(RANK(AQ18,AQ$11:AQ$368)+COUNTIF(AQ$11:AQ18,AQ18)-1)))</f>
        <v/>
      </c>
      <c r="AS18" s="29">
        <f t="shared" si="16"/>
        <v>8</v>
      </c>
      <c r="AT18" s="34" t="str">
        <f t="shared" si="6"/>
        <v>Allerdale</v>
      </c>
      <c r="AU18" s="39">
        <f t="shared" si="17"/>
        <v>80.664917544522837</v>
      </c>
      <c r="AX18" s="21">
        <f>HLOOKUP($AX$9&amp;$AX$10,Data!$A$1:$ZZ$2000,(MATCH($C18,Data!$A$1:$A$2000,0)),FALSE)</f>
        <v>77.483389981559796</v>
      </c>
      <c r="AY18" s="103"/>
      <c r="AZ18" s="21"/>
    </row>
    <row r="19" spans="1:52">
      <c r="A19" s="56" t="str">
        <f>$D$1&amp;9</f>
        <v>SD9</v>
      </c>
      <c r="B19" s="57" t="str">
        <f>IF(ISERROR(VLOOKUP(A19,classifications!A:C,3,FALSE)),0,VLOOKUP(A19,classifications!A:C,3,FALSE))</f>
        <v>Copeland</v>
      </c>
      <c r="C19" s="8" t="s">
        <v>338</v>
      </c>
      <c r="D19" s="26" t="str">
        <f>VLOOKUP($C19,classifications!$C:$J,4,FALSE)</f>
        <v>L</v>
      </c>
      <c r="E19" s="26">
        <f>VLOOKUP(C19,classifications!C:K,9,FALSE)</f>
        <v>0</v>
      </c>
      <c r="F19" s="36">
        <f t="shared" si="0"/>
        <v>64.562263846342049</v>
      </c>
      <c r="G19" s="71"/>
      <c r="H19" s="37" t="str">
        <f t="shared" si="1"/>
        <v/>
      </c>
      <c r="I19" s="77" t="str">
        <f>IF(H19="","",IF($I$8="A",(RANK(H19,H$11:H$368,1)+COUNTIF(H$11:H19,H19)-1),(RANK(H19,H$11:H$368)+COUNTIF(H$11:H19,H19)-1)))</f>
        <v/>
      </c>
      <c r="J19" s="35"/>
      <c r="K19" s="28">
        <f t="shared" si="7"/>
        <v>9</v>
      </c>
      <c r="L19" s="36" t="str">
        <f t="shared" si="2"/>
        <v>Winchester</v>
      </c>
      <c r="M19" s="102">
        <f t="shared" si="22"/>
        <v>86.887516701888018</v>
      </c>
      <c r="N19" s="101">
        <f t="shared" si="23"/>
        <v>86.887516701888018</v>
      </c>
      <c r="O19" s="94">
        <f t="shared" si="8"/>
        <v>86.887516701888018</v>
      </c>
      <c r="P19" s="94" t="str">
        <f t="shared" si="18"/>
        <v/>
      </c>
      <c r="Q19" s="94" t="str">
        <f t="shared" si="19"/>
        <v/>
      </c>
      <c r="R19" s="90" t="str">
        <f t="shared" si="20"/>
        <v/>
      </c>
      <c r="S19" s="37" t="str">
        <f t="shared" si="9"/>
        <v/>
      </c>
      <c r="T19" s="176">
        <f>IF(L19="","",VLOOKUP(L19,classifications!C:K,9,FALSE))</f>
        <v>0</v>
      </c>
      <c r="U19" s="183" t="str">
        <f t="shared" si="10"/>
        <v/>
      </c>
      <c r="V19" s="184" t="str">
        <f>IF(U19="","",IF($I$8="A",(RANK(U19,U$11:U$368)+COUNTIF(U$11:U19,U19)-1),(RANK(U19,U$11:U$368,1)+COUNTIF(U$11:U19,U19)-1)))</f>
        <v/>
      </c>
      <c r="W19" s="185"/>
      <c r="X19" s="38" t="str">
        <f>IF(L19="","",VLOOKUP($L19,classifications!$C:$J,6,FALSE))</f>
        <v xml:space="preserve">Largely Rural (rural including hub towns 50-79%) </v>
      </c>
      <c r="Y19" s="26" t="str">
        <f t="shared" si="3"/>
        <v/>
      </c>
      <c r="Z19" s="34" t="str">
        <f>IF(Y19="","",IF(I$8="A",(RANK(Y19,Y$11:Y$368,1)+COUNTIF(Y$11:Y19,Y19)-1),(RANK(Y19,Y$11:Y$368)+COUNTIF(Y$11:Y19,Y19)-1)))</f>
        <v/>
      </c>
      <c r="AA19" s="188" t="str">
        <f>IF(L19="","",VLOOKUP($L19,classifications!C:I,7,FALSE))</f>
        <v>Predominantly Rural</v>
      </c>
      <c r="AB19" s="184">
        <f t="shared" si="11"/>
        <v>86.887516701888018</v>
      </c>
      <c r="AC19" s="184">
        <f>IF(AB19="","",IF($I$8="A",(RANK(AB19,AB$11:AB$368)+COUNTIF(AB$11:AB19,AB19)-1),(RANK(AB19,AB$11:AB$368,1)+COUNTIF(AB$11:AB19,AB19)-1)))</f>
        <v>72</v>
      </c>
      <c r="AD19" s="184"/>
      <c r="AE19" s="45">
        <f>IF(I$8="A",(RANK(AG19,AG$11:AG$368,1)+COUNTIF(AG$11:AG19,AG19)-1),(RANK(AG19,AG$11:AG$368)+COUNTIF(AG$11:AG19,AG19)-1))</f>
        <v>10</v>
      </c>
      <c r="AF19" s="1" t="str">
        <f>VLOOKUP(Profile!$J$5,Families!$C:$R,9,FALSE)</f>
        <v>Newark &amp; Sherwood</v>
      </c>
      <c r="AG19" s="96">
        <f t="shared" si="12"/>
        <v>78.883653322357262</v>
      </c>
      <c r="AH19" s="46">
        <f t="shared" si="21"/>
        <v>10</v>
      </c>
      <c r="AI19" s="38" t="str">
        <f>IF(L19="","",VLOOKUP($L19,classifications!$C:$J,8,FALSE))</f>
        <v>Hampshire</v>
      </c>
      <c r="AJ19" s="39" t="str">
        <f t="shared" si="4"/>
        <v/>
      </c>
      <c r="AK19" s="34" t="str">
        <f>IF(AJ19="","",IF(I$8="A",(RANK(AJ19,AJ$11:AJ$368,1)+COUNTIF(AJ$11:AJ19,AJ19)-1),(RANK(AJ19,AJ$11:AJ$368)+COUNTIF(AJ$11:AJ19,AJ19)-1)))</f>
        <v/>
      </c>
      <c r="AL19" s="29" t="str">
        <f t="shared" si="13"/>
        <v/>
      </c>
      <c r="AM19" s="8" t="str">
        <f t="shared" si="5"/>
        <v/>
      </c>
      <c r="AN19" s="8" t="str">
        <f t="shared" si="14"/>
        <v/>
      </c>
      <c r="AP19" s="38" t="str">
        <f>IF(L19="","",VLOOKUP($L19,classifications!$C:$E,3,FALSE))</f>
        <v>South East</v>
      </c>
      <c r="AQ19" s="39" t="str">
        <f t="shared" si="15"/>
        <v/>
      </c>
      <c r="AR19" s="34" t="str">
        <f>IF(AQ19="","",IF(I$8="A",(RANK(AQ19,AQ$11:AQ$368,1)+COUNTIF(AQ$11:AQ19,AQ19)-1),(RANK(AQ19,AQ$11:AQ$368)+COUNTIF(AQ$11:AQ19,AQ19)-1)))</f>
        <v/>
      </c>
      <c r="AS19" s="29">
        <f t="shared" si="16"/>
        <v>9</v>
      </c>
      <c r="AT19" s="34" t="str">
        <f t="shared" si="6"/>
        <v>Chorley</v>
      </c>
      <c r="AU19" s="39">
        <f t="shared" si="17"/>
        <v>79.374804851569777</v>
      </c>
      <c r="AX19" s="21">
        <f>HLOOKUP($AX$9&amp;$AX$10,Data!$A$1:$ZZ$2000,(MATCH($C19,Data!$A$1:$A$2000,0)),FALSE)</f>
        <v>64.562263846342049</v>
      </c>
      <c r="AY19" s="103"/>
      <c r="AZ19" s="21"/>
    </row>
    <row r="20" spans="1:52">
      <c r="A20" s="56" t="str">
        <f>$D$1&amp;10</f>
        <v>SD10</v>
      </c>
      <c r="B20" s="57" t="str">
        <f>IF(ISERROR(VLOOKUP(A20,classifications!A:C,3,FALSE)),0,VLOOKUP(A20,classifications!A:C,3,FALSE))</f>
        <v>Cotswold</v>
      </c>
      <c r="C20" s="8" t="s">
        <v>196</v>
      </c>
      <c r="D20" s="26" t="str">
        <f>VLOOKUP($C20,classifications!$C:$J,4,FALSE)</f>
        <v>L</v>
      </c>
      <c r="E20" s="26">
        <f>VLOOKUP(C20,classifications!C:K,9,FALSE)</f>
        <v>0</v>
      </c>
      <c r="F20" s="36">
        <f t="shared" si="0"/>
        <v>76.379770607674743</v>
      </c>
      <c r="G20" s="71"/>
      <c r="H20" s="37" t="str">
        <f t="shared" si="1"/>
        <v/>
      </c>
      <c r="I20" s="77" t="str">
        <f>IF(H20="","",IF($I$8="A",(RANK(H20,H$11:H$368,1)+COUNTIF(H$11:H20,H20)-1),(RANK(H20,H$11:H$368)+COUNTIF(H$11:H20,H20)-1)))</f>
        <v/>
      </c>
      <c r="J20" s="35"/>
      <c r="K20" s="28">
        <f t="shared" si="7"/>
        <v>10</v>
      </c>
      <c r="L20" s="36" t="str">
        <f t="shared" si="2"/>
        <v>Cotswold</v>
      </c>
      <c r="M20" s="102">
        <f t="shared" si="22"/>
        <v>86.859304329799087</v>
      </c>
      <c r="N20" s="101">
        <f t="shared" si="23"/>
        <v>86.859304329799087</v>
      </c>
      <c r="O20" s="94">
        <f t="shared" si="8"/>
        <v>86.859304329799087</v>
      </c>
      <c r="P20" s="94" t="str">
        <f t="shared" si="18"/>
        <v/>
      </c>
      <c r="Q20" s="94" t="str">
        <f t="shared" si="19"/>
        <v/>
      </c>
      <c r="R20" s="90" t="str">
        <f t="shared" si="20"/>
        <v/>
      </c>
      <c r="S20" s="37" t="str">
        <f t="shared" si="9"/>
        <v/>
      </c>
      <c r="T20" s="176" t="str">
        <f>IF(L20="","",VLOOKUP(L20,classifications!C:K,9,FALSE))</f>
        <v>Sparse</v>
      </c>
      <c r="U20" s="183">
        <f t="shared" si="10"/>
        <v>86.859304329799087</v>
      </c>
      <c r="V20" s="184">
        <f>IF(U20="","",IF($I$8="A",(RANK(U20,U$11:U$368)+COUNTIF(U$11:U20,U20)-1),(RANK(U20,U$11:U$368,1)+COUNTIF(U$11:U20,U20)-1)))</f>
        <v>72</v>
      </c>
      <c r="W20" s="185"/>
      <c r="X20" s="38" t="str">
        <f>IF(L20="","",VLOOKUP($L20,classifications!$C:$J,6,FALSE))</f>
        <v xml:space="preserve">Mainly Rural (rural including hub towns &gt;=80%) </v>
      </c>
      <c r="Y20" s="26">
        <f t="shared" si="3"/>
        <v>86.859304329799087</v>
      </c>
      <c r="Z20" s="34">
        <f>IF(Y20="","",IF(I$8="A",(RANK(Y20,Y$11:Y$368,1)+COUNTIF(Y$11:Y20,Y20)-1),(RANK(Y20,Y$11:Y$368)+COUNTIF(Y$11:Y20,Y20)-1)))</f>
        <v>2</v>
      </c>
      <c r="AA20" s="188" t="str">
        <f>IF(L20="","",VLOOKUP($L20,classifications!C:I,7,FALSE))</f>
        <v>Predominantly Rural</v>
      </c>
      <c r="AB20" s="184">
        <f t="shared" si="11"/>
        <v>86.859304329799087</v>
      </c>
      <c r="AC20" s="184">
        <f>IF(AB20="","",IF($I$8="A",(RANK(AB20,AB$11:AB$368)+COUNTIF(AB$11:AB20,AB20)-1),(RANK(AB20,AB$11:AB$368,1)+COUNTIF(AB$11:AB20,AB20)-1)))</f>
        <v>71</v>
      </c>
      <c r="AD20" s="184"/>
      <c r="AE20" s="45">
        <f>IF(I$8="A",(RANK(AG20,AG$11:AG$368,1)+COUNTIF(AG$11:AG20,AG20)-1),(RANK(AG20,AG$11:AG$368)+COUNTIF(AG$11:AG20,AG20)-1))</f>
        <v>6</v>
      </c>
      <c r="AF20" s="1" t="str">
        <f>VLOOKUP(Profile!$J$5,Families!$C:$R,10,FALSE)</f>
        <v>Amber Valley</v>
      </c>
      <c r="AG20" s="96">
        <f t="shared" si="12"/>
        <v>80.023065629365846</v>
      </c>
      <c r="AH20" s="46">
        <f t="shared" si="21"/>
        <v>6</v>
      </c>
      <c r="AI20" s="38" t="str">
        <f>IF(L20="","",VLOOKUP($L20,classifications!$C:$J,8,FALSE))</f>
        <v>Gloucestershire</v>
      </c>
      <c r="AJ20" s="39" t="str">
        <f t="shared" si="4"/>
        <v/>
      </c>
      <c r="AK20" s="34" t="str">
        <f>IF(AJ20="","",IF(I$8="A",(RANK(AJ20,AJ$11:AJ$368,1)+COUNTIF(AJ$11:AJ20,AJ20)-1),(RANK(AJ20,AJ$11:AJ$368)+COUNTIF(AJ$11:AJ20,AJ20)-1)))</f>
        <v/>
      </c>
      <c r="AL20" s="29" t="str">
        <f t="shared" si="13"/>
        <v/>
      </c>
      <c r="AM20" s="8" t="str">
        <f t="shared" si="5"/>
        <v/>
      </c>
      <c r="AN20" s="8" t="str">
        <f t="shared" si="14"/>
        <v/>
      </c>
      <c r="AP20" s="38" t="str">
        <f>IF(L20="","",VLOOKUP($L20,classifications!$C:$E,3,FALSE))</f>
        <v>South West</v>
      </c>
      <c r="AQ20" s="39" t="str">
        <f t="shared" si="15"/>
        <v/>
      </c>
      <c r="AR20" s="34" t="str">
        <f>IF(AQ20="","",IF(I$8="A",(RANK(AQ20,AQ$11:AQ$368,1)+COUNTIF(AQ$11:AQ20,AQ20)-1),(RANK(AQ20,AQ$11:AQ$368)+COUNTIF(AQ$11:AQ20,AQ20)-1)))</f>
        <v/>
      </c>
      <c r="AS20" s="29">
        <f t="shared" si="16"/>
        <v>10</v>
      </c>
      <c r="AT20" s="34" t="str">
        <f t="shared" si="6"/>
        <v>Fylde</v>
      </c>
      <c r="AU20" s="39">
        <f t="shared" si="17"/>
        <v>78.660073450737343</v>
      </c>
      <c r="AX20" s="21">
        <f>HLOOKUP($AX$9&amp;$AX$10,Data!$A$1:$ZZ$2000,(MATCH($C20,Data!$A$1:$A$2000,0)),FALSE)</f>
        <v>76.379770607674743</v>
      </c>
      <c r="AY20" s="103"/>
      <c r="AZ20" s="21"/>
    </row>
    <row r="21" spans="1:52">
      <c r="A21" s="56" t="str">
        <f>$D$1&amp;11</f>
        <v>SD11</v>
      </c>
      <c r="B21" s="57" t="str">
        <f>IF(ISERROR(VLOOKUP(A21,classifications!A:C,3,FALSE)),0,VLOOKUP(A21,classifications!A:C,3,FALSE))</f>
        <v>Craven</v>
      </c>
      <c r="C21" s="8" t="s">
        <v>222</v>
      </c>
      <c r="D21" s="26" t="str">
        <f>VLOOKUP($C21,classifications!$C:$J,4,FALSE)</f>
        <v>MD</v>
      </c>
      <c r="E21" s="26">
        <f>VLOOKUP(C21,classifications!C:K,9,FALSE)</f>
        <v>0</v>
      </c>
      <c r="F21" s="36">
        <f t="shared" si="0"/>
        <v>78.158492907112731</v>
      </c>
      <c r="G21" s="71"/>
      <c r="H21" s="37" t="str">
        <f t="shared" si="1"/>
        <v/>
      </c>
      <c r="I21" s="77" t="str">
        <f>IF(H21="","",IF($I$8="A",(RANK(H21,H$11:H$368,1)+COUNTIF(H$11:H21,H21)-1),(RANK(H21,H$11:H$368)+COUNTIF(H$11:H21,H21)-1)))</f>
        <v/>
      </c>
      <c r="J21" s="35"/>
      <c r="K21" s="28">
        <f t="shared" si="7"/>
        <v>11</v>
      </c>
      <c r="L21" s="36" t="str">
        <f t="shared" si="2"/>
        <v>Oxford</v>
      </c>
      <c r="M21" s="102">
        <f t="shared" si="22"/>
        <v>86.735237422815842</v>
      </c>
      <c r="N21" s="101">
        <f t="shared" si="23"/>
        <v>86.735237422815842</v>
      </c>
      <c r="O21" s="94">
        <f t="shared" si="8"/>
        <v>86.735237422815842</v>
      </c>
      <c r="P21" s="94" t="str">
        <f t="shared" si="18"/>
        <v/>
      </c>
      <c r="Q21" s="94" t="str">
        <f t="shared" si="19"/>
        <v/>
      </c>
      <c r="R21" s="90" t="str">
        <f t="shared" si="20"/>
        <v/>
      </c>
      <c r="S21" s="37" t="str">
        <f t="shared" si="9"/>
        <v/>
      </c>
      <c r="T21" s="176">
        <f>IF(L21="","",VLOOKUP(L21,classifications!C:K,9,FALSE))</f>
        <v>0</v>
      </c>
      <c r="U21" s="183" t="str">
        <f t="shared" si="10"/>
        <v/>
      </c>
      <c r="V21" s="184" t="str">
        <f>IF(U21="","",IF($I$8="A",(RANK(U21,U$11:U$368)+COUNTIF(U$11:U21,U21)-1),(RANK(U21,U$11:U$368,1)+COUNTIF(U$11:U21,U21)-1)))</f>
        <v/>
      </c>
      <c r="W21" s="185"/>
      <c r="X21" s="38" t="str">
        <f>IF(L21="","",VLOOKUP($L21,classifications!$C:$J,6,FALSE))</f>
        <v>Urban with City and Town</v>
      </c>
      <c r="Y21" s="26" t="str">
        <f t="shared" si="3"/>
        <v/>
      </c>
      <c r="Z21" s="34" t="str">
        <f>IF(Y21="","",IF(I$8="A",(RANK(Y21,Y$11:Y$368,1)+COUNTIF(Y$11:Y21,Y21)-1),(RANK(Y21,Y$11:Y$368)+COUNTIF(Y$11:Y21,Y21)-1)))</f>
        <v/>
      </c>
      <c r="AA21" s="188" t="str">
        <f>IF(L21="","",VLOOKUP($L21,classifications!C:I,7,FALSE))</f>
        <v>Predominantly Urban</v>
      </c>
      <c r="AB21" s="184" t="str">
        <f t="shared" si="11"/>
        <v/>
      </c>
      <c r="AC21" s="184" t="str">
        <f>IF(AB21="","",IF($I$8="A",(RANK(AB21,AB$11:AB$368)+COUNTIF(AB$11:AB21,AB21)-1),(RANK(AB21,AB$11:AB$368,1)+COUNTIF(AB$11:AB21,AB21)-1)))</f>
        <v/>
      </c>
      <c r="AD21" s="184"/>
      <c r="AE21" s="45">
        <f>IF(I$8="A",(RANK(AG21,AG$11:AG$368,1)+COUNTIF(AG$11:AG21,AG21)-1),(RANK(AG21,AG$11:AG$368)+COUNTIF(AG$11:AG21,AG21)-1))</f>
        <v>3</v>
      </c>
      <c r="AF21" s="1" t="str">
        <f>VLOOKUP(Profile!$J$5,Families!$C:$R,11,FALSE)</f>
        <v>Copeland</v>
      </c>
      <c r="AG21" s="96">
        <f t="shared" si="12"/>
        <v>80.802168649499023</v>
      </c>
      <c r="AH21" s="46">
        <f t="shared" si="21"/>
        <v>3</v>
      </c>
      <c r="AI21" s="38" t="str">
        <f>IF(L21="","",VLOOKUP($L21,classifications!$C:$J,8,FALSE))</f>
        <v>Oxfordshire</v>
      </c>
      <c r="AJ21" s="39" t="str">
        <f t="shared" si="4"/>
        <v/>
      </c>
      <c r="AK21" s="34" t="str">
        <f>IF(AJ21="","",IF(I$8="A",(RANK(AJ21,AJ$11:AJ$368,1)+COUNTIF(AJ$11:AJ21,AJ21)-1),(RANK(AJ21,AJ$11:AJ$368)+COUNTIF(AJ$11:AJ21,AJ21)-1)))</f>
        <v/>
      </c>
      <c r="AL21" s="29" t="str">
        <f t="shared" si="13"/>
        <v/>
      </c>
      <c r="AM21" s="8" t="str">
        <f t="shared" si="5"/>
        <v/>
      </c>
      <c r="AN21" s="8" t="str">
        <f t="shared" si="14"/>
        <v/>
      </c>
      <c r="AP21" s="38" t="str">
        <f>IF(L21="","",VLOOKUP($L21,classifications!$C:$E,3,FALSE))</f>
        <v>South East</v>
      </c>
      <c r="AQ21" s="39" t="str">
        <f t="shared" si="15"/>
        <v/>
      </c>
      <c r="AR21" s="34" t="str">
        <f>IF(AQ21="","",IF(I$8="A",(RANK(AQ21,AQ$11:AQ$368,1)+COUNTIF(AQ$11:AQ21,AQ21)-1),(RANK(AQ21,AQ$11:AQ$368)+COUNTIF(AQ$11:AQ21,AQ21)-1)))</f>
        <v/>
      </c>
      <c r="AS21" s="29">
        <f t="shared" si="16"/>
        <v>11</v>
      </c>
      <c r="AT21" s="34" t="str">
        <f t="shared" si="6"/>
        <v>Carlisle</v>
      </c>
      <c r="AU21" s="39">
        <f t="shared" si="17"/>
        <v>78.627178356786359</v>
      </c>
      <c r="AX21" s="21">
        <f>HLOOKUP($AX$9&amp;$AX$10,Data!$A$1:$ZZ$2000,(MATCH($C21,Data!$A$1:$A$2000,0)),FALSE)</f>
        <v>78.158492907112731</v>
      </c>
      <c r="AY21" s="103"/>
      <c r="AZ21" s="21"/>
    </row>
    <row r="22" spans="1:52">
      <c r="A22" s="56" t="str">
        <f>$D$1&amp;12</f>
        <v>SD12</v>
      </c>
      <c r="B22" s="57" t="str">
        <f>IF(ISERROR(VLOOKUP(A22,classifications!A:C,3,FALSE)),0,VLOOKUP(A22,classifications!A:C,3,FALSE))</f>
        <v>Daventry</v>
      </c>
      <c r="C22" s="8" t="s">
        <v>13</v>
      </c>
      <c r="D22" s="26" t="str">
        <f>VLOOKUP($C22,classifications!$C:$J,4,FALSE)</f>
        <v>SD</v>
      </c>
      <c r="E22" s="26">
        <f>VLOOKUP(C22,classifications!C:K,9,FALSE)</f>
        <v>0</v>
      </c>
      <c r="F22" s="36">
        <f t="shared" si="0"/>
        <v>81.833029922135211</v>
      </c>
      <c r="G22" s="71"/>
      <c r="H22" s="37">
        <f t="shared" si="1"/>
        <v>81.833029922135211</v>
      </c>
      <c r="I22" s="77">
        <f>IF(H22="","",IF($I$8="A",(RANK(H22,H$11:H$368,1)+COUNTIF(H$11:H22,H22)-1),(RANK(H22,H$11:H$368)+COUNTIF(H$11:H22,H22)-1)))</f>
        <v>82</v>
      </c>
      <c r="J22" s="35"/>
      <c r="K22" s="28">
        <f t="shared" si="7"/>
        <v>12</v>
      </c>
      <c r="L22" s="36" t="str">
        <f t="shared" si="2"/>
        <v>Chiltern</v>
      </c>
      <c r="M22" s="102">
        <f t="shared" si="22"/>
        <v>86.548326647473345</v>
      </c>
      <c r="N22" s="101">
        <f t="shared" si="23"/>
        <v>86.548326647473345</v>
      </c>
      <c r="O22" s="94">
        <f t="shared" si="8"/>
        <v>86.548326647473345</v>
      </c>
      <c r="P22" s="94" t="str">
        <f t="shared" si="18"/>
        <v/>
      </c>
      <c r="Q22" s="94" t="str">
        <f t="shared" si="19"/>
        <v/>
      </c>
      <c r="R22" s="90" t="str">
        <f t="shared" si="20"/>
        <v/>
      </c>
      <c r="S22" s="37" t="str">
        <f t="shared" si="9"/>
        <v/>
      </c>
      <c r="T22" s="176">
        <f>IF(L22="","",VLOOKUP(L22,classifications!C:K,9,FALSE))</f>
        <v>0</v>
      </c>
      <c r="U22" s="183" t="str">
        <f t="shared" si="10"/>
        <v/>
      </c>
      <c r="V22" s="184" t="str">
        <f>IF(U22="","",IF($I$8="A",(RANK(U22,U$11:U$368)+COUNTIF(U$11:U22,U22)-1),(RANK(U22,U$11:U$368,1)+COUNTIF(U$11:U22,U22)-1)))</f>
        <v/>
      </c>
      <c r="W22" s="185"/>
      <c r="X22" s="38" t="str">
        <f>IF(L22="","",VLOOKUP($L22,classifications!$C:$J,6,FALSE))</f>
        <v>Urban with Significant Rural (rural including hub towns 26-49%)</v>
      </c>
      <c r="Y22" s="26" t="str">
        <f t="shared" si="3"/>
        <v/>
      </c>
      <c r="Z22" s="34" t="str">
        <f>IF(Y22="","",IF(I$8="A",(RANK(Y22,Y$11:Y$368,1)+COUNTIF(Y$11:Y22,Y22)-1),(RANK(Y22,Y$11:Y$368)+COUNTIF(Y$11:Y22,Y22)-1)))</f>
        <v/>
      </c>
      <c r="AA22" s="188" t="str">
        <f>IF(L22="","",VLOOKUP($L22,classifications!C:I,7,FALSE))</f>
        <v>Significant Rural</v>
      </c>
      <c r="AB22" s="184" t="str">
        <f t="shared" si="11"/>
        <v/>
      </c>
      <c r="AC22" s="184" t="str">
        <f>IF(AB22="","",IF($I$8="A",(RANK(AB22,AB$11:AB$368)+COUNTIF(AB$11:AB22,AB22)-1),(RANK(AB22,AB$11:AB$368,1)+COUNTIF(AB$11:AB22,AB22)-1)))</f>
        <v/>
      </c>
      <c r="AD22" s="184"/>
      <c r="AE22" s="45">
        <f>IF(I$8="A",(RANK(AG22,AG$11:AG$368,1)+COUNTIF(AG$11:AG22,AG22)-1),(RANK(AG22,AG$11:AG$368)+COUNTIF(AG$11:AG22,AG22)-1))</f>
        <v>15</v>
      </c>
      <c r="AF22" s="1" t="str">
        <f>VLOOKUP(Profile!$J$5,Families!$C:$R,12,FALSE)</f>
        <v>Newcastle-under-Lyme</v>
      </c>
      <c r="AG22" s="96">
        <f t="shared" si="12"/>
        <v>76.415405003842181</v>
      </c>
      <c r="AH22" s="46">
        <f t="shared" si="21"/>
        <v>15</v>
      </c>
      <c r="AI22" s="38" t="str">
        <f>IF(L22="","",VLOOKUP($L22,classifications!$C:$J,8,FALSE))</f>
        <v>Buckinghamshire</v>
      </c>
      <c r="AJ22" s="39" t="str">
        <f t="shared" si="4"/>
        <v/>
      </c>
      <c r="AK22" s="34" t="str">
        <f>IF(AJ22="","",IF(I$8="A",(RANK(AJ22,AJ$11:AJ$368,1)+COUNTIF(AJ$11:AJ22,AJ22)-1),(RANK(AJ22,AJ$11:AJ$368)+COUNTIF(AJ$11:AJ22,AJ22)-1)))</f>
        <v/>
      </c>
      <c r="AL22" s="29" t="str">
        <f t="shared" si="13"/>
        <v/>
      </c>
      <c r="AM22" s="8" t="str">
        <f t="shared" si="5"/>
        <v/>
      </c>
      <c r="AN22" s="8" t="str">
        <f t="shared" si="14"/>
        <v/>
      </c>
      <c r="AP22" s="38" t="str">
        <f>IF(L22="","",VLOOKUP($L22,classifications!$C:$E,3,FALSE))</f>
        <v>South East</v>
      </c>
      <c r="AQ22" s="39" t="str">
        <f t="shared" si="15"/>
        <v/>
      </c>
      <c r="AR22" s="34" t="str">
        <f>IF(AQ22="","",IF(I$8="A",(RANK(AQ22,AQ$11:AQ$368,1)+COUNTIF(AQ$11:AQ22,AQ22)-1),(RANK(AQ22,AQ$11:AQ$368)+COUNTIF(AQ$11:AQ22,AQ22)-1)))</f>
        <v/>
      </c>
      <c r="AS22" s="29">
        <f t="shared" si="16"/>
        <v>12</v>
      </c>
      <c r="AT22" s="34" t="str">
        <f t="shared" si="6"/>
        <v>Preston</v>
      </c>
      <c r="AU22" s="39">
        <f t="shared" si="17"/>
        <v>78.614964147202414</v>
      </c>
      <c r="AX22" s="21">
        <f>HLOOKUP($AX$9&amp;$AX$10,Data!$A$1:$ZZ$2000,(MATCH($C22,Data!$A$1:$A$2000,0)),FALSE)</f>
        <v>81.833029922135211</v>
      </c>
      <c r="AY22" s="103"/>
      <c r="AZ22" s="21"/>
    </row>
    <row r="23" spans="1:52">
      <c r="A23" s="56" t="str">
        <f>$D$1&amp;13</f>
        <v>SD13</v>
      </c>
      <c r="B23" s="57" t="str">
        <f>IF(ISERROR(VLOOKUP(A23,classifications!A:C,3,FALSE)),0,VLOOKUP(A23,classifications!A:C,3,FALSE))</f>
        <v>Derbyshire Dales</v>
      </c>
      <c r="C23" s="8" t="s">
        <v>14</v>
      </c>
      <c r="D23" s="26" t="str">
        <f>VLOOKUP($C23,classifications!$C:$J,4,FALSE)</f>
        <v>SD</v>
      </c>
      <c r="E23" s="26">
        <f>VLOOKUP(C23,classifications!C:K,9,FALSE)</f>
        <v>0</v>
      </c>
      <c r="F23" s="36">
        <f t="shared" si="0"/>
        <v>77.654289052948997</v>
      </c>
      <c r="G23" s="71"/>
      <c r="H23" s="37">
        <f t="shared" si="1"/>
        <v>77.654289052948997</v>
      </c>
      <c r="I23" s="77">
        <f>IF(H23="","",IF($I$8="A",(RANK(H23,H$11:H$368,1)+COUNTIF(H$11:H23,H23)-1),(RANK(H23,H$11:H$368)+COUNTIF(H$11:H23,H23)-1)))</f>
        <v>153</v>
      </c>
      <c r="J23" s="35"/>
      <c r="K23" s="28">
        <f t="shared" si="7"/>
        <v>13</v>
      </c>
      <c r="L23" s="36" t="str">
        <f t="shared" si="2"/>
        <v>North Hertfordshire</v>
      </c>
      <c r="M23" s="102">
        <f t="shared" si="22"/>
        <v>86.48148459683577</v>
      </c>
      <c r="N23" s="101">
        <f t="shared" si="23"/>
        <v>86.48148459683577</v>
      </c>
      <c r="O23" s="94">
        <f t="shared" si="8"/>
        <v>86.48148459683577</v>
      </c>
      <c r="P23" s="94" t="str">
        <f t="shared" si="18"/>
        <v/>
      </c>
      <c r="Q23" s="94" t="str">
        <f t="shared" si="19"/>
        <v/>
      </c>
      <c r="R23" s="90" t="str">
        <f t="shared" si="20"/>
        <v/>
      </c>
      <c r="S23" s="37" t="str">
        <f t="shared" si="9"/>
        <v/>
      </c>
      <c r="T23" s="176">
        <f>IF(L23="","",VLOOKUP(L23,classifications!C:K,9,FALSE))</f>
        <v>0</v>
      </c>
      <c r="U23" s="183" t="str">
        <f t="shared" si="10"/>
        <v/>
      </c>
      <c r="V23" s="184" t="str">
        <f>IF(U23="","",IF($I$8="A",(RANK(U23,U$11:U$368)+COUNTIF(U$11:U23,U23)-1),(RANK(U23,U$11:U$368,1)+COUNTIF(U$11:U23,U23)-1)))</f>
        <v/>
      </c>
      <c r="W23" s="185"/>
      <c r="X23" s="38" t="str">
        <f>IF(L23="","",VLOOKUP($L23,classifications!$C:$J,6,FALSE))</f>
        <v>Urban with Significant Rural (rural including hub towns 26-49%)</v>
      </c>
      <c r="Y23" s="26" t="str">
        <f t="shared" si="3"/>
        <v/>
      </c>
      <c r="Z23" s="34" t="str">
        <f>IF(Y23="","",IF(I$8="A",(RANK(Y23,Y$11:Y$368,1)+COUNTIF(Y$11:Y23,Y23)-1),(RANK(Y23,Y$11:Y$368)+COUNTIF(Y$11:Y23,Y23)-1)))</f>
        <v/>
      </c>
      <c r="AA23" s="188" t="str">
        <f>IF(L23="","",VLOOKUP($L23,classifications!C:I,7,FALSE))</f>
        <v>Significant Rural</v>
      </c>
      <c r="AB23" s="184" t="str">
        <f t="shared" si="11"/>
        <v/>
      </c>
      <c r="AC23" s="184" t="str">
        <f>IF(AB23="","",IF($I$8="A",(RANK(AB23,AB$11:AB$368)+COUNTIF(AB$11:AB23,AB23)-1),(RANK(AB23,AB$11:AB$368,1)+COUNTIF(AB$11:AB23,AB23)-1)))</f>
        <v/>
      </c>
      <c r="AD23" s="184"/>
      <c r="AE23" s="45">
        <f>IF(I$8="A",(RANK(AG23,AG$11:AG$368,1)+COUNTIF(AG$11:AG23,AG23)-1),(RANK(AG23,AG$11:AG$368)+COUNTIF(AG$11:AG23,AG23)-1))</f>
        <v>2</v>
      </c>
      <c r="AF23" s="1" t="str">
        <f>VLOOKUP(Profile!$J$5,Families!$C:$R,13,FALSE)</f>
        <v>Wyre Forest</v>
      </c>
      <c r="AG23" s="96">
        <f t="shared" si="12"/>
        <v>81.719020609499452</v>
      </c>
      <c r="AH23" s="46">
        <f t="shared" si="21"/>
        <v>2</v>
      </c>
      <c r="AI23" s="38" t="str">
        <f>IF(L23="","",VLOOKUP($L23,classifications!$C:$J,8,FALSE))</f>
        <v>Hertfordshire</v>
      </c>
      <c r="AJ23" s="39" t="str">
        <f t="shared" si="4"/>
        <v/>
      </c>
      <c r="AK23" s="34" t="str">
        <f>IF(AJ23="","",IF(I$8="A",(RANK(AJ23,AJ$11:AJ$368,1)+COUNTIF(AJ$11:AJ23,AJ23)-1),(RANK(AJ23,AJ$11:AJ$368)+COUNTIF(AJ$11:AJ23,AJ23)-1)))</f>
        <v/>
      </c>
      <c r="AL23" s="29" t="str">
        <f t="shared" si="13"/>
        <v/>
      </c>
      <c r="AM23" s="8" t="str">
        <f t="shared" si="5"/>
        <v/>
      </c>
      <c r="AN23" s="8" t="str">
        <f t="shared" si="14"/>
        <v/>
      </c>
      <c r="AP23" s="38" t="str">
        <f>IF(L23="","",VLOOKUP($L23,classifications!$C:$E,3,FALSE))</f>
        <v>East of England</v>
      </c>
      <c r="AQ23" s="39" t="str">
        <f t="shared" si="15"/>
        <v/>
      </c>
      <c r="AR23" s="34" t="str">
        <f>IF(AQ23="","",IF(I$8="A",(RANK(AQ23,AQ$11:AQ$368,1)+COUNTIF(AQ$11:AQ23,AQ23)-1),(RANK(AQ23,AQ$11:AQ$368)+COUNTIF(AQ$11:AQ23,AQ23)-1)))</f>
        <v/>
      </c>
      <c r="AS23" s="29">
        <f t="shared" si="16"/>
        <v>13</v>
      </c>
      <c r="AT23" s="34" t="str">
        <f t="shared" si="6"/>
        <v>Wyre</v>
      </c>
      <c r="AU23" s="39">
        <f t="shared" si="17"/>
        <v>77.140040482717126</v>
      </c>
      <c r="AX23" s="21">
        <f>HLOOKUP($AX$9&amp;$AX$10,Data!$A$1:$ZZ$2000,(MATCH($C23,Data!$A$1:$A$2000,0)),FALSE)</f>
        <v>77.654289052948997</v>
      </c>
      <c r="AY23" s="103"/>
      <c r="AZ23" s="21"/>
    </row>
    <row r="24" spans="1:52">
      <c r="A24" s="56" t="str">
        <f>$D$1&amp;14</f>
        <v>SD14</v>
      </c>
      <c r="B24" s="57" t="str">
        <f>IF(ISERROR(VLOOKUP(A24,classifications!A:C,3,FALSE)),0,VLOOKUP(A24,classifications!A:C,3,FALSE))</f>
        <v>East Cambridgeshire</v>
      </c>
      <c r="C24" s="8" t="s">
        <v>342</v>
      </c>
      <c r="D24" s="26" t="str">
        <f>VLOOKUP($C24,classifications!$C:$J,4,FALSE)</f>
        <v>SD</v>
      </c>
      <c r="E24" s="26">
        <f>VLOOKUP(C24,classifications!C:K,9,FALSE)</f>
        <v>0</v>
      </c>
      <c r="F24" s="36">
        <f t="shared" si="0"/>
        <v>79.330089108755686</v>
      </c>
      <c r="G24" s="71"/>
      <c r="H24" s="37">
        <f t="shared" si="1"/>
        <v>79.330089108755686</v>
      </c>
      <c r="I24" s="77">
        <f>IF(H24="","",IF($I$8="A",(RANK(H24,H$11:H$368,1)+COUNTIF(H$11:H24,H24)-1),(RANK(H24,H$11:H$368)+COUNTIF(H$11:H24,H24)-1)))</f>
        <v>132</v>
      </c>
      <c r="J24" s="35"/>
      <c r="K24" s="28">
        <f t="shared" si="7"/>
        <v>14</v>
      </c>
      <c r="L24" s="36" t="str">
        <f t="shared" si="2"/>
        <v>Mid Devon</v>
      </c>
      <c r="M24" s="102">
        <f t="shared" si="22"/>
        <v>86.428841112143985</v>
      </c>
      <c r="N24" s="101">
        <f t="shared" si="23"/>
        <v>86.428841112143985</v>
      </c>
      <c r="O24" s="94">
        <f t="shared" si="8"/>
        <v>86.428841112143985</v>
      </c>
      <c r="P24" s="94" t="str">
        <f t="shared" si="18"/>
        <v/>
      </c>
      <c r="Q24" s="94" t="str">
        <f t="shared" si="19"/>
        <v/>
      </c>
      <c r="R24" s="90" t="str">
        <f t="shared" si="20"/>
        <v/>
      </c>
      <c r="S24" s="37" t="str">
        <f t="shared" si="9"/>
        <v/>
      </c>
      <c r="T24" s="176" t="str">
        <f>IF(L24="","",VLOOKUP(L24,classifications!C:K,9,FALSE))</f>
        <v>Sparse</v>
      </c>
      <c r="U24" s="183">
        <f t="shared" si="10"/>
        <v>86.428841112143985</v>
      </c>
      <c r="V24" s="184">
        <f>IF(U24="","",IF($I$8="A",(RANK(U24,U$11:U$368)+COUNTIF(U$11:U24,U24)-1),(RANK(U24,U$11:U$368,1)+COUNTIF(U$11:U24,U24)-1)))</f>
        <v>71</v>
      </c>
      <c r="W24" s="185"/>
      <c r="X24" s="38" t="str">
        <f>IF(L24="","",VLOOKUP($L24,classifications!$C:$J,6,FALSE))</f>
        <v xml:space="preserve">Mainly Rural (rural including hub towns &gt;=80%) </v>
      </c>
      <c r="Y24" s="26">
        <f t="shared" si="3"/>
        <v>86.428841112143985</v>
      </c>
      <c r="Z24" s="34">
        <f>IF(Y24="","",IF(I$8="A",(RANK(Y24,Y$11:Y$368,1)+COUNTIF(Y$11:Y24,Y24)-1),(RANK(Y24,Y$11:Y$368)+COUNTIF(Y$11:Y24,Y24)-1)))</f>
        <v>3</v>
      </c>
      <c r="AA24" s="188" t="str">
        <f>IF(L24="","",VLOOKUP($L24,classifications!C:I,7,FALSE))</f>
        <v>Predominantly Rural</v>
      </c>
      <c r="AB24" s="184">
        <f t="shared" si="11"/>
        <v>86.428841112143985</v>
      </c>
      <c r="AC24" s="184">
        <f>IF(AB24="","",IF($I$8="A",(RANK(AB24,AB$11:AB$368)+COUNTIF(AB$11:AB24,AB24)-1),(RANK(AB24,AB$11:AB$368,1)+COUNTIF(AB$11:AB24,AB24)-1)))</f>
        <v>70</v>
      </c>
      <c r="AD24" s="184"/>
      <c r="AE24" s="45">
        <f>IF(I$8="A",(RANK(AG24,AG$11:AG$368,1)+COUNTIF(AG$11:AG24,AG24)-1),(RANK(AG24,AG$11:AG$368)+COUNTIF(AG$11:AG24,AG24)-1))</f>
        <v>7</v>
      </c>
      <c r="AF24" s="1" t="str">
        <f>VLOOKUP(Profile!$J$5,Families!$C:$R,14,FALSE)</f>
        <v>North East Derbyshire</v>
      </c>
      <c r="AG24" s="96">
        <f t="shared" si="12"/>
        <v>79.98234966638357</v>
      </c>
      <c r="AH24" s="46">
        <f t="shared" si="21"/>
        <v>7</v>
      </c>
      <c r="AI24" s="38" t="str">
        <f>IF(L24="","",VLOOKUP($L24,classifications!$C:$J,8,FALSE))</f>
        <v>Devon</v>
      </c>
      <c r="AJ24" s="39" t="str">
        <f t="shared" si="4"/>
        <v/>
      </c>
      <c r="AK24" s="34" t="str">
        <f>IF(AJ24="","",IF(I$8="A",(RANK(AJ24,AJ$11:AJ$368,1)+COUNTIF(AJ$11:AJ24,AJ24)-1),(RANK(AJ24,AJ$11:AJ$368)+COUNTIF(AJ$11:AJ24,AJ24)-1)))</f>
        <v/>
      </c>
      <c r="AL24" s="29" t="str">
        <f t="shared" si="13"/>
        <v/>
      </c>
      <c r="AM24" s="8" t="str">
        <f t="shared" si="5"/>
        <v/>
      </c>
      <c r="AN24" s="8" t="str">
        <f t="shared" si="14"/>
        <v/>
      </c>
      <c r="AP24" s="38" t="str">
        <f>IF(L24="","",VLOOKUP($L24,classifications!$C:$E,3,FALSE))</f>
        <v>South West</v>
      </c>
      <c r="AQ24" s="39" t="str">
        <f t="shared" si="15"/>
        <v/>
      </c>
      <c r="AR24" s="34" t="str">
        <f>IF(AQ24="","",IF(I$8="A",(RANK(AQ24,AQ$11:AQ$368,1)+COUNTIF(AQ$11:AQ24,AQ24)-1),(RANK(AQ24,AQ$11:AQ$368)+COUNTIF(AQ$11:AQ24,AQ24)-1)))</f>
        <v/>
      </c>
      <c r="AS24" s="29">
        <f t="shared" si="16"/>
        <v>14</v>
      </c>
      <c r="AT24" s="34" t="str">
        <f t="shared" si="6"/>
        <v>Rossendale</v>
      </c>
      <c r="AU24" s="39">
        <f t="shared" si="17"/>
        <v>76.422949572140297</v>
      </c>
      <c r="AX24" s="21">
        <f>HLOOKUP($AX$9&amp;$AX$10,Data!$A$1:$ZZ$2000,(MATCH($C24,Data!$A$1:$A$2000,0)),FALSE)</f>
        <v>79.330089108755686</v>
      </c>
      <c r="AY24" s="103"/>
      <c r="AZ24" s="21"/>
    </row>
    <row r="25" spans="1:52">
      <c r="A25" s="56" t="str">
        <f>$D$1&amp;15</f>
        <v>SD15</v>
      </c>
      <c r="B25" s="57" t="str">
        <f>IF(ISERROR(VLOOKUP(A25,classifications!A:C,3,FALSE)),0,VLOOKUP(A25,classifications!A:C,3,FALSE))</f>
        <v>East Devon</v>
      </c>
      <c r="C25" s="8" t="s">
        <v>15</v>
      </c>
      <c r="D25" s="26" t="str">
        <f>VLOOKUP($C25,classifications!$C:$J,4,FALSE)</f>
        <v>SD</v>
      </c>
      <c r="E25" s="26">
        <f>VLOOKUP(C25,classifications!C:K,9,FALSE)</f>
        <v>0</v>
      </c>
      <c r="F25" s="36">
        <f t="shared" si="0"/>
        <v>77.942065091262734</v>
      </c>
      <c r="G25" s="71"/>
      <c r="H25" s="37">
        <f t="shared" si="1"/>
        <v>77.942065091262734</v>
      </c>
      <c r="I25" s="77">
        <f>IF(H25="","",IF($I$8="A",(RANK(H25,H$11:H$368,1)+COUNTIF(H$11:H25,H25)-1),(RANK(H25,H$11:H$368)+COUNTIF(H$11:H25,H25)-1)))</f>
        <v>152</v>
      </c>
      <c r="J25" s="35"/>
      <c r="K25" s="28">
        <f t="shared" si="7"/>
        <v>15</v>
      </c>
      <c r="L25" s="36" t="str">
        <f t="shared" si="2"/>
        <v>High Peak</v>
      </c>
      <c r="M25" s="102">
        <f t="shared" si="22"/>
        <v>86.379262892419391</v>
      </c>
      <c r="N25" s="101">
        <f t="shared" si="23"/>
        <v>86.379262892419391</v>
      </c>
      <c r="O25" s="94">
        <f t="shared" si="8"/>
        <v>86.379262892419391</v>
      </c>
      <c r="P25" s="94" t="str">
        <f t="shared" si="18"/>
        <v/>
      </c>
      <c r="Q25" s="94" t="str">
        <f t="shared" si="19"/>
        <v/>
      </c>
      <c r="R25" s="90" t="str">
        <f t="shared" si="20"/>
        <v/>
      </c>
      <c r="S25" s="37" t="str">
        <f t="shared" si="9"/>
        <v/>
      </c>
      <c r="T25" s="176">
        <f>IF(L25="","",VLOOKUP(L25,classifications!C:K,9,FALSE))</f>
        <v>0</v>
      </c>
      <c r="U25" s="183" t="str">
        <f t="shared" si="10"/>
        <v/>
      </c>
      <c r="V25" s="184" t="str">
        <f>IF(U25="","",IF($I$8="A",(RANK(U25,U$11:U$368)+COUNTIF(U$11:U25,U25)-1),(RANK(U25,U$11:U$368,1)+COUNTIF(U$11:U25,U25)-1)))</f>
        <v/>
      </c>
      <c r="W25" s="185"/>
      <c r="X25" s="38" t="str">
        <f>IF(L25="","",VLOOKUP($L25,classifications!$C:$J,6,FALSE))</f>
        <v xml:space="preserve">Largely Rural (rural including hub towns 50-79%) </v>
      </c>
      <c r="Y25" s="26" t="str">
        <f t="shared" si="3"/>
        <v/>
      </c>
      <c r="Z25" s="34" t="str">
        <f>IF(Y25="","",IF(I$8="A",(RANK(Y25,Y$11:Y$368,1)+COUNTIF(Y$11:Y25,Y25)-1),(RANK(Y25,Y$11:Y$368)+COUNTIF(Y$11:Y25,Y25)-1)))</f>
        <v/>
      </c>
      <c r="AA25" s="188" t="str">
        <f>IF(L25="","",VLOOKUP($L25,classifications!C:I,7,FALSE))</f>
        <v>Predominantly Rural</v>
      </c>
      <c r="AB25" s="184">
        <f t="shared" si="11"/>
        <v>86.379262892419391</v>
      </c>
      <c r="AC25" s="184">
        <f>IF(AB25="","",IF($I$8="A",(RANK(AB25,AB$11:AB$368)+COUNTIF(AB$11:AB25,AB25)-1),(RANK(AB25,AB$11:AB$368,1)+COUNTIF(AB$11:AB25,AB25)-1)))</f>
        <v>69</v>
      </c>
      <c r="AD25" s="184"/>
      <c r="AE25" s="45">
        <f>IF(I$8="A",(RANK(AG25,AG$11:AG$368,1)+COUNTIF(AG$11:AG25,AG25)-1),(RANK(AG25,AG$11:AG$368)+COUNTIF(AG$11:AG25,AG25)-1))</f>
        <v>5</v>
      </c>
      <c r="AF25" s="1" t="str">
        <f>VLOOKUP(Profile!$J$5,Families!$C:$R,15,FALSE)</f>
        <v>Bolsover</v>
      </c>
      <c r="AG25" s="96">
        <f t="shared" si="12"/>
        <v>80.469223947879229</v>
      </c>
      <c r="AH25" s="46">
        <f t="shared" si="21"/>
        <v>5</v>
      </c>
      <c r="AI25" s="38" t="str">
        <f>IF(L25="","",VLOOKUP($L25,classifications!$C:$J,8,FALSE))</f>
        <v>Derbyshire</v>
      </c>
      <c r="AJ25" s="39" t="str">
        <f t="shared" si="4"/>
        <v/>
      </c>
      <c r="AK25" s="34" t="str">
        <f>IF(AJ25="","",IF(I$8="A",(RANK(AJ25,AJ$11:AJ$368,1)+COUNTIF(AJ$11:AJ25,AJ25)-1),(RANK(AJ25,AJ$11:AJ$368)+COUNTIF(AJ$11:AJ25,AJ25)-1)))</f>
        <v/>
      </c>
      <c r="AL25" s="29" t="str">
        <f t="shared" si="13"/>
        <v/>
      </c>
      <c r="AM25" s="8" t="str">
        <f t="shared" si="5"/>
        <v/>
      </c>
      <c r="AN25" s="8" t="str">
        <f t="shared" si="14"/>
        <v/>
      </c>
      <c r="AP25" s="38" t="str">
        <f>IF(L25="","",VLOOKUP($L25,classifications!$C:$E,3,FALSE))</f>
        <v>East Midlands</v>
      </c>
      <c r="AQ25" s="39" t="str">
        <f t="shared" si="15"/>
        <v/>
      </c>
      <c r="AR25" s="34" t="str">
        <f>IF(AQ25="","",IF(I$8="A",(RANK(AQ25,AQ$11:AQ$368,1)+COUNTIF(AQ$11:AQ25,AQ25)-1),(RANK(AQ25,AQ$11:AQ$368)+COUNTIF(AQ$11:AQ25,AQ25)-1)))</f>
        <v/>
      </c>
      <c r="AS25" s="29">
        <f t="shared" si="16"/>
        <v>15</v>
      </c>
      <c r="AT25" s="34" t="str">
        <f t="shared" si="6"/>
        <v>Hyndburn</v>
      </c>
      <c r="AU25" s="39">
        <f t="shared" si="17"/>
        <v>76.18953351514763</v>
      </c>
      <c r="AX25" s="21">
        <f>HLOOKUP($AX$9&amp;$AX$10,Data!$A$1:$ZZ$2000,(MATCH($C25,Data!$A$1:$A$2000,0)),FALSE)</f>
        <v>77.942065091262734</v>
      </c>
      <c r="AY25" s="103"/>
      <c r="AZ25" s="21"/>
    </row>
    <row r="26" spans="1:52">
      <c r="A26" s="56" t="str">
        <f>$D$1&amp;16</f>
        <v>SD16</v>
      </c>
      <c r="B26" s="57" t="str">
        <f>IF(ISERROR(VLOOKUP(A26,classifications!A:C,3,FALSE)),0,VLOOKUP(A26,classifications!A:C,3,FALSE))</f>
        <v>East Hertfordshire</v>
      </c>
      <c r="C26" s="8" t="s">
        <v>258</v>
      </c>
      <c r="D26" s="26" t="str">
        <f>VLOOKUP($C26,classifications!$C:$J,4,FALSE)</f>
        <v>UA</v>
      </c>
      <c r="E26" s="26">
        <f>VLOOKUP(C26,classifications!C:K,9,FALSE)</f>
        <v>0</v>
      </c>
      <c r="F26" s="36">
        <f t="shared" si="0"/>
        <v>84.096740947063921</v>
      </c>
      <c r="G26" s="71"/>
      <c r="H26" s="37" t="str">
        <f t="shared" si="1"/>
        <v/>
      </c>
      <c r="I26" s="77" t="str">
        <f>IF(H26="","",IF($I$8="A",(RANK(H26,H$11:H$368,1)+COUNTIF(H$11:H26,H26)-1),(RANK(H26,H$11:H$368)+COUNTIF(H$11:H26,H26)-1)))</f>
        <v/>
      </c>
      <c r="J26" s="35"/>
      <c r="K26" s="28">
        <f t="shared" si="7"/>
        <v>16</v>
      </c>
      <c r="L26" s="36" t="str">
        <f t="shared" si="2"/>
        <v>Stroud</v>
      </c>
      <c r="M26" s="102">
        <f t="shared" si="22"/>
        <v>86.265798297340964</v>
      </c>
      <c r="N26" s="101">
        <f t="shared" si="23"/>
        <v>86.265798297340964</v>
      </c>
      <c r="O26" s="94">
        <f t="shared" si="8"/>
        <v>86.265798297340964</v>
      </c>
      <c r="P26" s="94" t="str">
        <f t="shared" si="18"/>
        <v/>
      </c>
      <c r="Q26" s="94" t="str">
        <f t="shared" si="19"/>
        <v/>
      </c>
      <c r="R26" s="90" t="str">
        <f t="shared" si="20"/>
        <v/>
      </c>
      <c r="S26" s="37" t="str">
        <f t="shared" si="9"/>
        <v/>
      </c>
      <c r="T26" s="176" t="str">
        <f>IF(L26="","",VLOOKUP(L26,classifications!C:K,9,FALSE))</f>
        <v>Sparse</v>
      </c>
      <c r="U26" s="183">
        <f t="shared" si="10"/>
        <v>86.265798297340964</v>
      </c>
      <c r="V26" s="184">
        <f>IF(U26="","",IF($I$8="A",(RANK(U26,U$11:U$368)+COUNTIF(U$11:U26,U26)-1),(RANK(U26,U$11:U$368,1)+COUNTIF(U$11:U26,U26)-1)))</f>
        <v>70</v>
      </c>
      <c r="W26" s="185"/>
      <c r="X26" s="38" t="str">
        <f>IF(L26="","",VLOOKUP($L26,classifications!$C:$J,6,FALSE))</f>
        <v>Urban with Significant Rural (rural including hub towns 26-49%)</v>
      </c>
      <c r="Y26" s="26" t="str">
        <f t="shared" si="3"/>
        <v/>
      </c>
      <c r="Z26" s="34" t="str">
        <f>IF(Y26="","",IF(I$8="A",(RANK(Y26,Y$11:Y$368,1)+COUNTIF(Y$11:Y26,Y26)-1),(RANK(Y26,Y$11:Y$368)+COUNTIF(Y$11:Y26,Y26)-1)))</f>
        <v/>
      </c>
      <c r="AA26" s="188" t="str">
        <f>IF(L26="","",VLOOKUP($L26,classifications!C:I,7,FALSE))</f>
        <v>Significant Rural</v>
      </c>
      <c r="AB26" s="184" t="str">
        <f t="shared" si="11"/>
        <v/>
      </c>
      <c r="AC26" s="184" t="str">
        <f>IF(AB26="","",IF($I$8="A",(RANK(AB26,AB$11:AB$368)+COUNTIF(AB$11:AB26,AB26)-1),(RANK(AB26,AB$11:AB$368,1)+COUNTIF(AB$11:AB26,AB26)-1)))</f>
        <v/>
      </c>
      <c r="AD26" s="184"/>
      <c r="AE26" s="45">
        <f>IF(I$8="A",(RANK(AG26,AG$11:AG$368,1)+COUNTIF(AG$11:AG26,AG26)-1),(RANK(AG26,AG$11:AG$368)+COUNTIF(AG$11:AG26,AG26)-1))</f>
        <v>14</v>
      </c>
      <c r="AF26" s="1" t="str">
        <f>VLOOKUP(Profile!$J$5,Families!$C:$R,16,FALSE)</f>
        <v>Wyre</v>
      </c>
      <c r="AG26" s="96">
        <f t="shared" si="12"/>
        <v>77.140040482717126</v>
      </c>
      <c r="AH26" s="46">
        <f t="shared" si="21"/>
        <v>14</v>
      </c>
      <c r="AI26" s="38" t="str">
        <f>IF(L26="","",VLOOKUP($L26,classifications!$C:$J,8,FALSE))</f>
        <v>Gloucestershire</v>
      </c>
      <c r="AJ26" s="39" t="str">
        <f t="shared" si="4"/>
        <v/>
      </c>
      <c r="AK26" s="34" t="str">
        <f>IF(AJ26="","",IF(I$8="A",(RANK(AJ26,AJ$11:AJ$368,1)+COUNTIF(AJ$11:AJ26,AJ26)-1),(RANK(AJ26,AJ$11:AJ$368)+COUNTIF(AJ$11:AJ26,AJ26)-1)))</f>
        <v/>
      </c>
      <c r="AL26" s="29" t="str">
        <f t="shared" si="13"/>
        <v/>
      </c>
      <c r="AM26" s="8" t="str">
        <f t="shared" si="5"/>
        <v/>
      </c>
      <c r="AN26" s="8" t="str">
        <f t="shared" si="14"/>
        <v/>
      </c>
      <c r="AP26" s="38" t="str">
        <f>IF(L26="","",VLOOKUP($L26,classifications!$C:$E,3,FALSE))</f>
        <v>South West</v>
      </c>
      <c r="AQ26" s="39" t="str">
        <f t="shared" si="15"/>
        <v/>
      </c>
      <c r="AR26" s="34" t="str">
        <f>IF(AQ26="","",IF(I$8="A",(RANK(AQ26,AQ$11:AQ$368,1)+COUNTIF(AQ$11:AQ26,AQ26)-1),(RANK(AQ26,AQ$11:AQ$368)+COUNTIF(AQ$11:AQ26,AQ26)-1)))</f>
        <v/>
      </c>
      <c r="AS26" s="29">
        <f t="shared" si="16"/>
        <v>16</v>
      </c>
      <c r="AT26" s="34" t="str">
        <f t="shared" si="6"/>
        <v>Pendle</v>
      </c>
      <c r="AU26" s="39">
        <f t="shared" si="17"/>
        <v>75.166650807951314</v>
      </c>
      <c r="AX26" s="21">
        <f>HLOOKUP($AX$9&amp;$AX$10,Data!$A$1:$ZZ$2000,(MATCH($C26,Data!$A$1:$A$2000,0)),FALSE)</f>
        <v>84.096740947063921</v>
      </c>
      <c r="AY26" s="103"/>
      <c r="AZ26" s="21"/>
    </row>
    <row r="27" spans="1:52">
      <c r="A27" s="56" t="str">
        <f>$D$1&amp;17</f>
        <v>SD17</v>
      </c>
      <c r="B27" s="57" t="str">
        <f>IF(ISERROR(VLOOKUP(A27,classifications!A:C,3,FALSE)),0,VLOOKUP(A27,classifications!A:C,3,FALSE))</f>
        <v>East Lindsey</v>
      </c>
      <c r="C27" s="8" t="s">
        <v>259</v>
      </c>
      <c r="D27" s="26" t="str">
        <f>VLOOKUP($C27,classifications!$C:$J,4,FALSE)</f>
        <v>UA</v>
      </c>
      <c r="E27" s="26">
        <f>VLOOKUP(C27,classifications!C:K,9,FALSE)</f>
        <v>0</v>
      </c>
      <c r="F27" s="36">
        <f t="shared" si="0"/>
        <v>76.526094261589989</v>
      </c>
      <c r="G27" s="71"/>
      <c r="H27" s="37" t="str">
        <f t="shared" si="1"/>
        <v/>
      </c>
      <c r="I27" s="77" t="str">
        <f>IF(H27="","",IF($I$8="A",(RANK(H27,H$11:H$368,1)+COUNTIF(H$11:H27,H27)-1),(RANK(H27,H$11:H$368)+COUNTIF(H$11:H27,H27)-1)))</f>
        <v/>
      </c>
      <c r="J27" s="35"/>
      <c r="K27" s="28">
        <f t="shared" si="7"/>
        <v>17</v>
      </c>
      <c r="L27" s="36" t="str">
        <f t="shared" si="2"/>
        <v>Exeter</v>
      </c>
      <c r="M27" s="102">
        <f t="shared" si="22"/>
        <v>86.243288658425897</v>
      </c>
      <c r="N27" s="101">
        <f t="shared" si="23"/>
        <v>86.243288658425897</v>
      </c>
      <c r="O27" s="94">
        <f t="shared" si="8"/>
        <v>86.243288658425897</v>
      </c>
      <c r="P27" s="94" t="str">
        <f t="shared" si="18"/>
        <v/>
      </c>
      <c r="Q27" s="94" t="str">
        <f t="shared" si="19"/>
        <v/>
      </c>
      <c r="R27" s="90" t="str">
        <f t="shared" si="20"/>
        <v/>
      </c>
      <c r="S27" s="37" t="str">
        <f t="shared" si="9"/>
        <v/>
      </c>
      <c r="T27" s="176">
        <f>IF(L27="","",VLOOKUP(L27,classifications!C:K,9,FALSE))</f>
        <v>0</v>
      </c>
      <c r="U27" s="183" t="str">
        <f t="shared" si="10"/>
        <v/>
      </c>
      <c r="V27" s="184" t="str">
        <f>IF(U27="","",IF($I$8="A",(RANK(U27,U$11:U$368)+COUNTIF(U$11:U27,U27)-1),(RANK(U27,U$11:U$368,1)+COUNTIF(U$11:U27,U27)-1)))</f>
        <v/>
      </c>
      <c r="W27" s="185"/>
      <c r="X27" s="38" t="str">
        <f>IF(L27="","",VLOOKUP($L27,classifications!$C:$J,6,FALSE))</f>
        <v>Urban with City and Town</v>
      </c>
      <c r="Y27" s="26" t="str">
        <f t="shared" si="3"/>
        <v/>
      </c>
      <c r="Z27" s="34" t="str">
        <f>IF(Y27="","",IF(I$8="A",(RANK(Y27,Y$11:Y$368,1)+COUNTIF(Y$11:Y27,Y27)-1),(RANK(Y27,Y$11:Y$368)+COUNTIF(Y$11:Y27,Y27)-1)))</f>
        <v/>
      </c>
      <c r="AA27" s="188" t="str">
        <f>IF(L27="","",VLOOKUP($L27,classifications!C:I,7,FALSE))</f>
        <v>Predominantly Urban</v>
      </c>
      <c r="AB27" s="184" t="str">
        <f t="shared" si="11"/>
        <v/>
      </c>
      <c r="AC27" s="184" t="str">
        <f>IF(AB27="","",IF($I$8="A",(RANK(AB27,AB$11:AB$368)+COUNTIF(AB$11:AB27,AB27)-1),(RANK(AB27,AB$11:AB$368,1)+COUNTIF(AB$11:AB27,AB27)-1)))</f>
        <v/>
      </c>
      <c r="AD27" s="184"/>
      <c r="AE27" s="28"/>
      <c r="AF27" s="1"/>
      <c r="AG27" s="96"/>
      <c r="AH27" s="29"/>
      <c r="AI27" s="38" t="str">
        <f>IF(L27="","",VLOOKUP($L27,classifications!$C:$J,8,FALSE))</f>
        <v>Devon</v>
      </c>
      <c r="AJ27" s="39" t="str">
        <f t="shared" si="4"/>
        <v/>
      </c>
      <c r="AK27" s="34" t="str">
        <f>IF(AJ27="","",IF(I$8="A",(RANK(AJ27,AJ$11:AJ$368,1)+COUNTIF(AJ$11:AJ27,AJ27)-1),(RANK(AJ27,AJ$11:AJ$368)+COUNTIF(AJ$11:AJ27,AJ27)-1)))</f>
        <v/>
      </c>
      <c r="AL27" s="29" t="str">
        <f t="shared" si="13"/>
        <v/>
      </c>
      <c r="AM27" s="8" t="str">
        <f t="shared" si="5"/>
        <v/>
      </c>
      <c r="AN27" s="8" t="str">
        <f t="shared" si="14"/>
        <v/>
      </c>
      <c r="AP27" s="38" t="str">
        <f>IF(L27="","",VLOOKUP($L27,classifications!$C:$E,3,FALSE))</f>
        <v>South West</v>
      </c>
      <c r="AQ27" s="39" t="str">
        <f t="shared" si="15"/>
        <v/>
      </c>
      <c r="AR27" s="34" t="str">
        <f>IF(AQ27="","",IF(I$8="A",(RANK(AQ27,AQ$11:AQ$368,1)+COUNTIF(AQ$11:AQ27,AQ27)-1),(RANK(AQ27,AQ$11:AQ$368)+COUNTIF(AQ$11:AQ27,AQ27)-1)))</f>
        <v/>
      </c>
      <c r="AS27" s="29">
        <f t="shared" si="16"/>
        <v>17</v>
      </c>
      <c r="AT27" s="34" t="str">
        <f t="shared" si="6"/>
        <v>West Lancashire</v>
      </c>
      <c r="AU27" s="39">
        <f t="shared" si="17"/>
        <v>74.741479084428349</v>
      </c>
      <c r="AX27" s="21">
        <f>HLOOKUP($AX$9&amp;$AX$10,Data!$A$1:$ZZ$2000,(MATCH($C27,Data!$A$1:$A$2000,0)),FALSE)</f>
        <v>76.526094261589989</v>
      </c>
      <c r="AY27" s="103"/>
      <c r="AZ27" s="21"/>
    </row>
    <row r="28" spans="1:52">
      <c r="A28" s="56" t="str">
        <f>$D$1&amp;18</f>
        <v>SD18</v>
      </c>
      <c r="B28" s="57" t="str">
        <f>IF(ISERROR(VLOOKUP(A28,classifications!A:C,3,FALSE)),0,VLOOKUP(A28,classifications!A:C,3,FALSE))</f>
        <v>East Northamptonshire</v>
      </c>
      <c r="C28" s="8" t="s">
        <v>197</v>
      </c>
      <c r="D28" s="26" t="str">
        <f>VLOOKUP($C28,classifications!$C:$J,4,FALSE)</f>
        <v>L</v>
      </c>
      <c r="E28" s="26">
        <f>VLOOKUP(C28,classifications!C:K,9,FALSE)</f>
        <v>0</v>
      </c>
      <c r="F28" s="36">
        <f t="shared" si="0"/>
        <v>78.800086403791639</v>
      </c>
      <c r="G28" s="71"/>
      <c r="H28" s="37" t="str">
        <f t="shared" si="1"/>
        <v/>
      </c>
      <c r="I28" s="77" t="str">
        <f>IF(H28="","",IF($I$8="A",(RANK(H28,H$11:H$368,1)+COUNTIF(H$11:H28,H28)-1),(RANK(H28,H$11:H$368)+COUNTIF(H$11:H28,H28)-1)))</f>
        <v/>
      </c>
      <c r="J28" s="35"/>
      <c r="K28" s="28">
        <f t="shared" si="7"/>
        <v>18</v>
      </c>
      <c r="L28" s="36" t="str">
        <f t="shared" si="2"/>
        <v>South Oxfordshire</v>
      </c>
      <c r="M28" s="102">
        <f t="shared" si="22"/>
        <v>86.042324820859747</v>
      </c>
      <c r="N28" s="101">
        <f t="shared" si="23"/>
        <v>86.042324820859747</v>
      </c>
      <c r="O28" s="94">
        <f t="shared" si="8"/>
        <v>86.042324820859747</v>
      </c>
      <c r="P28" s="94" t="str">
        <f t="shared" si="18"/>
        <v/>
      </c>
      <c r="Q28" s="94" t="str">
        <f t="shared" si="19"/>
        <v/>
      </c>
      <c r="R28" s="90" t="str">
        <f t="shared" si="20"/>
        <v/>
      </c>
      <c r="S28" s="37" t="str">
        <f t="shared" si="9"/>
        <v/>
      </c>
      <c r="T28" s="176" t="str">
        <f>IF(L28="","",VLOOKUP(L28,classifications!C:K,9,FALSE))</f>
        <v>Sparse</v>
      </c>
      <c r="U28" s="183">
        <f t="shared" si="10"/>
        <v>86.042324820859747</v>
      </c>
      <c r="V28" s="184">
        <f>IF(U28="","",IF($I$8="A",(RANK(U28,U$11:U$368)+COUNTIF(U$11:U28,U28)-1),(RANK(U28,U$11:U$368,1)+COUNTIF(U$11:U28,U28)-1)))</f>
        <v>69</v>
      </c>
      <c r="W28" s="185"/>
      <c r="X28" s="38" t="str">
        <f>IF(L28="","",VLOOKUP($L28,classifications!$C:$J,6,FALSE))</f>
        <v xml:space="preserve">Mainly Rural (rural including hub towns &gt;=80%) </v>
      </c>
      <c r="Y28" s="26">
        <f t="shared" si="3"/>
        <v>86.042324820859747</v>
      </c>
      <c r="Z28" s="34">
        <f>IF(Y28="","",IF(I$8="A",(RANK(Y28,Y$11:Y$368,1)+COUNTIF(Y$11:Y28,Y28)-1),(RANK(Y28,Y$11:Y$368)+COUNTIF(Y$11:Y28,Y28)-1)))</f>
        <v>4</v>
      </c>
      <c r="AA28" s="188" t="str">
        <f>IF(L28="","",VLOOKUP($L28,classifications!C:I,7,FALSE))</f>
        <v>Predominantly Rural</v>
      </c>
      <c r="AB28" s="184">
        <f t="shared" si="11"/>
        <v>86.042324820859747</v>
      </c>
      <c r="AC28" s="184">
        <f>IF(AB28="","",IF($I$8="A",(RANK(AB28,AB$11:AB$368)+COUNTIF(AB$11:AB28,AB28)-1),(RANK(AB28,AB$11:AB$368,1)+COUNTIF(AB$11:AB28,AB28)-1)))</f>
        <v>68</v>
      </c>
      <c r="AD28" s="184"/>
      <c r="AE28" s="28"/>
      <c r="AF28" s="1"/>
      <c r="AG28" s="96"/>
      <c r="AH28" s="29"/>
      <c r="AI28" s="38" t="str">
        <f>IF(L28="","",VLOOKUP($L28,classifications!$C:$J,8,FALSE))</f>
        <v>Oxfordshire</v>
      </c>
      <c r="AJ28" s="39" t="str">
        <f t="shared" si="4"/>
        <v/>
      </c>
      <c r="AK28" s="34" t="str">
        <f>IF(AJ28="","",IF(I$8="A",(RANK(AJ28,AJ$11:AJ$368,1)+COUNTIF(AJ$11:AJ28,AJ28)-1),(RANK(AJ28,AJ$11:AJ$368)+COUNTIF(AJ$11:AJ28,AJ28)-1)))</f>
        <v/>
      </c>
      <c r="AL28" s="29" t="str">
        <f t="shared" si="13"/>
        <v/>
      </c>
      <c r="AM28" s="8" t="str">
        <f t="shared" si="5"/>
        <v/>
      </c>
      <c r="AN28" s="8" t="str">
        <f t="shared" si="14"/>
        <v/>
      </c>
      <c r="AP28" s="38" t="str">
        <f>IF(L28="","",VLOOKUP($L28,classifications!$C:$E,3,FALSE))</f>
        <v>South East</v>
      </c>
      <c r="AQ28" s="39" t="str">
        <f t="shared" si="15"/>
        <v/>
      </c>
      <c r="AR28" s="34" t="str">
        <f>IF(AQ28="","",IF(I$8="A",(RANK(AQ28,AQ$11:AQ$368,1)+COUNTIF(AQ$11:AQ28,AQ28)-1),(RANK(AQ28,AQ$11:AQ$368)+COUNTIF(AQ$11:AQ28,AQ28)-1)))</f>
        <v/>
      </c>
      <c r="AS28" s="29">
        <f t="shared" si="16"/>
        <v>18</v>
      </c>
      <c r="AT28" s="34" t="str">
        <f t="shared" si="6"/>
        <v>Burnley</v>
      </c>
      <c r="AU28" s="39">
        <f t="shared" si="17"/>
        <v>73.809805282781127</v>
      </c>
      <c r="AX28" s="21">
        <f>HLOOKUP($AX$9&amp;$AX$10,Data!$A$1:$ZZ$2000,(MATCH($C28,Data!$A$1:$A$2000,0)),FALSE)</f>
        <v>78.800086403791639</v>
      </c>
      <c r="AY28" s="103"/>
      <c r="AZ28" s="21"/>
    </row>
    <row r="29" spans="1:52">
      <c r="A29" s="56" t="str">
        <f>$D$1&amp;19</f>
        <v>SD19</v>
      </c>
      <c r="B29" s="57" t="str">
        <f>IF(ISERROR(VLOOKUP(A29,classifications!A:C,3,FALSE)),0,VLOOKUP(A29,classifications!A:C,3,FALSE))</f>
        <v>East Suffolk</v>
      </c>
      <c r="C29" s="8" t="s">
        <v>223</v>
      </c>
      <c r="D29" s="26" t="str">
        <f>VLOOKUP($C29,classifications!$C:$J,4,FALSE)</f>
        <v>MD</v>
      </c>
      <c r="E29" s="26">
        <f>VLOOKUP(C29,classifications!C:K,9,FALSE)</f>
        <v>0</v>
      </c>
      <c r="F29" s="36">
        <f t="shared" si="0"/>
        <v>75.384495270834634</v>
      </c>
      <c r="G29" s="71"/>
      <c r="H29" s="37" t="str">
        <f t="shared" si="1"/>
        <v/>
      </c>
      <c r="I29" s="77" t="str">
        <f>IF(H29="","",IF($I$8="A",(RANK(H29,H$11:H$368,1)+COUNTIF(H$11:H29,H29)-1),(RANK(H29,H$11:H$368)+COUNTIF(H$11:H29,H29)-1)))</f>
        <v/>
      </c>
      <c r="J29" s="35"/>
      <c r="K29" s="28">
        <f t="shared" si="7"/>
        <v>19</v>
      </c>
      <c r="L29" s="36" t="str">
        <f t="shared" si="2"/>
        <v>Colchester</v>
      </c>
      <c r="M29" s="102">
        <f t="shared" si="22"/>
        <v>85.935779844222566</v>
      </c>
      <c r="N29" s="101">
        <f t="shared" si="23"/>
        <v>85.935779844222566</v>
      </c>
      <c r="O29" s="94">
        <f t="shared" si="8"/>
        <v>85.935779844222566</v>
      </c>
      <c r="P29" s="94" t="str">
        <f t="shared" si="18"/>
        <v/>
      </c>
      <c r="Q29" s="94" t="str">
        <f t="shared" si="19"/>
        <v/>
      </c>
      <c r="R29" s="90" t="str">
        <f t="shared" si="20"/>
        <v/>
      </c>
      <c r="S29" s="37" t="str">
        <f t="shared" si="9"/>
        <v/>
      </c>
      <c r="T29" s="176">
        <f>IF(L29="","",VLOOKUP(L29,classifications!C:K,9,FALSE))</f>
        <v>0</v>
      </c>
      <c r="U29" s="183" t="str">
        <f t="shared" si="10"/>
        <v/>
      </c>
      <c r="V29" s="184" t="str">
        <f>IF(U29="","",IF($I$8="A",(RANK(U29,U$11:U$368)+COUNTIF(U$11:U29,U29)-1),(RANK(U29,U$11:U$368,1)+COUNTIF(U$11:U29,U29)-1)))</f>
        <v/>
      </c>
      <c r="W29" s="185"/>
      <c r="X29" s="38" t="str">
        <f>IF(L29="","",VLOOKUP($L29,classifications!$C:$J,6,FALSE))</f>
        <v>Urban with Significant Rural (rural including hub towns 26-49%)</v>
      </c>
      <c r="Y29" s="26" t="str">
        <f t="shared" si="3"/>
        <v/>
      </c>
      <c r="Z29" s="34" t="str">
        <f>IF(Y29="","",IF(I$8="A",(RANK(Y29,Y$11:Y$368,1)+COUNTIF(Y$11:Y29,Y29)-1),(RANK(Y29,Y$11:Y$368)+COUNTIF(Y$11:Y29,Y29)-1)))</f>
        <v/>
      </c>
      <c r="AA29" s="188" t="str">
        <f>IF(L29="","",VLOOKUP($L29,classifications!C:I,7,FALSE))</f>
        <v>Significant Rural</v>
      </c>
      <c r="AB29" s="184" t="str">
        <f t="shared" si="11"/>
        <v/>
      </c>
      <c r="AC29" s="184" t="str">
        <f>IF(AB29="","",IF($I$8="A",(RANK(AB29,AB$11:AB$368)+COUNTIF(AB$11:AB29,AB29)-1),(RANK(AB29,AB$11:AB$368,1)+COUNTIF(AB$11:AB29,AB29)-1)))</f>
        <v/>
      </c>
      <c r="AD29" s="184"/>
      <c r="AE29" s="28"/>
      <c r="AF29" s="1"/>
      <c r="AG29" s="96"/>
      <c r="AH29" s="29"/>
      <c r="AI29" s="38" t="str">
        <f>IF(L29="","",VLOOKUP($L29,classifications!$C:$J,8,FALSE))</f>
        <v>Essex</v>
      </c>
      <c r="AJ29" s="39" t="str">
        <f t="shared" si="4"/>
        <v/>
      </c>
      <c r="AK29" s="34" t="str">
        <f>IF(AJ29="","",IF(I$8="A",(RANK(AJ29,AJ$11:AJ$368,1)+COUNTIF(AJ$11:AJ29,AJ29)-1),(RANK(AJ29,AJ$11:AJ$368)+COUNTIF(AJ$11:AJ29,AJ29)-1)))</f>
        <v/>
      </c>
      <c r="AL29" s="29" t="str">
        <f t="shared" si="13"/>
        <v/>
      </c>
      <c r="AM29" s="8" t="str">
        <f t="shared" si="5"/>
        <v/>
      </c>
      <c r="AN29" s="8" t="str">
        <f t="shared" si="14"/>
        <v/>
      </c>
      <c r="AP29" s="38" t="str">
        <f>IF(L29="","",VLOOKUP($L29,classifications!$C:$E,3,FALSE))</f>
        <v>East of England</v>
      </c>
      <c r="AQ29" s="39" t="str">
        <f t="shared" si="15"/>
        <v/>
      </c>
      <c r="AR29" s="34" t="str">
        <f>IF(AQ29="","",IF(I$8="A",(RANK(AQ29,AQ$11:AQ$368,1)+COUNTIF(AQ$11:AQ29,AQ29)-1),(RANK(AQ29,AQ$11:AQ$368)+COUNTIF(AQ$11:AQ29,AQ29)-1)))</f>
        <v/>
      </c>
      <c r="AS29" s="29" t="str">
        <f t="shared" si="16"/>
        <v/>
      </c>
      <c r="AT29" s="34" t="str">
        <f t="shared" si="6"/>
        <v/>
      </c>
      <c r="AU29" s="39" t="str">
        <f t="shared" si="17"/>
        <v/>
      </c>
      <c r="AX29" s="21">
        <f>HLOOKUP($AX$9&amp;$AX$10,Data!$A$1:$ZZ$2000,(MATCH($C29,Data!$A$1:$A$2000,0)),FALSE)</f>
        <v>75.384495270834634</v>
      </c>
      <c r="AY29" s="103"/>
      <c r="AZ29" s="21"/>
    </row>
    <row r="30" spans="1:52">
      <c r="A30" s="56" t="str">
        <f>$D$1&amp;20</f>
        <v>SD20</v>
      </c>
      <c r="B30" s="57" t="str">
        <f>IF(ISERROR(VLOOKUP(A30,classifications!A:C,3,FALSE)),0,VLOOKUP(A30,classifications!A:C,3,FALSE))</f>
        <v>Eden</v>
      </c>
      <c r="C30" s="8" t="s">
        <v>16</v>
      </c>
      <c r="D30" s="26" t="str">
        <f>VLOOKUP($C30,classifications!$C:$J,4,FALSE)</f>
        <v>SD</v>
      </c>
      <c r="E30" s="26">
        <f>VLOOKUP(C30,classifications!C:K,9,FALSE)</f>
        <v>0</v>
      </c>
      <c r="F30" s="36">
        <f t="shared" si="0"/>
        <v>79.438780140503624</v>
      </c>
      <c r="G30" s="71"/>
      <c r="H30" s="37">
        <f t="shared" si="1"/>
        <v>79.438780140503624</v>
      </c>
      <c r="I30" s="77">
        <f>IF(H30="","",IF($I$8="A",(RANK(H30,H$11:H$368,1)+COUNTIF(H$11:H30,H30)-1),(RANK(H30,H$11:H$368)+COUNTIF(H$11:H30,H30)-1)))</f>
        <v>129</v>
      </c>
      <c r="J30" s="35"/>
      <c r="K30" s="28">
        <f t="shared" si="7"/>
        <v>20</v>
      </c>
      <c r="L30" s="36" t="str">
        <f t="shared" si="2"/>
        <v>Mole Valley</v>
      </c>
      <c r="M30" s="102">
        <f t="shared" si="22"/>
        <v>85.933136408770679</v>
      </c>
      <c r="N30" s="101">
        <f t="shared" si="23"/>
        <v>85.933136408770679</v>
      </c>
      <c r="O30" s="94">
        <f t="shared" si="8"/>
        <v>85.933136408770679</v>
      </c>
      <c r="P30" s="94" t="str">
        <f t="shared" si="18"/>
        <v/>
      </c>
      <c r="Q30" s="94" t="str">
        <f t="shared" si="19"/>
        <v/>
      </c>
      <c r="R30" s="90" t="str">
        <f t="shared" si="20"/>
        <v/>
      </c>
      <c r="S30" s="37" t="str">
        <f t="shared" si="9"/>
        <v/>
      </c>
      <c r="T30" s="176">
        <f>IF(L30="","",VLOOKUP(L30,classifications!C:K,9,FALSE))</f>
        <v>0</v>
      </c>
      <c r="U30" s="183" t="str">
        <f t="shared" si="10"/>
        <v/>
      </c>
      <c r="V30" s="184" t="str">
        <f>IF(U30="","",IF($I$8="A",(RANK(U30,U$11:U$368)+COUNTIF(U$11:U30,U30)-1),(RANK(U30,U$11:U$368,1)+COUNTIF(U$11:U30,U30)-1)))</f>
        <v/>
      </c>
      <c r="W30" s="185"/>
      <c r="X30" s="38" t="str">
        <f>IF(L30="","",VLOOKUP($L30,classifications!$C:$J,6,FALSE))</f>
        <v>Urban with Significant Rural (rural including hub towns 26-49%)</v>
      </c>
      <c r="Y30" s="26" t="str">
        <f t="shared" si="3"/>
        <v/>
      </c>
      <c r="Z30" s="34" t="str">
        <f>IF(Y30="","",IF(I$8="A",(RANK(Y30,Y$11:Y$368,1)+COUNTIF(Y$11:Y30,Y30)-1),(RANK(Y30,Y$11:Y$368)+COUNTIF(Y$11:Y30,Y30)-1)))</f>
        <v/>
      </c>
      <c r="AA30" s="188" t="str">
        <f>IF(L30="","",VLOOKUP($L30,classifications!C:I,7,FALSE))</f>
        <v>Significant Rural</v>
      </c>
      <c r="AB30" s="184" t="str">
        <f t="shared" si="11"/>
        <v/>
      </c>
      <c r="AC30" s="184" t="str">
        <f>IF(AB30="","",IF($I$8="A",(RANK(AB30,AB$11:AB$368)+COUNTIF(AB$11:AB30,AB30)-1),(RANK(AB30,AB$11:AB$368,1)+COUNTIF(AB$11:AB30,AB30)-1)))</f>
        <v/>
      </c>
      <c r="AD30" s="184"/>
      <c r="AE30" s="28"/>
      <c r="AF30" s="1"/>
      <c r="AG30" s="96"/>
      <c r="AH30" s="29"/>
      <c r="AI30" s="38" t="str">
        <f>IF(L30="","",VLOOKUP($L30,classifications!$C:$J,8,FALSE))</f>
        <v>Surrey</v>
      </c>
      <c r="AJ30" s="39" t="str">
        <f t="shared" si="4"/>
        <v/>
      </c>
      <c r="AK30" s="34" t="str">
        <f>IF(AJ30="","",IF(I$8="A",(RANK(AJ30,AJ$11:AJ$368,1)+COUNTIF(AJ$11:AJ30,AJ30)-1),(RANK(AJ30,AJ$11:AJ$368)+COUNTIF(AJ$11:AJ30,AJ30)-1)))</f>
        <v/>
      </c>
      <c r="AL30" s="29" t="str">
        <f t="shared" si="13"/>
        <v/>
      </c>
      <c r="AM30" s="8" t="str">
        <f t="shared" si="5"/>
        <v/>
      </c>
      <c r="AN30" s="8" t="str">
        <f t="shared" si="14"/>
        <v/>
      </c>
      <c r="AP30" s="38" t="str">
        <f>IF(L30="","",VLOOKUP($L30,classifications!$C:$E,3,FALSE))</f>
        <v>South East</v>
      </c>
      <c r="AQ30" s="39" t="str">
        <f t="shared" si="15"/>
        <v/>
      </c>
      <c r="AR30" s="34" t="str">
        <f>IF(AQ30="","",IF(I$8="A",(RANK(AQ30,AQ$11:AQ$368,1)+COUNTIF(AQ$11:AQ30,AQ30)-1),(RANK(AQ30,AQ$11:AQ$368)+COUNTIF(AQ$11:AQ30,AQ30)-1)))</f>
        <v/>
      </c>
      <c r="AS30" s="29" t="str">
        <f t="shared" si="16"/>
        <v/>
      </c>
      <c r="AT30" s="34" t="str">
        <f t="shared" si="6"/>
        <v/>
      </c>
      <c r="AU30" s="39" t="str">
        <f t="shared" si="17"/>
        <v/>
      </c>
      <c r="AX30" s="21">
        <f>HLOOKUP($AX$9&amp;$AX$10,Data!$A$1:$ZZ$2000,(MATCH($C30,Data!$A$1:$A$2000,0)),FALSE)</f>
        <v>79.438780140503624</v>
      </c>
      <c r="AY30" s="103"/>
      <c r="AZ30" s="21"/>
    </row>
    <row r="31" spans="1:52">
      <c r="A31" s="56" t="str">
        <f>$D$1&amp;21</f>
        <v>SD21</v>
      </c>
      <c r="B31" s="57" t="str">
        <f>IF(ISERROR(VLOOKUP(A31,classifications!A:C,3,FALSE)),0,VLOOKUP(A31,classifications!A:C,3,FALSE))</f>
        <v>Forest Heath</v>
      </c>
      <c r="C31" s="8" t="s">
        <v>260</v>
      </c>
      <c r="D31" s="26" t="str">
        <f>VLOOKUP($C31,classifications!$C:$J,4,FALSE)</f>
        <v>UA</v>
      </c>
      <c r="E31" s="26">
        <f>VLOOKUP(C31,classifications!C:K,9,FALSE)</f>
        <v>0</v>
      </c>
      <c r="F31" s="36">
        <f t="shared" si="0"/>
        <v>69.59905132854793</v>
      </c>
      <c r="G31" s="71"/>
      <c r="H31" s="37" t="str">
        <f t="shared" si="1"/>
        <v/>
      </c>
      <c r="I31" s="77" t="str">
        <f>IF(H31="","",IF($I$8="A",(RANK(H31,H$11:H$368,1)+COUNTIF(H$11:H31,H31)-1),(RANK(H31,H$11:H$368)+COUNTIF(H$11:H31,H31)-1)))</f>
        <v/>
      </c>
      <c r="J31" s="35"/>
      <c r="K31" s="28">
        <f t="shared" si="7"/>
        <v>21</v>
      </c>
      <c r="L31" s="36" t="str">
        <f t="shared" si="2"/>
        <v>Cambridge</v>
      </c>
      <c r="M31" s="102">
        <f t="shared" si="22"/>
        <v>85.86811617148318</v>
      </c>
      <c r="N31" s="101">
        <f t="shared" si="23"/>
        <v>85.86811617148318</v>
      </c>
      <c r="O31" s="94">
        <f t="shared" si="8"/>
        <v>85.86811617148318</v>
      </c>
      <c r="P31" s="94" t="str">
        <f t="shared" si="18"/>
        <v/>
      </c>
      <c r="Q31" s="94" t="str">
        <f t="shared" si="19"/>
        <v/>
      </c>
      <c r="R31" s="90" t="str">
        <f t="shared" si="20"/>
        <v/>
      </c>
      <c r="S31" s="37" t="str">
        <f t="shared" si="9"/>
        <v/>
      </c>
      <c r="T31" s="176">
        <f>IF(L31="","",VLOOKUP(L31,classifications!C:K,9,FALSE))</f>
        <v>0</v>
      </c>
      <c r="U31" s="183" t="str">
        <f t="shared" si="10"/>
        <v/>
      </c>
      <c r="V31" s="184" t="str">
        <f>IF(U31="","",IF($I$8="A",(RANK(U31,U$11:U$368)+COUNTIF(U$11:U31,U31)-1),(RANK(U31,U$11:U$368,1)+COUNTIF(U$11:U31,U31)-1)))</f>
        <v/>
      </c>
      <c r="W31" s="185"/>
      <c r="X31" s="38" t="str">
        <f>IF(L31="","",VLOOKUP($L31,classifications!$C:$J,6,FALSE))</f>
        <v>Urban with City and Town</v>
      </c>
      <c r="Y31" s="26" t="str">
        <f t="shared" si="3"/>
        <v/>
      </c>
      <c r="Z31" s="34" t="str">
        <f>IF(Y31="","",IF(I$8="A",(RANK(Y31,Y$11:Y$368,1)+COUNTIF(Y$11:Y31,Y31)-1),(RANK(Y31,Y$11:Y$368)+COUNTIF(Y$11:Y31,Y31)-1)))</f>
        <v/>
      </c>
      <c r="AA31" s="188" t="str">
        <f>IF(L31="","",VLOOKUP($L31,classifications!C:I,7,FALSE))</f>
        <v>Predominantly Urban</v>
      </c>
      <c r="AB31" s="184" t="str">
        <f t="shared" si="11"/>
        <v/>
      </c>
      <c r="AC31" s="184" t="str">
        <f>IF(AB31="","",IF($I$8="A",(RANK(AB31,AB$11:AB$368)+COUNTIF(AB$11:AB31,AB31)-1),(RANK(AB31,AB$11:AB$368,1)+COUNTIF(AB$11:AB31,AB31)-1)))</f>
        <v/>
      </c>
      <c r="AD31" s="184"/>
      <c r="AE31" s="28"/>
      <c r="AF31" s="1"/>
      <c r="AG31" s="96"/>
      <c r="AH31" s="29"/>
      <c r="AI31" s="38" t="str">
        <f>IF(L31="","",VLOOKUP($L31,classifications!$C:$J,8,FALSE))</f>
        <v>Cambridgeshire</v>
      </c>
      <c r="AJ31" s="39" t="str">
        <f t="shared" si="4"/>
        <v/>
      </c>
      <c r="AK31" s="34" t="str">
        <f>IF(AJ31="","",IF(I$8="A",(RANK(AJ31,AJ$11:AJ$368,1)+COUNTIF(AJ$11:AJ31,AJ31)-1),(RANK(AJ31,AJ$11:AJ$368)+COUNTIF(AJ$11:AJ31,AJ31)-1)))</f>
        <v/>
      </c>
      <c r="AL31" s="29" t="str">
        <f t="shared" si="13"/>
        <v/>
      </c>
      <c r="AM31" s="8" t="str">
        <f t="shared" si="5"/>
        <v/>
      </c>
      <c r="AN31" s="8" t="str">
        <f t="shared" si="14"/>
        <v/>
      </c>
      <c r="AP31" s="38" t="str">
        <f>IF(L31="","",VLOOKUP($L31,classifications!$C:$E,3,FALSE))</f>
        <v>East of England</v>
      </c>
      <c r="AQ31" s="39" t="str">
        <f t="shared" si="15"/>
        <v/>
      </c>
      <c r="AR31" s="34" t="str">
        <f>IF(AQ31="","",IF(I$8="A",(RANK(AQ31,AQ$11:AQ$368,1)+COUNTIF(AQ$11:AQ31,AQ31)-1),(RANK(AQ31,AQ$11:AQ$368)+COUNTIF(AQ$11:AQ31,AQ31)-1)))</f>
        <v/>
      </c>
      <c r="AS31" s="29" t="str">
        <f t="shared" si="16"/>
        <v/>
      </c>
      <c r="AT31" s="34" t="str">
        <f t="shared" si="6"/>
        <v/>
      </c>
      <c r="AU31" s="39" t="str">
        <f t="shared" si="17"/>
        <v/>
      </c>
      <c r="AX31" s="21">
        <f>HLOOKUP($AX$9&amp;$AX$10,Data!$A$1:$ZZ$2000,(MATCH($C31,Data!$A$1:$A$2000,0)),FALSE)</f>
        <v>69.59905132854793</v>
      </c>
      <c r="AY31" s="103"/>
      <c r="AZ31" s="21"/>
    </row>
    <row r="32" spans="1:52">
      <c r="A32" s="56" t="str">
        <f>$D$1&amp;22</f>
        <v>SD22</v>
      </c>
      <c r="B32" s="57" t="str">
        <f>IF(ISERROR(VLOOKUP(A32,classifications!A:C,3,FALSE)),0,VLOOKUP(A32,classifications!A:C,3,FALSE))</f>
        <v>Forest of Dean</v>
      </c>
      <c r="C32" s="8" t="s">
        <v>261</v>
      </c>
      <c r="D32" s="26" t="str">
        <f>VLOOKUP($C32,classifications!$C:$J,4,FALSE)</f>
        <v>UA</v>
      </c>
      <c r="E32" s="26">
        <f>VLOOKUP(C32,classifications!C:K,9,FALSE)</f>
        <v>0</v>
      </c>
      <c r="F32" s="36">
        <f t="shared" si="0"/>
        <v>72.326225965618931</v>
      </c>
      <c r="G32" s="71"/>
      <c r="H32" s="37" t="str">
        <f t="shared" si="1"/>
        <v/>
      </c>
      <c r="I32" s="77" t="str">
        <f>IF(H32="","",IF($I$8="A",(RANK(H32,H$11:H$368,1)+COUNTIF(H$11:H32,H32)-1),(RANK(H32,H$11:H$368)+COUNTIF(H$11:H32,H32)-1)))</f>
        <v/>
      </c>
      <c r="J32" s="35"/>
      <c r="K32" s="28">
        <f t="shared" si="7"/>
        <v>22</v>
      </c>
      <c r="L32" s="36" t="str">
        <f t="shared" si="2"/>
        <v>Derbyshire Dales</v>
      </c>
      <c r="M32" s="102">
        <f t="shared" si="22"/>
        <v>85.843279685738466</v>
      </c>
      <c r="N32" s="101">
        <f t="shared" si="23"/>
        <v>85.843279685738466</v>
      </c>
      <c r="O32" s="94">
        <f t="shared" si="8"/>
        <v>85.843279685738466</v>
      </c>
      <c r="P32" s="94" t="str">
        <f t="shared" si="18"/>
        <v/>
      </c>
      <c r="Q32" s="94" t="str">
        <f t="shared" si="19"/>
        <v/>
      </c>
      <c r="R32" s="90" t="str">
        <f t="shared" si="20"/>
        <v/>
      </c>
      <c r="S32" s="37" t="str">
        <f t="shared" si="9"/>
        <v/>
      </c>
      <c r="T32" s="176" t="str">
        <f>IF(L32="","",VLOOKUP(L32,classifications!C:K,9,FALSE))</f>
        <v>Sparse</v>
      </c>
      <c r="U32" s="183">
        <f t="shared" si="10"/>
        <v>85.843279685738466</v>
      </c>
      <c r="V32" s="184">
        <f>IF(U32="","",IF($I$8="A",(RANK(U32,U$11:U$368)+COUNTIF(U$11:U32,U32)-1),(RANK(U32,U$11:U$368,1)+COUNTIF(U$11:U32,U32)-1)))</f>
        <v>68</v>
      </c>
      <c r="W32" s="185"/>
      <c r="X32" s="38" t="str">
        <f>IF(L32="","",VLOOKUP($L32,classifications!$C:$J,6,FALSE))</f>
        <v xml:space="preserve">Mainly Rural (rural including hub towns &gt;=80%) </v>
      </c>
      <c r="Y32" s="26">
        <f t="shared" si="3"/>
        <v>85.843279685738466</v>
      </c>
      <c r="Z32" s="34">
        <f>IF(Y32="","",IF(I$8="A",(RANK(Y32,Y$11:Y$368,1)+COUNTIF(Y$11:Y32,Y32)-1),(RANK(Y32,Y$11:Y$368)+COUNTIF(Y$11:Y32,Y32)-1)))</f>
        <v>5</v>
      </c>
      <c r="AA32" s="188" t="str">
        <f>IF(L32="","",VLOOKUP($L32,classifications!C:I,7,FALSE))</f>
        <v>Predominantly Rural</v>
      </c>
      <c r="AB32" s="184">
        <f t="shared" si="11"/>
        <v>85.843279685738466</v>
      </c>
      <c r="AC32" s="184">
        <f>IF(AB32="","",IF($I$8="A",(RANK(AB32,AB$11:AB$368)+COUNTIF(AB$11:AB32,AB32)-1),(RANK(AB32,AB$11:AB$368,1)+COUNTIF(AB$11:AB32,AB32)-1)))</f>
        <v>67</v>
      </c>
      <c r="AD32" s="184"/>
      <c r="AE32" s="28"/>
      <c r="AG32" s="96"/>
      <c r="AH32" s="29"/>
      <c r="AI32" s="38" t="str">
        <f>IF(L32="","",VLOOKUP($L32,classifications!$C:$J,8,FALSE))</f>
        <v>Derbyshire</v>
      </c>
      <c r="AJ32" s="39" t="str">
        <f t="shared" si="4"/>
        <v/>
      </c>
      <c r="AK32" s="34" t="str">
        <f>IF(AJ32="","",IF(I$8="A",(RANK(AJ32,AJ$11:AJ$368,1)+COUNTIF(AJ$11:AJ32,AJ32)-1),(RANK(AJ32,AJ$11:AJ$368)+COUNTIF(AJ$11:AJ32,AJ32)-1)))</f>
        <v/>
      </c>
      <c r="AL32" s="29" t="str">
        <f t="shared" si="13"/>
        <v/>
      </c>
      <c r="AM32" s="8" t="str">
        <f t="shared" si="5"/>
        <v/>
      </c>
      <c r="AN32" s="8" t="str">
        <f t="shared" si="14"/>
        <v/>
      </c>
      <c r="AP32" s="38" t="str">
        <f>IF(L32="","",VLOOKUP($L32,classifications!$C:$E,3,FALSE))</f>
        <v>East Midlands</v>
      </c>
      <c r="AQ32" s="39" t="str">
        <f t="shared" si="15"/>
        <v/>
      </c>
      <c r="AR32" s="34" t="str">
        <f>IF(AQ32="","",IF(I$8="A",(RANK(AQ32,AQ$11:AQ$368,1)+COUNTIF(AQ$11:AQ32,AQ32)-1),(RANK(AQ32,AQ$11:AQ$368)+COUNTIF(AQ$11:AQ32,AQ32)-1)))</f>
        <v/>
      </c>
      <c r="AS32" s="29" t="str">
        <f t="shared" si="16"/>
        <v/>
      </c>
      <c r="AT32" s="34" t="str">
        <f t="shared" si="6"/>
        <v/>
      </c>
      <c r="AU32" s="39" t="str">
        <f t="shared" si="17"/>
        <v/>
      </c>
      <c r="AX32" s="21">
        <f>HLOOKUP($AX$9&amp;$AX$10,Data!$A$1:$ZZ$2000,(MATCH($C32,Data!$A$1:$A$2000,0)),FALSE)</f>
        <v>72.326225965618931</v>
      </c>
      <c r="AY32" s="103"/>
      <c r="AZ32" s="21"/>
    </row>
    <row r="33" spans="1:52">
      <c r="A33" s="56" t="str">
        <f>$D$1&amp;23</f>
        <v>SD23</v>
      </c>
      <c r="B33" s="57" t="str">
        <f>IF(ISERROR(VLOOKUP(A33,classifications!A:C,3,FALSE)),0,VLOOKUP(A33,classifications!A:C,3,FALSE))</f>
        <v>Hambleton</v>
      </c>
      <c r="C33" s="8" t="s">
        <v>17</v>
      </c>
      <c r="D33" s="26" t="str">
        <f>VLOOKUP($C33,classifications!$C:$J,4,FALSE)</f>
        <v>SD</v>
      </c>
      <c r="E33" s="26">
        <f>VLOOKUP(C33,classifications!C:K,9,FALSE)</f>
        <v>0</v>
      </c>
      <c r="F33" s="36">
        <f t="shared" si="0"/>
        <v>80.469223947879229</v>
      </c>
      <c r="G33" s="71"/>
      <c r="H33" s="37">
        <f t="shared" si="1"/>
        <v>80.469223947879229</v>
      </c>
      <c r="I33" s="77">
        <f>IF(H33="","",IF($I$8="A",(RANK(H33,H$11:H$368,1)+COUNTIF(H$11:H33,H33)-1),(RANK(H33,H$11:H$368)+COUNTIF(H$11:H33,H33)-1)))</f>
        <v>110</v>
      </c>
      <c r="J33" s="35"/>
      <c r="K33" s="28">
        <f t="shared" si="7"/>
        <v>23</v>
      </c>
      <c r="L33" s="36" t="str">
        <f t="shared" si="2"/>
        <v>Hertsmere</v>
      </c>
      <c r="M33" s="102">
        <f t="shared" si="22"/>
        <v>85.480716182285775</v>
      </c>
      <c r="N33" s="101">
        <f t="shared" si="23"/>
        <v>85.480716182285775</v>
      </c>
      <c r="O33" s="94">
        <f t="shared" si="8"/>
        <v>85.480716182285775</v>
      </c>
      <c r="P33" s="94" t="str">
        <f t="shared" si="18"/>
        <v/>
      </c>
      <c r="Q33" s="94" t="str">
        <f t="shared" si="19"/>
        <v/>
      </c>
      <c r="R33" s="90" t="str">
        <f t="shared" si="20"/>
        <v/>
      </c>
      <c r="S33" s="37" t="str">
        <f t="shared" si="9"/>
        <v/>
      </c>
      <c r="T33" s="176">
        <f>IF(L33="","",VLOOKUP(L33,classifications!C:K,9,FALSE))</f>
        <v>0</v>
      </c>
      <c r="U33" s="183" t="str">
        <f t="shared" si="10"/>
        <v/>
      </c>
      <c r="V33" s="184" t="str">
        <f>IF(U33="","",IF($I$8="A",(RANK(U33,U$11:U$368)+COUNTIF(U$11:U33,U33)-1),(RANK(U33,U$11:U$368,1)+COUNTIF(U$11:U33,U33)-1)))</f>
        <v/>
      </c>
      <c r="W33" s="185"/>
      <c r="X33" s="38" t="str">
        <f>IF(L33="","",VLOOKUP($L33,classifications!$C:$J,6,FALSE))</f>
        <v>Urban with Major Conurbation</v>
      </c>
      <c r="Y33" s="26" t="str">
        <f t="shared" si="3"/>
        <v/>
      </c>
      <c r="Z33" s="34" t="str">
        <f>IF(Y33="","",IF(I$8="A",(RANK(Y33,Y$11:Y$368,1)+COUNTIF(Y$11:Y33,Y33)-1),(RANK(Y33,Y$11:Y$368)+COUNTIF(Y$11:Y33,Y33)-1)))</f>
        <v/>
      </c>
      <c r="AA33" s="188" t="str">
        <f>IF(L33="","",VLOOKUP($L33,classifications!C:I,7,FALSE))</f>
        <v>Predominantly Urban</v>
      </c>
      <c r="AB33" s="184" t="str">
        <f t="shared" si="11"/>
        <v/>
      </c>
      <c r="AC33" s="184" t="str">
        <f>IF(AB33="","",IF($I$8="A",(RANK(AB33,AB$11:AB$368)+COUNTIF(AB$11:AB33,AB33)-1),(RANK(AB33,AB$11:AB$368,1)+COUNTIF(AB$11:AB33,AB33)-1)))</f>
        <v/>
      </c>
      <c r="AD33" s="184"/>
      <c r="AE33" s="28"/>
      <c r="AG33" s="96"/>
      <c r="AH33" s="29"/>
      <c r="AI33" s="38" t="str">
        <f>IF(L33="","",VLOOKUP($L33,classifications!$C:$J,8,FALSE))</f>
        <v>Hertfordshire</v>
      </c>
      <c r="AJ33" s="39" t="str">
        <f t="shared" si="4"/>
        <v/>
      </c>
      <c r="AK33" s="34" t="str">
        <f>IF(AJ33="","",IF(I$8="A",(RANK(AJ33,AJ$11:AJ$368,1)+COUNTIF(AJ$11:AJ33,AJ33)-1),(RANK(AJ33,AJ$11:AJ$368)+COUNTIF(AJ$11:AJ33,AJ33)-1)))</f>
        <v/>
      </c>
      <c r="AL33" s="29" t="str">
        <f t="shared" si="13"/>
        <v/>
      </c>
      <c r="AM33" s="8" t="str">
        <f t="shared" si="5"/>
        <v/>
      </c>
      <c r="AN33" s="8" t="str">
        <f t="shared" si="14"/>
        <v/>
      </c>
      <c r="AP33" s="38" t="str">
        <f>IF(L33="","",VLOOKUP($L33,classifications!$C:$E,3,FALSE))</f>
        <v>East of England</v>
      </c>
      <c r="AQ33" s="39" t="str">
        <f t="shared" si="15"/>
        <v/>
      </c>
      <c r="AR33" s="34" t="str">
        <f>IF(AQ33="","",IF(I$8="A",(RANK(AQ33,AQ$11:AQ$368,1)+COUNTIF(AQ$11:AQ33,AQ33)-1),(RANK(AQ33,AQ$11:AQ$368)+COUNTIF(AQ$11:AQ33,AQ33)-1)))</f>
        <v/>
      </c>
      <c r="AS33" s="29" t="str">
        <f t="shared" si="16"/>
        <v/>
      </c>
      <c r="AT33" s="34" t="str">
        <f t="shared" si="6"/>
        <v/>
      </c>
      <c r="AU33" s="39" t="str">
        <f t="shared" si="17"/>
        <v/>
      </c>
      <c r="AX33" s="21">
        <f>HLOOKUP($AX$9&amp;$AX$10,Data!$A$1:$ZZ$2000,(MATCH($C33,Data!$A$1:$A$2000,0)),FALSE)</f>
        <v>80.469223947879229</v>
      </c>
      <c r="AY33" s="103"/>
      <c r="AZ33" s="21"/>
    </row>
    <row r="34" spans="1:52">
      <c r="A34" s="56" t="str">
        <f>$D$1&amp;24</f>
        <v>SD24</v>
      </c>
      <c r="B34" s="57" t="str">
        <f>IF(ISERROR(VLOOKUP(A34,classifications!A:C,3,FALSE)),0,VLOOKUP(A34,classifications!A:C,3,FALSE))</f>
        <v>Harborough</v>
      </c>
      <c r="C34" s="8" t="s">
        <v>224</v>
      </c>
      <c r="D34" s="26" t="str">
        <f>VLOOKUP($C34,classifications!$C:$J,4,FALSE)</f>
        <v>MD</v>
      </c>
      <c r="E34" s="26">
        <f>VLOOKUP(C34,classifications!C:K,9,FALSE)</f>
        <v>0</v>
      </c>
      <c r="F34" s="36">
        <f t="shared" si="0"/>
        <v>71.345752146553195</v>
      </c>
      <c r="G34" s="71"/>
      <c r="H34" s="37" t="str">
        <f t="shared" si="1"/>
        <v/>
      </c>
      <c r="I34" s="77" t="str">
        <f>IF(H34="","",IF($I$8="A",(RANK(H34,H$11:H$368,1)+COUNTIF(H$11:H34,H34)-1),(RANK(H34,H$11:H$368)+COUNTIF(H$11:H34,H34)-1)))</f>
        <v/>
      </c>
      <c r="J34" s="35"/>
      <c r="K34" s="28">
        <f t="shared" si="7"/>
        <v>24</v>
      </c>
      <c r="L34" s="36" t="str">
        <f t="shared" si="2"/>
        <v>Malvern Hills</v>
      </c>
      <c r="M34" s="102">
        <f t="shared" si="22"/>
        <v>85.408739884561712</v>
      </c>
      <c r="N34" s="101">
        <f t="shared" si="23"/>
        <v>85.408739884561712</v>
      </c>
      <c r="O34" s="94">
        <f t="shared" si="8"/>
        <v>85.408739884561712</v>
      </c>
      <c r="P34" s="94" t="str">
        <f t="shared" si="18"/>
        <v/>
      </c>
      <c r="Q34" s="94" t="str">
        <f t="shared" si="19"/>
        <v/>
      </c>
      <c r="R34" s="90" t="str">
        <f t="shared" si="20"/>
        <v/>
      </c>
      <c r="S34" s="37" t="str">
        <f t="shared" si="9"/>
        <v/>
      </c>
      <c r="T34" s="176" t="str">
        <f>IF(L34="","",VLOOKUP(L34,classifications!C:K,9,FALSE))</f>
        <v>Sparse</v>
      </c>
      <c r="U34" s="183">
        <f t="shared" si="10"/>
        <v>85.408739884561712</v>
      </c>
      <c r="V34" s="184">
        <f>IF(U34="","",IF($I$8="A",(RANK(U34,U$11:U$368)+COUNTIF(U$11:U34,U34)-1),(RANK(U34,U$11:U$368,1)+COUNTIF(U$11:U34,U34)-1)))</f>
        <v>67</v>
      </c>
      <c r="W34" s="185"/>
      <c r="X34" s="38" t="str">
        <f>IF(L34="","",VLOOKUP($L34,classifications!$C:$J,6,FALSE))</f>
        <v xml:space="preserve">Largely Rural (rural including hub towns 50-79%) </v>
      </c>
      <c r="Y34" s="26" t="str">
        <f t="shared" si="3"/>
        <v/>
      </c>
      <c r="Z34" s="34" t="str">
        <f>IF(Y34="","",IF(I$8="A",(RANK(Y34,Y$11:Y$368,1)+COUNTIF(Y$11:Y34,Y34)-1),(RANK(Y34,Y$11:Y$368)+COUNTIF(Y$11:Y34,Y34)-1)))</f>
        <v/>
      </c>
      <c r="AA34" s="188" t="str">
        <f>IF(L34="","",VLOOKUP($L34,classifications!C:I,7,FALSE))</f>
        <v>Predominantly Rural</v>
      </c>
      <c r="AB34" s="184">
        <f t="shared" si="11"/>
        <v>85.408739884561712</v>
      </c>
      <c r="AC34" s="184">
        <f>IF(AB34="","",IF($I$8="A",(RANK(AB34,AB$11:AB$368)+COUNTIF(AB$11:AB34,AB34)-1),(RANK(AB34,AB$11:AB$368,1)+COUNTIF(AB$11:AB34,AB34)-1)))</f>
        <v>66</v>
      </c>
      <c r="AD34" s="184"/>
      <c r="AE34" s="28"/>
      <c r="AG34" s="96"/>
      <c r="AH34" s="29"/>
      <c r="AI34" s="38" t="str">
        <f>IF(L34="","",VLOOKUP($L34,classifications!$C:$J,8,FALSE))</f>
        <v>Worcestershire</v>
      </c>
      <c r="AJ34" s="39" t="str">
        <f t="shared" si="4"/>
        <v/>
      </c>
      <c r="AK34" s="34" t="str">
        <f>IF(AJ34="","",IF(I$8="A",(RANK(AJ34,AJ$11:AJ$368,1)+COUNTIF(AJ$11:AJ34,AJ34)-1),(RANK(AJ34,AJ$11:AJ$368)+COUNTIF(AJ$11:AJ34,AJ34)-1)))</f>
        <v/>
      </c>
      <c r="AL34" s="29" t="str">
        <f t="shared" si="13"/>
        <v/>
      </c>
      <c r="AM34" s="8" t="str">
        <f t="shared" si="5"/>
        <v/>
      </c>
      <c r="AN34" s="8" t="str">
        <f t="shared" si="14"/>
        <v/>
      </c>
      <c r="AP34" s="38" t="str">
        <f>IF(L34="","",VLOOKUP($L34,classifications!$C:$E,3,FALSE))</f>
        <v>West Midlands</v>
      </c>
      <c r="AQ34" s="39" t="str">
        <f t="shared" si="15"/>
        <v/>
      </c>
      <c r="AR34" s="34" t="str">
        <f>IF(AQ34="","",IF(I$8="A",(RANK(AQ34,AQ$11:AQ$368,1)+COUNTIF(AQ$11:AQ34,AQ34)-1),(RANK(AQ34,AQ$11:AQ$368)+COUNTIF(AQ$11:AQ34,AQ34)-1)))</f>
        <v/>
      </c>
      <c r="AS34" s="29" t="str">
        <f t="shared" si="16"/>
        <v/>
      </c>
      <c r="AT34" s="34" t="str">
        <f t="shared" si="6"/>
        <v/>
      </c>
      <c r="AU34" s="39" t="str">
        <f t="shared" si="17"/>
        <v/>
      </c>
      <c r="AX34" s="21">
        <f>HLOOKUP($AX$9&amp;$AX$10,Data!$A$1:$ZZ$2000,(MATCH($C34,Data!$A$1:$A$2000,0)),FALSE)</f>
        <v>71.345752146553195</v>
      </c>
      <c r="AY34" s="103"/>
      <c r="AZ34" s="21"/>
    </row>
    <row r="35" spans="1:52">
      <c r="A35" s="56" t="str">
        <f>$D$1&amp;25</f>
        <v>SD25</v>
      </c>
      <c r="B35" s="57" t="str">
        <f>IF(ISERROR(VLOOKUP(A35,classifications!A:C,3,FALSE)),0,VLOOKUP(A35,classifications!A:C,3,FALSE))</f>
        <v>Harrogate</v>
      </c>
      <c r="C35" s="8" t="s">
        <v>18</v>
      </c>
      <c r="D35" s="26" t="str">
        <f>VLOOKUP($C35,classifications!$C:$J,4,FALSE)</f>
        <v>SD</v>
      </c>
      <c r="E35" s="26" t="str">
        <f>VLOOKUP(C35,classifications!C:K,9,FALSE)</f>
        <v>Sparse</v>
      </c>
      <c r="F35" s="36">
        <f t="shared" si="0"/>
        <v>75.385373930125724</v>
      </c>
      <c r="G35" s="71"/>
      <c r="H35" s="37">
        <f t="shared" si="1"/>
        <v>75.385373930125724</v>
      </c>
      <c r="I35" s="77">
        <f>IF(H35="","",IF($I$8="A",(RANK(H35,H$11:H$368,1)+COUNTIF(H$11:H35,H35)-1),(RANK(H35,H$11:H$368)+COUNTIF(H$11:H35,H35)-1)))</f>
        <v>173</v>
      </c>
      <c r="J35" s="35"/>
      <c r="K35" s="28">
        <f t="shared" si="7"/>
        <v>25</v>
      </c>
      <c r="L35" s="36" t="str">
        <f t="shared" si="2"/>
        <v>Rochford</v>
      </c>
      <c r="M35" s="102">
        <f t="shared" si="22"/>
        <v>85.366352980366827</v>
      </c>
      <c r="N35" s="101">
        <f t="shared" si="23"/>
        <v>85.366352980366827</v>
      </c>
      <c r="O35" s="94">
        <f t="shared" si="8"/>
        <v>85.366352980366827</v>
      </c>
      <c r="P35" s="94" t="str">
        <f t="shared" si="18"/>
        <v/>
      </c>
      <c r="Q35" s="94" t="str">
        <f t="shared" si="19"/>
        <v/>
      </c>
      <c r="R35" s="90" t="str">
        <f t="shared" si="20"/>
        <v/>
      </c>
      <c r="S35" s="37" t="str">
        <f t="shared" si="9"/>
        <v/>
      </c>
      <c r="T35" s="176">
        <f>IF(L35="","",VLOOKUP(L35,classifications!C:K,9,FALSE))</f>
        <v>0</v>
      </c>
      <c r="U35" s="183" t="str">
        <f t="shared" si="10"/>
        <v/>
      </c>
      <c r="V35" s="184" t="str">
        <f>IF(U35="","",IF($I$8="A",(RANK(U35,U$11:U$368)+COUNTIF(U$11:U35,U35)-1),(RANK(U35,U$11:U$368,1)+COUNTIF(U$11:U35,U35)-1)))</f>
        <v/>
      </c>
      <c r="W35" s="185"/>
      <c r="X35" s="38" t="str">
        <f>IF(L35="","",VLOOKUP($L35,classifications!$C:$J,6,FALSE))</f>
        <v>Urban with City and Town</v>
      </c>
      <c r="Y35" s="26" t="str">
        <f t="shared" si="3"/>
        <v/>
      </c>
      <c r="Z35" s="34" t="str">
        <f>IF(Y35="","",IF(I$8="A",(RANK(Y35,Y$11:Y$368,1)+COUNTIF(Y$11:Y35,Y35)-1),(RANK(Y35,Y$11:Y$368)+COUNTIF(Y$11:Y35,Y35)-1)))</f>
        <v/>
      </c>
      <c r="AA35" s="188" t="str">
        <f>IF(L35="","",VLOOKUP($L35,classifications!C:I,7,FALSE))</f>
        <v>Predominantly Urban</v>
      </c>
      <c r="AB35" s="184" t="str">
        <f t="shared" si="11"/>
        <v/>
      </c>
      <c r="AC35" s="184" t="str">
        <f>IF(AB35="","",IF($I$8="A",(RANK(AB35,AB$11:AB$368)+COUNTIF(AB$11:AB35,AB35)-1),(RANK(AB35,AB$11:AB$368,1)+COUNTIF(AB$11:AB35,AB35)-1)))</f>
        <v/>
      </c>
      <c r="AD35" s="184"/>
      <c r="AE35" s="28" t="str">
        <f t="shared" ref="AE35:AE98" si="24">IF(AE34="","",IF(AE34+1&gt;(COUNT(AG:AG)),"",AE34+1))</f>
        <v/>
      </c>
      <c r="AG35" s="96"/>
      <c r="AH35" s="29"/>
      <c r="AI35" s="38" t="str">
        <f>IF(L35="","",VLOOKUP($L35,classifications!$C:$J,8,FALSE))</f>
        <v>Essex</v>
      </c>
      <c r="AJ35" s="39" t="str">
        <f t="shared" si="4"/>
        <v/>
      </c>
      <c r="AK35" s="34" t="str">
        <f>IF(AJ35="","",IF(I$8="A",(RANK(AJ35,AJ$11:AJ$368,1)+COUNTIF(AJ$11:AJ35,AJ35)-1),(RANK(AJ35,AJ$11:AJ$368)+COUNTIF(AJ$11:AJ35,AJ35)-1)))</f>
        <v/>
      </c>
      <c r="AL35" s="29" t="str">
        <f t="shared" si="13"/>
        <v/>
      </c>
      <c r="AM35" s="8" t="str">
        <f t="shared" si="5"/>
        <v/>
      </c>
      <c r="AN35" s="8" t="str">
        <f t="shared" si="14"/>
        <v/>
      </c>
      <c r="AP35" s="38" t="str">
        <f>IF(L35="","",VLOOKUP($L35,classifications!$C:$E,3,FALSE))</f>
        <v>East of England</v>
      </c>
      <c r="AQ35" s="39" t="str">
        <f t="shared" si="15"/>
        <v/>
      </c>
      <c r="AR35" s="34" t="str">
        <f>IF(AQ35="","",IF(I$8="A",(RANK(AQ35,AQ$11:AQ$368,1)+COUNTIF(AQ$11:AQ35,AQ35)-1),(RANK(AQ35,AQ$11:AQ$368)+COUNTIF(AQ$11:AQ35,AQ35)-1)))</f>
        <v/>
      </c>
      <c r="AS35" s="29" t="str">
        <f t="shared" si="16"/>
        <v/>
      </c>
      <c r="AT35" s="34" t="str">
        <f t="shared" si="6"/>
        <v/>
      </c>
      <c r="AU35" s="39" t="str">
        <f t="shared" si="17"/>
        <v/>
      </c>
      <c r="AX35" s="21">
        <f>HLOOKUP($AX$9&amp;$AX$10,Data!$A$1:$ZZ$2000,(MATCH($C35,Data!$A$1:$A$2000,0)),FALSE)</f>
        <v>75.385373930125724</v>
      </c>
      <c r="AY35" s="103"/>
      <c r="AZ35" s="21"/>
    </row>
    <row r="36" spans="1:52">
      <c r="A36" s="56" t="str">
        <f>$D$1&amp;26</f>
        <v>SD26</v>
      </c>
      <c r="B36" s="57" t="str">
        <f>IF(ISERROR(VLOOKUP(A36,classifications!A:C,3,FALSE)),0,VLOOKUP(A36,classifications!A:C,3,FALSE))</f>
        <v>Huntingdonshire</v>
      </c>
      <c r="C36" s="8" t="s">
        <v>262</v>
      </c>
      <c r="D36" s="26" t="str">
        <f>VLOOKUP($C36,classifications!$C:$J,4,FALSE)</f>
        <v>UA</v>
      </c>
      <c r="E36" s="26">
        <f>VLOOKUP(C36,classifications!C:K,9,FALSE)</f>
        <v>0</v>
      </c>
      <c r="F36" s="36" t="str">
        <f t="shared" si="0"/>
        <v>-</v>
      </c>
      <c r="G36" s="71"/>
      <c r="H36" s="37" t="str">
        <f t="shared" si="1"/>
        <v/>
      </c>
      <c r="I36" s="77" t="str">
        <f>IF(H36="","",IF($I$8="A",(RANK(H36,H$11:H$368,1)+COUNTIF(H$11:H36,H36)-1),(RANK(H36,H$11:H$368)+COUNTIF(H$11:H36,H36)-1)))</f>
        <v/>
      </c>
      <c r="J36" s="35"/>
      <c r="K36" s="28">
        <f t="shared" si="7"/>
        <v>26</v>
      </c>
      <c r="L36" s="36" t="str">
        <f t="shared" si="2"/>
        <v>Teignbridge</v>
      </c>
      <c r="M36" s="102">
        <f t="shared" si="22"/>
        <v>85.304403770001343</v>
      </c>
      <c r="N36" s="101">
        <f t="shared" si="23"/>
        <v>85.304403770001343</v>
      </c>
      <c r="O36" s="94">
        <f t="shared" si="8"/>
        <v>85.304403770001343</v>
      </c>
      <c r="P36" s="94" t="str">
        <f t="shared" si="18"/>
        <v/>
      </c>
      <c r="Q36" s="94" t="str">
        <f t="shared" si="19"/>
        <v/>
      </c>
      <c r="R36" s="90" t="str">
        <f t="shared" si="20"/>
        <v/>
      </c>
      <c r="S36" s="37" t="str">
        <f t="shared" si="9"/>
        <v/>
      </c>
      <c r="T36" s="176" t="str">
        <f>IF(L36="","",VLOOKUP(L36,classifications!C:K,9,FALSE))</f>
        <v>Sparse</v>
      </c>
      <c r="U36" s="183">
        <f t="shared" si="10"/>
        <v>85.304403770001343</v>
      </c>
      <c r="V36" s="184">
        <f>IF(U36="","",IF($I$8="A",(RANK(U36,U$11:U$368)+COUNTIF(U$11:U36,U36)-1),(RANK(U36,U$11:U$368,1)+COUNTIF(U$11:U36,U36)-1)))</f>
        <v>66</v>
      </c>
      <c r="W36" s="185"/>
      <c r="X36" s="38" t="str">
        <f>IF(L36="","",VLOOKUP($L36,classifications!$C:$J,6,FALSE))</f>
        <v xml:space="preserve">Largely Rural (rural including hub towns 50-79%) </v>
      </c>
      <c r="Y36" s="26" t="str">
        <f t="shared" si="3"/>
        <v/>
      </c>
      <c r="Z36" s="34" t="str">
        <f>IF(Y36="","",IF(I$8="A",(RANK(Y36,Y$11:Y$368,1)+COUNTIF(Y$11:Y36,Y36)-1),(RANK(Y36,Y$11:Y$368)+COUNTIF(Y$11:Y36,Y36)-1)))</f>
        <v/>
      </c>
      <c r="AA36" s="188" t="str">
        <f>IF(L36="","",VLOOKUP($L36,classifications!C:I,7,FALSE))</f>
        <v>Predominantly Rural</v>
      </c>
      <c r="AB36" s="184">
        <f t="shared" si="11"/>
        <v>85.304403770001343</v>
      </c>
      <c r="AC36" s="184">
        <f>IF(AB36="","",IF($I$8="A",(RANK(AB36,AB$11:AB$368)+COUNTIF(AB$11:AB36,AB36)-1),(RANK(AB36,AB$11:AB$368,1)+COUNTIF(AB$11:AB36,AB36)-1)))</f>
        <v>65</v>
      </c>
      <c r="AD36" s="184"/>
      <c r="AE36" s="28" t="str">
        <f t="shared" si="24"/>
        <v/>
      </c>
      <c r="AG36" s="96"/>
      <c r="AH36" s="29"/>
      <c r="AI36" s="38" t="str">
        <f>IF(L36="","",VLOOKUP($L36,classifications!$C:$J,8,FALSE))</f>
        <v>Devon</v>
      </c>
      <c r="AJ36" s="39" t="str">
        <f t="shared" si="4"/>
        <v/>
      </c>
      <c r="AK36" s="34" t="str">
        <f>IF(AJ36="","",IF(I$8="A",(RANK(AJ36,AJ$11:AJ$368,1)+COUNTIF(AJ$11:AJ36,AJ36)-1),(RANK(AJ36,AJ$11:AJ$368)+COUNTIF(AJ$11:AJ36,AJ36)-1)))</f>
        <v/>
      </c>
      <c r="AL36" s="29" t="str">
        <f t="shared" si="13"/>
        <v/>
      </c>
      <c r="AM36" s="8" t="str">
        <f t="shared" si="5"/>
        <v/>
      </c>
      <c r="AN36" s="8" t="str">
        <f t="shared" si="14"/>
        <v/>
      </c>
      <c r="AP36" s="38" t="str">
        <f>IF(L36="","",VLOOKUP($L36,classifications!$C:$E,3,FALSE))</f>
        <v>South West</v>
      </c>
      <c r="AQ36" s="39" t="str">
        <f t="shared" si="15"/>
        <v/>
      </c>
      <c r="AR36" s="34" t="str">
        <f>IF(AQ36="","",IF(I$8="A",(RANK(AQ36,AQ$11:AQ$368,1)+COUNTIF(AQ$11:AQ36,AQ36)-1),(RANK(AQ36,AQ$11:AQ$368)+COUNTIF(AQ$11:AQ36,AQ36)-1)))</f>
        <v/>
      </c>
      <c r="AS36" s="29" t="str">
        <f t="shared" si="16"/>
        <v/>
      </c>
      <c r="AT36" s="34" t="str">
        <f t="shared" si="6"/>
        <v/>
      </c>
      <c r="AU36" s="39" t="str">
        <f t="shared" si="17"/>
        <v/>
      </c>
      <c r="AX36" s="21" t="str">
        <f>HLOOKUP($AX$9&amp;$AX$10,Data!$A$1:$ZZ$2000,(MATCH($C36,Data!$A$1:$A$2000,0)),FALSE)</f>
        <v>-</v>
      </c>
      <c r="AY36" s="103"/>
      <c r="AZ36" s="21"/>
    </row>
    <row r="37" spans="1:52">
      <c r="A37" s="56" t="str">
        <f>$D$1&amp;27</f>
        <v>SD27</v>
      </c>
      <c r="B37" s="57" t="str">
        <f>IF(ISERROR(VLOOKUP(A37,classifications!A:C,3,FALSE)),0,VLOOKUP(A37,classifications!A:C,3,FALSE))</f>
        <v>King's Lynn &amp; West Norfolk</v>
      </c>
      <c r="C37" s="8" t="s">
        <v>906</v>
      </c>
      <c r="D37" s="26" t="str">
        <f>VLOOKUP($C37,classifications!$C:$J,4,FALSE)</f>
        <v>UA</v>
      </c>
      <c r="E37" s="26">
        <f>VLOOKUP(C37,classifications!C:K,9,FALSE)</f>
        <v>0</v>
      </c>
      <c r="F37" s="36">
        <f t="shared" si="0"/>
        <v>82.673525325114227</v>
      </c>
      <c r="G37" s="71"/>
      <c r="H37" s="37" t="str">
        <f t="shared" si="1"/>
        <v/>
      </c>
      <c r="I37" s="77" t="str">
        <f>IF(H37="","",IF($I$8="A",(RANK(H37,H$11:H$368,1)+COUNTIF(H$11:H37,H37)-1),(RANK(H37,H$11:H$368)+COUNTIF(H$11:H37,H37)-1)))</f>
        <v/>
      </c>
      <c r="J37" s="35"/>
      <c r="K37" s="28">
        <f t="shared" si="7"/>
        <v>27</v>
      </c>
      <c r="L37" s="36" t="str">
        <f t="shared" si="2"/>
        <v>Epsom &amp; Ewell</v>
      </c>
      <c r="M37" s="102">
        <f t="shared" si="22"/>
        <v>85.253874322530251</v>
      </c>
      <c r="N37" s="101">
        <f t="shared" si="23"/>
        <v>85.253874322530251</v>
      </c>
      <c r="O37" s="94">
        <f t="shared" si="8"/>
        <v>85.253874322530251</v>
      </c>
      <c r="P37" s="94" t="str">
        <f t="shared" si="18"/>
        <v/>
      </c>
      <c r="Q37" s="94" t="str">
        <f t="shared" si="19"/>
        <v/>
      </c>
      <c r="R37" s="90" t="str">
        <f t="shared" si="20"/>
        <v/>
      </c>
      <c r="S37" s="37" t="str">
        <f t="shared" si="9"/>
        <v/>
      </c>
      <c r="T37" s="176">
        <f>IF(L37="","",VLOOKUP(L37,classifications!C:K,9,FALSE))</f>
        <v>0</v>
      </c>
      <c r="U37" s="183" t="str">
        <f t="shared" si="10"/>
        <v/>
      </c>
      <c r="V37" s="184" t="str">
        <f>IF(U37="","",IF($I$8="A",(RANK(U37,U$11:U$368)+COUNTIF(U$11:U37,U37)-1),(RANK(U37,U$11:U$368,1)+COUNTIF(U$11:U37,U37)-1)))</f>
        <v/>
      </c>
      <c r="W37" s="185"/>
      <c r="X37" s="38" t="str">
        <f>IF(L37="","",VLOOKUP($L37,classifications!$C:$J,6,FALSE))</f>
        <v>Urban with Major Conurbation</v>
      </c>
      <c r="Y37" s="26" t="str">
        <f t="shared" si="3"/>
        <v/>
      </c>
      <c r="Z37" s="34" t="str">
        <f>IF(Y37="","",IF(I$8="A",(RANK(Y37,Y$11:Y$368,1)+COUNTIF(Y$11:Y37,Y37)-1),(RANK(Y37,Y$11:Y$368)+COUNTIF(Y$11:Y37,Y37)-1)))</f>
        <v/>
      </c>
      <c r="AA37" s="188" t="str">
        <f>IF(L37="","",VLOOKUP($L37,classifications!C:I,7,FALSE))</f>
        <v>Predominantly Urban</v>
      </c>
      <c r="AB37" s="184" t="str">
        <f t="shared" si="11"/>
        <v/>
      </c>
      <c r="AC37" s="184" t="str">
        <f>IF(AB37="","",IF($I$8="A",(RANK(AB37,AB$11:AB$368)+COUNTIF(AB$11:AB37,AB37)-1),(RANK(AB37,AB$11:AB$368,1)+COUNTIF(AB$11:AB37,AB37)-1)))</f>
        <v/>
      </c>
      <c r="AD37" s="184"/>
      <c r="AE37" s="28" t="str">
        <f t="shared" si="24"/>
        <v/>
      </c>
      <c r="AG37" s="96"/>
      <c r="AH37" s="29"/>
      <c r="AI37" s="38" t="str">
        <f>IF(L37="","",VLOOKUP($L37,classifications!$C:$J,8,FALSE))</f>
        <v>Surrey</v>
      </c>
      <c r="AJ37" s="39" t="str">
        <f t="shared" si="4"/>
        <v/>
      </c>
      <c r="AK37" s="34" t="str">
        <f>IF(AJ37="","",IF(I$8="A",(RANK(AJ37,AJ$11:AJ$368,1)+COUNTIF(AJ$11:AJ37,AJ37)-1),(RANK(AJ37,AJ$11:AJ$368)+COUNTIF(AJ$11:AJ37,AJ37)-1)))</f>
        <v/>
      </c>
      <c r="AL37" s="29" t="str">
        <f t="shared" si="13"/>
        <v/>
      </c>
      <c r="AM37" s="8" t="str">
        <f t="shared" si="5"/>
        <v/>
      </c>
      <c r="AN37" s="8" t="str">
        <f t="shared" si="14"/>
        <v/>
      </c>
      <c r="AP37" s="38" t="str">
        <f>IF(L37="","",VLOOKUP($L37,classifications!$C:$E,3,FALSE))</f>
        <v>South East</v>
      </c>
      <c r="AQ37" s="39" t="str">
        <f t="shared" si="15"/>
        <v/>
      </c>
      <c r="AR37" s="34" t="str">
        <f>IF(AQ37="","",IF(I$8="A",(RANK(AQ37,AQ$11:AQ$368,1)+COUNTIF(AQ$11:AQ37,AQ37)-1),(RANK(AQ37,AQ$11:AQ$368)+COUNTIF(AQ$11:AQ37,AQ37)-1)))</f>
        <v/>
      </c>
      <c r="AS37" s="29" t="str">
        <f t="shared" si="16"/>
        <v/>
      </c>
      <c r="AT37" s="34" t="str">
        <f t="shared" si="6"/>
        <v/>
      </c>
      <c r="AU37" s="39" t="str">
        <f t="shared" si="17"/>
        <v/>
      </c>
      <c r="AX37" s="21">
        <f>HLOOKUP($AX$9&amp;$AX$10,Data!$A$1:$ZZ$2000,(MATCH($C37,Data!$A$1:$A$2000,0)),FALSE)</f>
        <v>82.673525325114227</v>
      </c>
      <c r="AY37" s="103"/>
      <c r="AZ37" s="21"/>
    </row>
    <row r="38" spans="1:52">
      <c r="A38" s="56" t="str">
        <f>$D$1&amp;28</f>
        <v>SD28</v>
      </c>
      <c r="B38" s="57" t="str">
        <f>IF(ISERROR(VLOOKUP(A38,classifications!A:C,3,FALSE)),0,VLOOKUP(A38,classifications!A:C,3,FALSE))</f>
        <v>Lewes</v>
      </c>
      <c r="C38" s="8" t="s">
        <v>263</v>
      </c>
      <c r="D38" s="26" t="str">
        <f>VLOOKUP($C38,classifications!$C:$J,4,FALSE)</f>
        <v>UA</v>
      </c>
      <c r="E38" s="26">
        <f>VLOOKUP(C38,classifications!C:K,9,FALSE)</f>
        <v>0</v>
      </c>
      <c r="F38" s="36">
        <f t="shared" si="0"/>
        <v>82.036010152321211</v>
      </c>
      <c r="G38" s="71"/>
      <c r="H38" s="37" t="str">
        <f t="shared" si="1"/>
        <v/>
      </c>
      <c r="I38" s="77" t="str">
        <f>IF(H38="","",IF($I$8="A",(RANK(H38,H$11:H$368,1)+COUNTIF(H$11:H38,H38)-1),(RANK(H38,H$11:H$368)+COUNTIF(H$11:H38,H38)-1)))</f>
        <v/>
      </c>
      <c r="J38" s="35"/>
      <c r="K38" s="28">
        <f t="shared" si="7"/>
        <v>28</v>
      </c>
      <c r="L38" s="36" t="str">
        <f t="shared" si="2"/>
        <v>East Devon</v>
      </c>
      <c r="M38" s="102">
        <f t="shared" si="22"/>
        <v>85.145310565461088</v>
      </c>
      <c r="N38" s="101">
        <f t="shared" si="23"/>
        <v>85.145310565461088</v>
      </c>
      <c r="O38" s="94">
        <f t="shared" si="8"/>
        <v>85.145310565461088</v>
      </c>
      <c r="P38" s="94" t="str">
        <f t="shared" si="18"/>
        <v/>
      </c>
      <c r="Q38" s="94" t="str">
        <f t="shared" si="19"/>
        <v/>
      </c>
      <c r="R38" s="90" t="str">
        <f t="shared" si="20"/>
        <v/>
      </c>
      <c r="S38" s="37" t="str">
        <f t="shared" si="9"/>
        <v/>
      </c>
      <c r="T38" s="176" t="str">
        <f>IF(L38="","",VLOOKUP(L38,classifications!C:K,9,FALSE))</f>
        <v>Sparse</v>
      </c>
      <c r="U38" s="183">
        <f t="shared" si="10"/>
        <v>85.145310565461088</v>
      </c>
      <c r="V38" s="184">
        <f>IF(U38="","",IF($I$8="A",(RANK(U38,U$11:U$368)+COUNTIF(U$11:U38,U38)-1),(RANK(U38,U$11:U$368,1)+COUNTIF(U$11:U38,U38)-1)))</f>
        <v>65</v>
      </c>
      <c r="W38" s="185"/>
      <c r="X38" s="38" t="str">
        <f>IF(L38="","",VLOOKUP($L38,classifications!$C:$J,6,FALSE))</f>
        <v xml:space="preserve">Largely Rural (rural including hub towns 50-79%) </v>
      </c>
      <c r="Y38" s="26" t="str">
        <f t="shared" si="3"/>
        <v/>
      </c>
      <c r="Z38" s="34" t="str">
        <f>IF(Y38="","",IF(I$8="A",(RANK(Y38,Y$11:Y$368,1)+COUNTIF(Y$11:Y38,Y38)-1),(RANK(Y38,Y$11:Y$368)+COUNTIF(Y$11:Y38,Y38)-1)))</f>
        <v/>
      </c>
      <c r="AA38" s="188" t="str">
        <f>IF(L38="","",VLOOKUP($L38,classifications!C:I,7,FALSE))</f>
        <v>Predominantly Rural</v>
      </c>
      <c r="AB38" s="184">
        <f t="shared" si="11"/>
        <v>85.145310565461088</v>
      </c>
      <c r="AC38" s="184">
        <f>IF(AB38="","",IF($I$8="A",(RANK(AB38,AB$11:AB$368)+COUNTIF(AB$11:AB38,AB38)-1),(RANK(AB38,AB$11:AB$368,1)+COUNTIF(AB$11:AB38,AB38)-1)))</f>
        <v>64</v>
      </c>
      <c r="AD38" s="184"/>
      <c r="AE38" s="28" t="str">
        <f t="shared" si="24"/>
        <v/>
      </c>
      <c r="AG38" s="96"/>
      <c r="AH38" s="29"/>
      <c r="AI38" s="38" t="str">
        <f>IF(L38="","",VLOOKUP($L38,classifications!$C:$J,8,FALSE))</f>
        <v>Devon</v>
      </c>
      <c r="AJ38" s="39" t="str">
        <f t="shared" si="4"/>
        <v/>
      </c>
      <c r="AK38" s="34" t="str">
        <f>IF(AJ38="","",IF(I$8="A",(RANK(AJ38,AJ$11:AJ$368,1)+COUNTIF(AJ$11:AJ38,AJ38)-1),(RANK(AJ38,AJ$11:AJ$368)+COUNTIF(AJ$11:AJ38,AJ38)-1)))</f>
        <v/>
      </c>
      <c r="AL38" s="29" t="str">
        <f t="shared" si="13"/>
        <v/>
      </c>
      <c r="AM38" s="8" t="str">
        <f t="shared" si="5"/>
        <v/>
      </c>
      <c r="AN38" s="8" t="str">
        <f t="shared" si="14"/>
        <v/>
      </c>
      <c r="AP38" s="38" t="str">
        <f>IF(L38="","",VLOOKUP($L38,classifications!$C:$E,3,FALSE))</f>
        <v>South West</v>
      </c>
      <c r="AQ38" s="39" t="str">
        <f t="shared" si="15"/>
        <v/>
      </c>
      <c r="AR38" s="34" t="str">
        <f>IF(AQ38="","",IF(I$8="A",(RANK(AQ38,AQ$11:AQ$368,1)+COUNTIF(AQ$11:AQ38,AQ38)-1),(RANK(AQ38,AQ$11:AQ$368)+COUNTIF(AQ$11:AQ38,AQ38)-1)))</f>
        <v/>
      </c>
      <c r="AS38" s="29" t="str">
        <f t="shared" si="16"/>
        <v/>
      </c>
      <c r="AT38" s="34" t="str">
        <f t="shared" si="6"/>
        <v/>
      </c>
      <c r="AU38" s="39" t="str">
        <f t="shared" si="17"/>
        <v/>
      </c>
      <c r="AX38" s="21">
        <f>HLOOKUP($AX$9&amp;$AX$10,Data!$A$1:$ZZ$2000,(MATCH($C38,Data!$A$1:$A$2000,0)),FALSE)</f>
        <v>82.036010152321211</v>
      </c>
      <c r="AY38" s="103"/>
      <c r="AZ38" s="21"/>
    </row>
    <row r="39" spans="1:52">
      <c r="A39" s="56" t="str">
        <f>$D$1&amp;29</f>
        <v>SD29</v>
      </c>
      <c r="B39" s="57" t="str">
        <f>IF(ISERROR(VLOOKUP(A39,classifications!A:C,3,FALSE)),0,VLOOKUP(A39,classifications!A:C,3,FALSE))</f>
        <v>Lichfield</v>
      </c>
      <c r="C39" s="8" t="s">
        <v>225</v>
      </c>
      <c r="D39" s="26" t="str">
        <f>VLOOKUP($C39,classifications!$C:$J,4,FALSE)</f>
        <v>MD</v>
      </c>
      <c r="E39" s="26">
        <f>VLOOKUP(C39,classifications!C:K,9,FALSE)</f>
        <v>0</v>
      </c>
      <c r="F39" s="36">
        <f t="shared" si="0"/>
        <v>75.388425464121639</v>
      </c>
      <c r="G39" s="71"/>
      <c r="H39" s="37" t="str">
        <f t="shared" si="1"/>
        <v/>
      </c>
      <c r="I39" s="77" t="str">
        <f>IF(H39="","",IF($I$8="A",(RANK(H39,H$11:H$368,1)+COUNTIF(H$11:H39,H39)-1),(RANK(H39,H$11:H$368)+COUNTIF(H$11:H39,H39)-1)))</f>
        <v/>
      </c>
      <c r="J39" s="35"/>
      <c r="K39" s="28">
        <f t="shared" si="7"/>
        <v>29</v>
      </c>
      <c r="L39" s="36" t="str">
        <f t="shared" si="2"/>
        <v>East Northamptonshire</v>
      </c>
      <c r="M39" s="102">
        <f t="shared" si="22"/>
        <v>85.003927852800842</v>
      </c>
      <c r="N39" s="101">
        <f t="shared" si="23"/>
        <v>85.003927852800842</v>
      </c>
      <c r="O39" s="94">
        <f t="shared" si="8"/>
        <v>85.003927852800842</v>
      </c>
      <c r="P39" s="94" t="str">
        <f t="shared" si="18"/>
        <v/>
      </c>
      <c r="Q39" s="94" t="str">
        <f t="shared" si="19"/>
        <v/>
      </c>
      <c r="R39" s="90" t="str">
        <f t="shared" si="20"/>
        <v/>
      </c>
      <c r="S39" s="37" t="str">
        <f t="shared" si="9"/>
        <v/>
      </c>
      <c r="T39" s="176" t="str">
        <f>IF(L39="","",VLOOKUP(L39,classifications!C:K,9,FALSE))</f>
        <v>Sparse</v>
      </c>
      <c r="U39" s="183">
        <f t="shared" si="10"/>
        <v>85.003927852800842</v>
      </c>
      <c r="V39" s="184">
        <f>IF(U39="","",IF($I$8="A",(RANK(U39,U$11:U$368)+COUNTIF(U$11:U39,U39)-1),(RANK(U39,U$11:U$368,1)+COUNTIF(U$11:U39,U39)-1)))</f>
        <v>64</v>
      </c>
      <c r="W39" s="185"/>
      <c r="X39" s="38" t="str">
        <f>IF(L39="","",VLOOKUP($L39,classifications!$C:$J,6,FALSE))</f>
        <v xml:space="preserve">Largely Rural (rural including hub towns 50-79%) </v>
      </c>
      <c r="Y39" s="26" t="str">
        <f t="shared" si="3"/>
        <v/>
      </c>
      <c r="Z39" s="34" t="str">
        <f>IF(Y39="","",IF(I$8="A",(RANK(Y39,Y$11:Y$368,1)+COUNTIF(Y$11:Y39,Y39)-1),(RANK(Y39,Y$11:Y$368)+COUNTIF(Y$11:Y39,Y39)-1)))</f>
        <v/>
      </c>
      <c r="AA39" s="188" t="str">
        <f>IF(L39="","",VLOOKUP($L39,classifications!C:I,7,FALSE))</f>
        <v>Predominantly Rural</v>
      </c>
      <c r="AB39" s="184">
        <f t="shared" si="11"/>
        <v>85.003927852800842</v>
      </c>
      <c r="AC39" s="184">
        <f>IF(AB39="","",IF($I$8="A",(RANK(AB39,AB$11:AB$368)+COUNTIF(AB$11:AB39,AB39)-1),(RANK(AB39,AB$11:AB$368,1)+COUNTIF(AB$11:AB39,AB39)-1)))</f>
        <v>63</v>
      </c>
      <c r="AD39" s="184"/>
      <c r="AE39" s="28" t="str">
        <f t="shared" si="24"/>
        <v/>
      </c>
      <c r="AG39" s="96"/>
      <c r="AH39" s="29"/>
      <c r="AI39" s="38" t="str">
        <f>IF(L39="","",VLOOKUP($L39,classifications!$C:$J,8,FALSE))</f>
        <v>Northamptonshire</v>
      </c>
      <c r="AJ39" s="39" t="str">
        <f t="shared" si="4"/>
        <v/>
      </c>
      <c r="AK39" s="34" t="str">
        <f>IF(AJ39="","",IF(I$8="A",(RANK(AJ39,AJ$11:AJ$368,1)+COUNTIF(AJ$11:AJ39,AJ39)-1),(RANK(AJ39,AJ$11:AJ$368)+COUNTIF(AJ$11:AJ39,AJ39)-1)))</f>
        <v/>
      </c>
      <c r="AL39" s="29" t="str">
        <f t="shared" si="13"/>
        <v/>
      </c>
      <c r="AM39" s="8" t="str">
        <f t="shared" si="5"/>
        <v/>
      </c>
      <c r="AN39" s="8" t="str">
        <f t="shared" si="14"/>
        <v/>
      </c>
      <c r="AP39" s="38" t="str">
        <f>IF(L39="","",VLOOKUP($L39,classifications!$C:$E,3,FALSE))</f>
        <v>East Midlands</v>
      </c>
      <c r="AQ39" s="39" t="str">
        <f t="shared" si="15"/>
        <v/>
      </c>
      <c r="AR39" s="34" t="str">
        <f>IF(AQ39="","",IF(I$8="A",(RANK(AQ39,AQ$11:AQ$368,1)+COUNTIF(AQ$11:AQ39,AQ39)-1),(RANK(AQ39,AQ$11:AQ$368)+COUNTIF(AQ$11:AQ39,AQ39)-1)))</f>
        <v/>
      </c>
      <c r="AS39" s="29" t="str">
        <f t="shared" si="16"/>
        <v/>
      </c>
      <c r="AT39" s="34" t="str">
        <f t="shared" si="6"/>
        <v/>
      </c>
      <c r="AU39" s="39" t="str">
        <f t="shared" si="17"/>
        <v/>
      </c>
      <c r="AX39" s="21">
        <f>HLOOKUP($AX$9&amp;$AX$10,Data!$A$1:$ZZ$2000,(MATCH($C39,Data!$A$1:$A$2000,0)),FALSE)</f>
        <v>75.388425464121639</v>
      </c>
      <c r="AY39" s="103"/>
      <c r="AZ39" s="21"/>
    </row>
    <row r="40" spans="1:52">
      <c r="A40" s="56" t="str">
        <f>$D$1&amp;30</f>
        <v>SD30</v>
      </c>
      <c r="B40" s="57" t="str">
        <f>IF(ISERROR(VLOOKUP(A40,classifications!A:C,3,FALSE)),0,VLOOKUP(A40,classifications!A:C,3,FALSE))</f>
        <v>Malvern Hills</v>
      </c>
      <c r="C40" s="8" t="s">
        <v>19</v>
      </c>
      <c r="D40" s="26" t="str">
        <f>VLOOKUP($C40,classifications!$C:$J,4,FALSE)</f>
        <v>SD</v>
      </c>
      <c r="E40" s="26" t="str">
        <f>VLOOKUP(C40,classifications!C:K,9,FALSE)</f>
        <v>Sparse</v>
      </c>
      <c r="F40" s="36">
        <f t="shared" si="0"/>
        <v>82.387796833472166</v>
      </c>
      <c r="G40" s="71"/>
      <c r="H40" s="37">
        <f t="shared" si="1"/>
        <v>82.387796833472166</v>
      </c>
      <c r="I40" s="77">
        <f>IF(H40="","",IF($I$8="A",(RANK(H40,H$11:H$368,1)+COUNTIF(H$11:H40,H40)-1),(RANK(H40,H$11:H$368)+COUNTIF(H$11:H40,H40)-1)))</f>
        <v>70</v>
      </c>
      <c r="J40" s="35"/>
      <c r="K40" s="28">
        <f t="shared" si="7"/>
        <v>30</v>
      </c>
      <c r="L40" s="36" t="str">
        <f t="shared" si="2"/>
        <v>Lancaster</v>
      </c>
      <c r="M40" s="102">
        <f t="shared" si="22"/>
        <v>84.992900604276272</v>
      </c>
      <c r="N40" s="101">
        <f t="shared" si="23"/>
        <v>84.992900604276272</v>
      </c>
      <c r="O40" s="94">
        <f t="shared" si="8"/>
        <v>84.992900604276272</v>
      </c>
      <c r="P40" s="94" t="str">
        <f t="shared" si="18"/>
        <v/>
      </c>
      <c r="Q40" s="94" t="str">
        <f t="shared" si="19"/>
        <v/>
      </c>
      <c r="R40" s="90" t="str">
        <f t="shared" si="20"/>
        <v/>
      </c>
      <c r="S40" s="37" t="str">
        <f t="shared" si="9"/>
        <v/>
      </c>
      <c r="T40" s="176">
        <f>IF(L40="","",VLOOKUP(L40,classifications!C:K,9,FALSE))</f>
        <v>0</v>
      </c>
      <c r="U40" s="183" t="str">
        <f t="shared" si="10"/>
        <v/>
      </c>
      <c r="V40" s="184" t="str">
        <f>IF(U40="","",IF($I$8="A",(RANK(U40,U$11:U$368)+COUNTIF(U$11:U40,U40)-1),(RANK(U40,U$11:U$368,1)+COUNTIF(U$11:U40,U40)-1)))</f>
        <v/>
      </c>
      <c r="W40" s="185"/>
      <c r="X40" s="38" t="str">
        <f>IF(L40="","",VLOOKUP($L40,classifications!$C:$J,6,FALSE))</f>
        <v>Urban with Significant Rural (rural including hub towns 26-49%)</v>
      </c>
      <c r="Y40" s="26" t="str">
        <f t="shared" si="3"/>
        <v/>
      </c>
      <c r="Z40" s="34" t="str">
        <f>IF(Y40="","",IF(I$8="A",(RANK(Y40,Y$11:Y$368,1)+COUNTIF(Y$11:Y40,Y40)-1),(RANK(Y40,Y$11:Y$368)+COUNTIF(Y$11:Y40,Y40)-1)))</f>
        <v/>
      </c>
      <c r="AA40" s="188" t="str">
        <f>IF(L40="","",VLOOKUP($L40,classifications!C:I,7,FALSE))</f>
        <v>Significant Rural</v>
      </c>
      <c r="AB40" s="184" t="str">
        <f t="shared" si="11"/>
        <v/>
      </c>
      <c r="AC40" s="184" t="str">
        <f>IF(AB40="","",IF($I$8="A",(RANK(AB40,AB$11:AB$368)+COUNTIF(AB$11:AB40,AB40)-1),(RANK(AB40,AB$11:AB$368,1)+COUNTIF(AB$11:AB40,AB40)-1)))</f>
        <v/>
      </c>
      <c r="AD40" s="184"/>
      <c r="AE40" s="28" t="str">
        <f t="shared" si="24"/>
        <v/>
      </c>
      <c r="AG40" s="96"/>
      <c r="AH40" s="29"/>
      <c r="AI40" s="38" t="str">
        <f>IF(L40="","",VLOOKUP($L40,classifications!$C:$J,8,FALSE))</f>
        <v>Lancashire</v>
      </c>
      <c r="AJ40" s="39" t="str">
        <f t="shared" si="4"/>
        <v/>
      </c>
      <c r="AK40" s="34" t="str">
        <f>IF(AJ40="","",IF(I$8="A",(RANK(AJ40,AJ$11:AJ$368,1)+COUNTIF(AJ$11:AJ40,AJ40)-1),(RANK(AJ40,AJ$11:AJ$368)+COUNTIF(AJ$11:AJ40,AJ40)-1)))</f>
        <v/>
      </c>
      <c r="AL40" s="29" t="str">
        <f t="shared" si="13"/>
        <v/>
      </c>
      <c r="AM40" s="8" t="str">
        <f t="shared" si="5"/>
        <v/>
      </c>
      <c r="AN40" s="8" t="str">
        <f t="shared" si="14"/>
        <v/>
      </c>
      <c r="AP40" s="38" t="str">
        <f>IF(L40="","",VLOOKUP($L40,classifications!$C:$E,3,FALSE))</f>
        <v>North West</v>
      </c>
      <c r="AQ40" s="39">
        <f t="shared" si="15"/>
        <v>84.992900604276272</v>
      </c>
      <c r="AR40" s="34">
        <f>IF(AQ40="","",IF(I$8="A",(RANK(AQ40,AQ$11:AQ$368,1)+COUNTIF(AQ$11:AQ40,AQ40)-1),(RANK(AQ40,AQ$11:AQ$368)+COUNTIF(AQ$11:AQ40,AQ40)-1)))</f>
        <v>1</v>
      </c>
      <c r="AS40" s="29" t="str">
        <f t="shared" si="16"/>
        <v/>
      </c>
      <c r="AT40" s="34" t="str">
        <f t="shared" si="6"/>
        <v/>
      </c>
      <c r="AU40" s="39" t="str">
        <f t="shared" si="17"/>
        <v/>
      </c>
      <c r="AX40" s="21">
        <f>HLOOKUP($AX$9&amp;$AX$10,Data!$A$1:$ZZ$2000,(MATCH($C40,Data!$A$1:$A$2000,0)),FALSE)</f>
        <v>82.387796833472166</v>
      </c>
      <c r="AY40" s="103"/>
      <c r="AZ40" s="21"/>
    </row>
    <row r="41" spans="1:52">
      <c r="A41" s="56" t="str">
        <f>$D$1&amp;31</f>
        <v>SD31</v>
      </c>
      <c r="B41" s="57" t="str">
        <f>IF(ISERROR(VLOOKUP(A41,classifications!A:C,3,FALSE)),0,VLOOKUP(A41,classifications!A:C,3,FALSE))</f>
        <v>Melton</v>
      </c>
      <c r="C41" s="8" t="s">
        <v>20</v>
      </c>
      <c r="D41" s="26" t="str">
        <f>VLOOKUP($C41,classifications!$C:$J,4,FALSE)</f>
        <v>SD</v>
      </c>
      <c r="E41" s="26" t="str">
        <f>VLOOKUP(C41,classifications!C:K,9,FALSE)</f>
        <v>Sparse</v>
      </c>
      <c r="F41" s="36">
        <f t="shared" si="0"/>
        <v>76.375281453278546</v>
      </c>
      <c r="G41" s="71"/>
      <c r="H41" s="37">
        <f t="shared" si="1"/>
        <v>76.375281453278546</v>
      </c>
      <c r="I41" s="77">
        <f>IF(H41="","",IF($I$8="A",(RANK(H41,H$11:H$368,1)+COUNTIF(H$11:H41,H41)-1),(RANK(H41,H$11:H$368)+COUNTIF(H$11:H41,H41)-1)))</f>
        <v>167</v>
      </c>
      <c r="J41" s="35"/>
      <c r="K41" s="28">
        <f t="shared" si="7"/>
        <v>31</v>
      </c>
      <c r="L41" s="36" t="str">
        <f t="shared" si="2"/>
        <v>Harrogate</v>
      </c>
      <c r="M41" s="102">
        <f t="shared" si="22"/>
        <v>84.940364870534182</v>
      </c>
      <c r="N41" s="101">
        <f t="shared" si="23"/>
        <v>84.940364870534182</v>
      </c>
      <c r="O41" s="94">
        <f t="shared" si="8"/>
        <v>84.940364870534182</v>
      </c>
      <c r="P41" s="94" t="str">
        <f t="shared" si="18"/>
        <v/>
      </c>
      <c r="Q41" s="94" t="str">
        <f t="shared" si="19"/>
        <v/>
      </c>
      <c r="R41" s="90" t="str">
        <f t="shared" si="20"/>
        <v/>
      </c>
      <c r="S41" s="37" t="str">
        <f t="shared" si="9"/>
        <v/>
      </c>
      <c r="T41" s="176" t="str">
        <f>IF(L41="","",VLOOKUP(L41,classifications!C:K,9,FALSE))</f>
        <v>Sparse</v>
      </c>
      <c r="U41" s="183">
        <f t="shared" si="10"/>
        <v>84.940364870534182</v>
      </c>
      <c r="V41" s="184">
        <f>IF(U41="","",IF($I$8="A",(RANK(U41,U$11:U$368)+COUNTIF(U$11:U41,U41)-1),(RANK(U41,U$11:U$368,1)+COUNTIF(U$11:U41,U41)-1)))</f>
        <v>63</v>
      </c>
      <c r="W41" s="185"/>
      <c r="X41" s="38" t="str">
        <f>IF(L41="","",VLOOKUP($L41,classifications!$C:$J,6,FALSE))</f>
        <v>Urban with Significant Rural (rural including hub towns 26-49%)</v>
      </c>
      <c r="Y41" s="26" t="str">
        <f t="shared" si="3"/>
        <v/>
      </c>
      <c r="Z41" s="34" t="str">
        <f>IF(Y41="","",IF(I$8="A",(RANK(Y41,Y$11:Y$368,1)+COUNTIF(Y$11:Y41,Y41)-1),(RANK(Y41,Y$11:Y$368)+COUNTIF(Y$11:Y41,Y41)-1)))</f>
        <v/>
      </c>
      <c r="AA41" s="188" t="str">
        <f>IF(L41="","",VLOOKUP($L41,classifications!C:I,7,FALSE))</f>
        <v>Significant Rural</v>
      </c>
      <c r="AB41" s="184" t="str">
        <f t="shared" si="11"/>
        <v/>
      </c>
      <c r="AC41" s="184" t="str">
        <f>IF(AB41="","",IF($I$8="A",(RANK(AB41,AB$11:AB$368)+COUNTIF(AB$11:AB41,AB41)-1),(RANK(AB41,AB$11:AB$368,1)+COUNTIF(AB$11:AB41,AB41)-1)))</f>
        <v/>
      </c>
      <c r="AD41" s="184"/>
      <c r="AE41" s="28" t="str">
        <f t="shared" si="24"/>
        <v/>
      </c>
      <c r="AG41" s="96"/>
      <c r="AH41" s="29"/>
      <c r="AI41" s="38" t="str">
        <f>IF(L41="","",VLOOKUP($L41,classifications!$C:$J,8,FALSE))</f>
        <v>North Yorkshire</v>
      </c>
      <c r="AJ41" s="39" t="str">
        <f t="shared" si="4"/>
        <v/>
      </c>
      <c r="AK41" s="34" t="str">
        <f>IF(AJ41="","",IF(I$8="A",(RANK(AJ41,AJ$11:AJ$368,1)+COUNTIF(AJ$11:AJ41,AJ41)-1),(RANK(AJ41,AJ$11:AJ$368)+COUNTIF(AJ$11:AJ41,AJ41)-1)))</f>
        <v/>
      </c>
      <c r="AL41" s="29" t="str">
        <f t="shared" si="13"/>
        <v/>
      </c>
      <c r="AM41" s="8" t="str">
        <f t="shared" si="5"/>
        <v/>
      </c>
      <c r="AN41" s="8" t="str">
        <f t="shared" si="14"/>
        <v/>
      </c>
      <c r="AP41" s="38" t="str">
        <f>IF(L41="","",VLOOKUP($L41,classifications!$C:$E,3,FALSE))</f>
        <v>Yorkshire &amp; Humberside</v>
      </c>
      <c r="AQ41" s="39" t="str">
        <f t="shared" si="15"/>
        <v/>
      </c>
      <c r="AR41" s="34" t="str">
        <f>IF(AQ41="","",IF(I$8="A",(RANK(AQ41,AQ$11:AQ$368,1)+COUNTIF(AQ$11:AQ41,AQ41)-1),(RANK(AQ41,AQ$11:AQ$368)+COUNTIF(AQ$11:AQ41,AQ41)-1)))</f>
        <v/>
      </c>
      <c r="AS41" s="29" t="str">
        <f t="shared" si="16"/>
        <v/>
      </c>
      <c r="AT41" s="34" t="str">
        <f t="shared" si="6"/>
        <v/>
      </c>
      <c r="AU41" s="39" t="str">
        <f t="shared" si="17"/>
        <v/>
      </c>
      <c r="AX41" s="21">
        <f>HLOOKUP($AX$9&amp;$AX$10,Data!$A$1:$ZZ$2000,(MATCH($C41,Data!$A$1:$A$2000,0)),FALSE)</f>
        <v>76.375281453278546</v>
      </c>
      <c r="AY41" s="103"/>
      <c r="AZ41" s="21"/>
    </row>
    <row r="42" spans="1:52">
      <c r="A42" s="56" t="str">
        <f>$D$1&amp;32</f>
        <v>SD32</v>
      </c>
      <c r="B42" s="57" t="str">
        <f>IF(ISERROR(VLOOKUP(A42,classifications!A:C,3,FALSE)),0,VLOOKUP(A42,classifications!A:C,3,FALSE))</f>
        <v>Mendip</v>
      </c>
      <c r="C42" s="8" t="s">
        <v>198</v>
      </c>
      <c r="D42" s="26" t="str">
        <f>VLOOKUP($C42,classifications!$C:$J,4,FALSE)</f>
        <v>L</v>
      </c>
      <c r="E42" s="26">
        <f>VLOOKUP(C42,classifications!C:K,9,FALSE)</f>
        <v>0</v>
      </c>
      <c r="F42" s="36">
        <f t="shared" si="0"/>
        <v>73.291470925819766</v>
      </c>
      <c r="G42" s="71"/>
      <c r="H42" s="37" t="str">
        <f t="shared" si="1"/>
        <v/>
      </c>
      <c r="I42" s="77" t="str">
        <f>IF(H42="","",IF($I$8="A",(RANK(H42,H$11:H$368,1)+COUNTIF(H$11:H42,H42)-1),(RANK(H42,H$11:H$368)+COUNTIF(H$11:H42,H42)-1)))</f>
        <v/>
      </c>
      <c r="J42" s="35"/>
      <c r="K42" s="28">
        <f t="shared" si="7"/>
        <v>32</v>
      </c>
      <c r="L42" s="36" t="str">
        <f t="shared" si="2"/>
        <v>Horsham</v>
      </c>
      <c r="M42" s="102">
        <f t="shared" si="22"/>
        <v>84.906687458766484</v>
      </c>
      <c r="N42" s="101">
        <f t="shared" si="23"/>
        <v>84.906687458766484</v>
      </c>
      <c r="O42" s="94">
        <f t="shared" si="8"/>
        <v>84.906687458766484</v>
      </c>
      <c r="P42" s="94" t="str">
        <f t="shared" si="18"/>
        <v/>
      </c>
      <c r="Q42" s="94" t="str">
        <f t="shared" si="19"/>
        <v/>
      </c>
      <c r="R42" s="90" t="str">
        <f t="shared" si="20"/>
        <v/>
      </c>
      <c r="S42" s="37" t="str">
        <f t="shared" si="9"/>
        <v/>
      </c>
      <c r="T42" s="176">
        <f>IF(L42="","",VLOOKUP(L42,classifications!C:K,9,FALSE))</f>
        <v>0</v>
      </c>
      <c r="U42" s="183" t="str">
        <f t="shared" si="10"/>
        <v/>
      </c>
      <c r="V42" s="184" t="str">
        <f>IF(U42="","",IF($I$8="A",(RANK(U42,U$11:U$368)+COUNTIF(U$11:U42,U42)-1),(RANK(U42,U$11:U$368,1)+COUNTIF(U$11:U42,U42)-1)))</f>
        <v/>
      </c>
      <c r="W42" s="185"/>
      <c r="X42" s="38" t="str">
        <f>IF(L42="","",VLOOKUP($L42,classifications!$C:$J,6,FALSE))</f>
        <v xml:space="preserve">Largely Rural (rural including hub towns 50-79%) </v>
      </c>
      <c r="Y42" s="26" t="str">
        <f t="shared" si="3"/>
        <v/>
      </c>
      <c r="Z42" s="34" t="str">
        <f>IF(Y42="","",IF(I$8="A",(RANK(Y42,Y$11:Y$368,1)+COUNTIF(Y$11:Y42,Y42)-1),(RANK(Y42,Y$11:Y$368)+COUNTIF(Y$11:Y42,Y42)-1)))</f>
        <v/>
      </c>
      <c r="AA42" s="188" t="str">
        <f>IF(L42="","",VLOOKUP($L42,classifications!C:I,7,FALSE))</f>
        <v>Predominantly Rural</v>
      </c>
      <c r="AB42" s="184">
        <f t="shared" si="11"/>
        <v>84.906687458766484</v>
      </c>
      <c r="AC42" s="184">
        <f>IF(AB42="","",IF($I$8="A",(RANK(AB42,AB$11:AB$368)+COUNTIF(AB$11:AB42,AB42)-1),(RANK(AB42,AB$11:AB$368,1)+COUNTIF(AB$11:AB42,AB42)-1)))</f>
        <v>62</v>
      </c>
      <c r="AD42" s="184"/>
      <c r="AE42" s="28" t="str">
        <f t="shared" si="24"/>
        <v/>
      </c>
      <c r="AG42" s="96"/>
      <c r="AH42" s="29"/>
      <c r="AI42" s="38" t="str">
        <f>IF(L42="","",VLOOKUP($L42,classifications!$C:$J,8,FALSE))</f>
        <v>West Sussex</v>
      </c>
      <c r="AJ42" s="39" t="str">
        <f t="shared" si="4"/>
        <v/>
      </c>
      <c r="AK42" s="34" t="str">
        <f>IF(AJ42="","",IF(I$8="A",(RANK(AJ42,AJ$11:AJ$368,1)+COUNTIF(AJ$11:AJ42,AJ42)-1),(RANK(AJ42,AJ$11:AJ$368)+COUNTIF(AJ$11:AJ42,AJ42)-1)))</f>
        <v/>
      </c>
      <c r="AL42" s="29" t="str">
        <f t="shared" si="13"/>
        <v/>
      </c>
      <c r="AM42" s="8" t="str">
        <f t="shared" si="5"/>
        <v/>
      </c>
      <c r="AN42" s="8" t="str">
        <f t="shared" si="14"/>
        <v/>
      </c>
      <c r="AP42" s="38" t="str">
        <f>IF(L42="","",VLOOKUP($L42,classifications!$C:$E,3,FALSE))</f>
        <v>South East</v>
      </c>
      <c r="AQ42" s="39" t="str">
        <f t="shared" si="15"/>
        <v/>
      </c>
      <c r="AR42" s="34" t="str">
        <f>IF(AQ42="","",IF(I$8="A",(RANK(AQ42,AQ$11:AQ$368,1)+COUNTIF(AQ$11:AQ42,AQ42)-1),(RANK(AQ42,AQ$11:AQ$368)+COUNTIF(AQ$11:AQ42,AQ42)-1)))</f>
        <v/>
      </c>
      <c r="AS42" s="29" t="str">
        <f t="shared" si="16"/>
        <v/>
      </c>
      <c r="AT42" s="34" t="str">
        <f t="shared" si="6"/>
        <v/>
      </c>
      <c r="AU42" s="39" t="str">
        <f t="shared" si="17"/>
        <v/>
      </c>
      <c r="AX42" s="21">
        <f>HLOOKUP($AX$9&amp;$AX$10,Data!$A$1:$ZZ$2000,(MATCH($C42,Data!$A$1:$A$2000,0)),FALSE)</f>
        <v>73.291470925819766</v>
      </c>
      <c r="AY42" s="103"/>
      <c r="AZ42" s="21"/>
    </row>
    <row r="43" spans="1:52">
      <c r="A43" s="56" t="str">
        <f>$D$1&amp;33</f>
        <v>SD33</v>
      </c>
      <c r="B43" s="57" t="str">
        <f>IF(ISERROR(VLOOKUP(A43,classifications!A:C,3,FALSE)),0,VLOOKUP(A43,classifications!A:C,3,FALSE))</f>
        <v>Mid Devon</v>
      </c>
      <c r="C43" s="8" t="s">
        <v>21</v>
      </c>
      <c r="D43" s="26" t="str">
        <f>VLOOKUP($C43,classifications!$C:$J,4,FALSE)</f>
        <v>SD</v>
      </c>
      <c r="E43" s="26">
        <f>VLOOKUP(C43,classifications!C:K,9,FALSE)</f>
        <v>0</v>
      </c>
      <c r="F43" s="36">
        <f t="shared" si="0"/>
        <v>81.22234754703922</v>
      </c>
      <c r="G43" s="71"/>
      <c r="H43" s="37">
        <f t="shared" si="1"/>
        <v>81.22234754703922</v>
      </c>
      <c r="I43" s="77">
        <f>IF(H43="","",IF($I$8="A",(RANK(H43,H$11:H$368,1)+COUNTIF(H$11:H43,H43)-1),(RANK(H43,H$11:H$368)+COUNTIF(H$11:H43,H43)-1)))</f>
        <v>93</v>
      </c>
      <c r="J43" s="35"/>
      <c r="K43" s="28">
        <f t="shared" si="7"/>
        <v>33</v>
      </c>
      <c r="L43" s="36" t="str">
        <f t="shared" si="2"/>
        <v>St Albans</v>
      </c>
      <c r="M43" s="102">
        <f t="shared" si="22"/>
        <v>84.906661624415875</v>
      </c>
      <c r="N43" s="101">
        <f t="shared" si="23"/>
        <v>84.906661624415875</v>
      </c>
      <c r="O43" s="94">
        <f t="shared" si="8"/>
        <v>84.906661624415875</v>
      </c>
      <c r="P43" s="94" t="str">
        <f t="shared" si="18"/>
        <v/>
      </c>
      <c r="Q43" s="94" t="str">
        <f t="shared" si="19"/>
        <v/>
      </c>
      <c r="R43" s="90" t="str">
        <f t="shared" si="20"/>
        <v/>
      </c>
      <c r="S43" s="37" t="str">
        <f t="shared" si="9"/>
        <v/>
      </c>
      <c r="T43" s="176">
        <f>IF(L43="","",VLOOKUP(L43,classifications!C:K,9,FALSE))</f>
        <v>0</v>
      </c>
      <c r="U43" s="183" t="str">
        <f t="shared" ref="U43:U74" si="25">IF(T43="Sparse",M43,"")</f>
        <v/>
      </c>
      <c r="V43" s="184" t="str">
        <f>IF(U43="","",IF($I$8="A",(RANK(U43,U$11:U$368)+COUNTIF(U$11:U43,U43)-1),(RANK(U43,U$11:U$368,1)+COUNTIF(U$11:U43,U43)-1)))</f>
        <v/>
      </c>
      <c r="W43" s="185"/>
      <c r="X43" s="38" t="str">
        <f>IF(L43="","",VLOOKUP($L43,classifications!$C:$J,6,FALSE))</f>
        <v>Urban with City and Town</v>
      </c>
      <c r="Y43" s="26" t="str">
        <f t="shared" si="3"/>
        <v/>
      </c>
      <c r="Z43" s="34" t="str">
        <f>IF(Y43="","",IF(I$8="A",(RANK(Y43,Y$11:Y$368,1)+COUNTIF(Y$11:Y43,Y43)-1),(RANK(Y43,Y$11:Y$368)+COUNTIF(Y$11:Y43,Y43)-1)))</f>
        <v/>
      </c>
      <c r="AA43" s="188" t="str">
        <f>IF(L43="","",VLOOKUP($L43,classifications!C:I,7,FALSE))</f>
        <v>Predominantly Urban</v>
      </c>
      <c r="AB43" s="184" t="str">
        <f t="shared" si="11"/>
        <v/>
      </c>
      <c r="AC43" s="184" t="str">
        <f>IF(AB43="","",IF($I$8="A",(RANK(AB43,AB$11:AB$368)+COUNTIF(AB$11:AB43,AB43)-1),(RANK(AB43,AB$11:AB$368,1)+COUNTIF(AB$11:AB43,AB43)-1)))</f>
        <v/>
      </c>
      <c r="AD43" s="184"/>
      <c r="AE43" s="28" t="str">
        <f t="shared" si="24"/>
        <v/>
      </c>
      <c r="AG43" s="96"/>
      <c r="AH43" s="29"/>
      <c r="AI43" s="38" t="str">
        <f>IF(L43="","",VLOOKUP($L43,classifications!$C:$J,8,FALSE))</f>
        <v>Hertfordshire</v>
      </c>
      <c r="AJ43" s="39" t="str">
        <f t="shared" si="4"/>
        <v/>
      </c>
      <c r="AK43" s="34" t="str">
        <f>IF(AJ43="","",IF(I$8="A",(RANK(AJ43,AJ$11:AJ$368,1)+COUNTIF(AJ$11:AJ43,AJ43)-1),(RANK(AJ43,AJ$11:AJ$368)+COUNTIF(AJ$11:AJ43,AJ43)-1)))</f>
        <v/>
      </c>
      <c r="AL43" s="29" t="str">
        <f t="shared" si="13"/>
        <v/>
      </c>
      <c r="AM43" s="8" t="str">
        <f t="shared" si="5"/>
        <v/>
      </c>
      <c r="AN43" s="8" t="str">
        <f t="shared" si="14"/>
        <v/>
      </c>
      <c r="AP43" s="38" t="str">
        <f>IF(L43="","",VLOOKUP($L43,classifications!$C:$E,3,FALSE))</f>
        <v>East of England</v>
      </c>
      <c r="AQ43" s="39" t="str">
        <f t="shared" si="15"/>
        <v/>
      </c>
      <c r="AR43" s="34" t="str">
        <f>IF(AQ43="","",IF(I$8="A",(RANK(AQ43,AQ$11:AQ$368,1)+COUNTIF(AQ$11:AQ43,AQ43)-1),(RANK(AQ43,AQ$11:AQ$368)+COUNTIF(AQ$11:AQ43,AQ43)-1)))</f>
        <v/>
      </c>
      <c r="AS43" s="29" t="str">
        <f t="shared" si="16"/>
        <v/>
      </c>
      <c r="AT43" s="34" t="str">
        <f t="shared" si="6"/>
        <v/>
      </c>
      <c r="AU43" s="39" t="str">
        <f t="shared" si="17"/>
        <v/>
      </c>
      <c r="AX43" s="21">
        <f>HLOOKUP($AX$9&amp;$AX$10,Data!$A$1:$ZZ$2000,(MATCH($C43,Data!$A$1:$A$2000,0)),FALSE)</f>
        <v>81.22234754703922</v>
      </c>
      <c r="AY43" s="103"/>
      <c r="AZ43" s="21"/>
    </row>
    <row r="44" spans="1:52">
      <c r="A44" s="56" t="str">
        <f>$D$1&amp;34</f>
        <v>SD34</v>
      </c>
      <c r="B44" s="57" t="str">
        <f>IF(ISERROR(VLOOKUP(A44,classifications!A:C,3,FALSE)),0,VLOOKUP(A44,classifications!A:C,3,FALSE))</f>
        <v>Mid Suffolk</v>
      </c>
      <c r="C44" s="8" t="s">
        <v>811</v>
      </c>
      <c r="D44" s="26" t="str">
        <f>VLOOKUP($C44,classifications!$C:$J,4,FALSE)</f>
        <v>UA</v>
      </c>
      <c r="E44" s="26">
        <f>VLOOKUP(C44,classifications!C:K,9,FALSE)</f>
        <v>0</v>
      </c>
      <c r="F44" s="36">
        <f t="shared" si="0"/>
        <v>88.291285751926708</v>
      </c>
      <c r="G44" s="71"/>
      <c r="H44" s="37" t="str">
        <f t="shared" si="1"/>
        <v/>
      </c>
      <c r="I44" s="77" t="str">
        <f>IF(H44="","",IF($I$8="A",(RANK(H44,H$11:H$368,1)+COUNTIF(H$11:H44,H44)-1),(RANK(H44,H$11:H$368)+COUNTIF(H$11:H44,H44)-1)))</f>
        <v/>
      </c>
      <c r="J44" s="35"/>
      <c r="K44" s="28">
        <f t="shared" si="7"/>
        <v>34</v>
      </c>
      <c r="L44" s="36" t="str">
        <f t="shared" si="2"/>
        <v>Mid Suffolk</v>
      </c>
      <c r="M44" s="102">
        <f t="shared" si="22"/>
        <v>84.838104587117726</v>
      </c>
      <c r="N44" s="101">
        <f t="shared" si="23"/>
        <v>84.838104587117726</v>
      </c>
      <c r="O44" s="94">
        <f t="shared" si="8"/>
        <v>84.838104587117726</v>
      </c>
      <c r="P44" s="94" t="str">
        <f t="shared" si="18"/>
        <v/>
      </c>
      <c r="Q44" s="94" t="str">
        <f t="shared" si="19"/>
        <v/>
      </c>
      <c r="R44" s="90" t="str">
        <f t="shared" si="20"/>
        <v/>
      </c>
      <c r="S44" s="37" t="str">
        <f t="shared" si="9"/>
        <v/>
      </c>
      <c r="T44" s="176" t="str">
        <f>IF(L44="","",VLOOKUP(L44,classifications!C:K,9,FALSE))</f>
        <v>Sparse</v>
      </c>
      <c r="U44" s="183">
        <f t="shared" si="25"/>
        <v>84.838104587117726</v>
      </c>
      <c r="V44" s="184">
        <f>IF(U44="","",IF($I$8="A",(RANK(U44,U$11:U$368)+COUNTIF(U$11:U44,U44)-1),(RANK(U44,U$11:U$368,1)+COUNTIF(U$11:U44,U44)-1)))</f>
        <v>62</v>
      </c>
      <c r="W44" s="185"/>
      <c r="X44" s="38" t="str">
        <f>IF(L44="","",VLOOKUP($L44,classifications!$C:$J,6,FALSE))</f>
        <v xml:space="preserve">Mainly Rural (rural including hub towns &gt;=80%) </v>
      </c>
      <c r="Y44" s="26">
        <f t="shared" si="3"/>
        <v>84.838104587117726</v>
      </c>
      <c r="Z44" s="34">
        <f>IF(Y44="","",IF(I$8="A",(RANK(Y44,Y$11:Y$368,1)+COUNTIF(Y$11:Y44,Y44)-1),(RANK(Y44,Y$11:Y$368)+COUNTIF(Y$11:Y44,Y44)-1)))</f>
        <v>6</v>
      </c>
      <c r="AA44" s="188" t="str">
        <f>IF(L44="","",VLOOKUP($L44,classifications!C:I,7,FALSE))</f>
        <v>Predominantly Rural</v>
      </c>
      <c r="AB44" s="184">
        <f t="shared" si="11"/>
        <v>84.838104587117726</v>
      </c>
      <c r="AC44" s="184">
        <f>IF(AB44="","",IF($I$8="A",(RANK(AB44,AB$11:AB$368)+COUNTIF(AB$11:AB44,AB44)-1),(RANK(AB44,AB$11:AB$368,1)+COUNTIF(AB$11:AB44,AB44)-1)))</f>
        <v>61</v>
      </c>
      <c r="AD44" s="184"/>
      <c r="AE44" s="28" t="str">
        <f t="shared" si="24"/>
        <v/>
      </c>
      <c r="AG44" s="96"/>
      <c r="AH44" s="29"/>
      <c r="AI44" s="38" t="str">
        <f>IF(L44="","",VLOOKUP($L44,classifications!$C:$J,8,FALSE))</f>
        <v>Suffolk</v>
      </c>
      <c r="AJ44" s="39" t="str">
        <f t="shared" si="4"/>
        <v/>
      </c>
      <c r="AK44" s="34" t="str">
        <f>IF(AJ44="","",IF(I$8="A",(RANK(AJ44,AJ$11:AJ$368,1)+COUNTIF(AJ$11:AJ44,AJ44)-1),(RANK(AJ44,AJ$11:AJ$368)+COUNTIF(AJ$11:AJ44,AJ44)-1)))</f>
        <v/>
      </c>
      <c r="AL44" s="29" t="str">
        <f t="shared" si="13"/>
        <v/>
      </c>
      <c r="AM44" s="8" t="str">
        <f t="shared" si="5"/>
        <v/>
      </c>
      <c r="AN44" s="8" t="str">
        <f t="shared" si="14"/>
        <v/>
      </c>
      <c r="AP44" s="38" t="str">
        <f>IF(L44="","",VLOOKUP($L44,classifications!$C:$E,3,FALSE))</f>
        <v>East of England</v>
      </c>
      <c r="AQ44" s="39" t="str">
        <f t="shared" si="15"/>
        <v/>
      </c>
      <c r="AR44" s="34" t="str">
        <f>IF(AQ44="","",IF(I$8="A",(RANK(AQ44,AQ$11:AQ$368,1)+COUNTIF(AQ$11:AQ44,AQ44)-1),(RANK(AQ44,AQ$11:AQ$368)+COUNTIF(AQ$11:AQ44,AQ44)-1)))</f>
        <v/>
      </c>
      <c r="AS44" s="29" t="str">
        <f t="shared" si="16"/>
        <v/>
      </c>
      <c r="AT44" s="34" t="str">
        <f t="shared" si="6"/>
        <v/>
      </c>
      <c r="AU44" s="39" t="str">
        <f t="shared" si="17"/>
        <v/>
      </c>
      <c r="AX44" s="21">
        <f>HLOOKUP($AX$9&amp;$AX$10,Data!$A$1:$ZZ$2000,(MATCH($C44,Data!$A$1:$A$2000,0)),FALSE)</f>
        <v>88.291285751926708</v>
      </c>
      <c r="AY44" s="103"/>
      <c r="AZ44" s="21"/>
    </row>
    <row r="45" spans="1:52">
      <c r="A45" s="56" t="str">
        <f>$D$1&amp;35</f>
        <v>SD35</v>
      </c>
      <c r="B45" s="57" t="str">
        <f>IF(ISERROR(VLOOKUP(A45,classifications!A:C,3,FALSE)),0,VLOOKUP(A45,classifications!A:C,3,FALSE))</f>
        <v>Mid Sussex</v>
      </c>
      <c r="C45" s="8" t="s">
        <v>815</v>
      </c>
      <c r="D45" s="26" t="str">
        <f>VLOOKUP($C45,classifications!$C:$J,4,FALSE)</f>
        <v>UA</v>
      </c>
      <c r="E45" s="26">
        <f>VLOOKUP(C45,classifications!C:K,9,FALSE)</f>
        <v>0</v>
      </c>
      <c r="F45" s="36">
        <f t="shared" si="0"/>
        <v>84.778494082497218</v>
      </c>
      <c r="G45" s="71"/>
      <c r="H45" s="37" t="str">
        <f t="shared" si="1"/>
        <v/>
      </c>
      <c r="I45" s="77" t="str">
        <f>IF(H45="","",IF($I$8="A",(RANK(H45,H$11:H$368,1)+COUNTIF(H$11:H45,H45)-1),(RANK(H45,H$11:H$368)+COUNTIF(H$11:H45,H45)-1)))</f>
        <v/>
      </c>
      <c r="J45" s="35"/>
      <c r="K45" s="28">
        <f t="shared" si="7"/>
        <v>35</v>
      </c>
      <c r="L45" s="36" t="str">
        <f t="shared" si="2"/>
        <v>South Lakeland</v>
      </c>
      <c r="M45" s="102">
        <f t="shared" si="22"/>
        <v>84.820275705397847</v>
      </c>
      <c r="N45" s="101">
        <f t="shared" si="23"/>
        <v>84.820275705397847</v>
      </c>
      <c r="O45" s="94">
        <f t="shared" si="8"/>
        <v>84.820275705397847</v>
      </c>
      <c r="P45" s="94" t="str">
        <f t="shared" si="18"/>
        <v/>
      </c>
      <c r="Q45" s="94" t="str">
        <f t="shared" si="19"/>
        <v/>
      </c>
      <c r="R45" s="90" t="str">
        <f t="shared" si="20"/>
        <v/>
      </c>
      <c r="S45" s="37" t="str">
        <f t="shared" si="9"/>
        <v/>
      </c>
      <c r="T45" s="176" t="str">
        <f>IF(L45="","",VLOOKUP(L45,classifications!C:K,9,FALSE))</f>
        <v>Sparse</v>
      </c>
      <c r="U45" s="183">
        <f t="shared" si="25"/>
        <v>84.820275705397847</v>
      </c>
      <c r="V45" s="184">
        <f>IF(U45="","",IF($I$8="A",(RANK(U45,U$11:U$368)+COUNTIF(U$11:U45,U45)-1),(RANK(U45,U$11:U$368,1)+COUNTIF(U$11:U45,U45)-1)))</f>
        <v>61</v>
      </c>
      <c r="W45" s="185"/>
      <c r="X45" s="38" t="str">
        <f>IF(L45="","",VLOOKUP($L45,classifications!$C:$J,6,FALSE))</f>
        <v xml:space="preserve">Mainly Rural (rural including hub towns &gt;=80%) </v>
      </c>
      <c r="Y45" s="26">
        <f t="shared" si="3"/>
        <v>84.820275705397847</v>
      </c>
      <c r="Z45" s="34">
        <f>IF(Y45="","",IF(I$8="A",(RANK(Y45,Y$11:Y$368,1)+COUNTIF(Y$11:Y45,Y45)-1),(RANK(Y45,Y$11:Y$368)+COUNTIF(Y$11:Y45,Y45)-1)))</f>
        <v>7</v>
      </c>
      <c r="AA45" s="188" t="str">
        <f>IF(L45="","",VLOOKUP($L45,classifications!C:I,7,FALSE))</f>
        <v>Predominantly Rural</v>
      </c>
      <c r="AB45" s="184">
        <f t="shared" si="11"/>
        <v>84.820275705397847</v>
      </c>
      <c r="AC45" s="184">
        <f>IF(AB45="","",IF($I$8="A",(RANK(AB45,AB$11:AB$368)+COUNTIF(AB$11:AB45,AB45)-1),(RANK(AB45,AB$11:AB$368,1)+COUNTIF(AB$11:AB45,AB45)-1)))</f>
        <v>60</v>
      </c>
      <c r="AD45" s="184"/>
      <c r="AE45" s="28" t="str">
        <f t="shared" si="24"/>
        <v/>
      </c>
      <c r="AG45" s="96"/>
      <c r="AH45" s="29"/>
      <c r="AI45" s="38" t="str">
        <f>IF(L45="","",VLOOKUP($L45,classifications!$C:$J,8,FALSE))</f>
        <v>Cumbria</v>
      </c>
      <c r="AJ45" s="39">
        <f t="shared" si="4"/>
        <v>84.820275705397847</v>
      </c>
      <c r="AK45" s="34">
        <f>IF(AJ45="","",IF(I$8="A",(RANK(AJ45,AJ$11:AJ$368,1)+COUNTIF(AJ$11:AJ45,AJ45)-1),(RANK(AJ45,AJ$11:AJ$368)+COUNTIF(AJ$11:AJ45,AJ45)-1)))</f>
        <v>1</v>
      </c>
      <c r="AL45" s="29" t="str">
        <f t="shared" si="13"/>
        <v/>
      </c>
      <c r="AM45" s="8" t="str">
        <f t="shared" si="5"/>
        <v/>
      </c>
      <c r="AN45" s="8" t="str">
        <f t="shared" si="14"/>
        <v/>
      </c>
      <c r="AP45" s="38" t="str">
        <f>IF(L45="","",VLOOKUP($L45,classifications!$C:$E,3,FALSE))</f>
        <v>North West</v>
      </c>
      <c r="AQ45" s="39">
        <f t="shared" si="15"/>
        <v>84.820275705397847</v>
      </c>
      <c r="AR45" s="34">
        <f>IF(AQ45="","",IF(I$8="A",(RANK(AQ45,AQ$11:AQ$368,1)+COUNTIF(AQ$11:AQ45,AQ45)-1),(RANK(AQ45,AQ$11:AQ$368)+COUNTIF(AQ$11:AQ45,AQ45)-1)))</f>
        <v>2</v>
      </c>
      <c r="AS45" s="29" t="str">
        <f t="shared" si="16"/>
        <v/>
      </c>
      <c r="AT45" s="34" t="str">
        <f t="shared" si="6"/>
        <v/>
      </c>
      <c r="AU45" s="39" t="str">
        <f t="shared" si="17"/>
        <v/>
      </c>
      <c r="AX45" s="21">
        <f>HLOOKUP($AX$9&amp;$AX$10,Data!$A$1:$ZZ$2000,(MATCH($C45,Data!$A$1:$A$2000,0)),FALSE)</f>
        <v>84.778494082497218</v>
      </c>
      <c r="AY45" s="103"/>
      <c r="AZ45" s="21"/>
    </row>
    <row r="46" spans="1:52">
      <c r="A46" s="56" t="str">
        <f>$D$1&amp;36</f>
        <v>SD36</v>
      </c>
      <c r="B46" s="57" t="str">
        <f>IF(ISERROR(VLOOKUP(A46,classifications!A:C,3,FALSE)),0,VLOOKUP(A46,classifications!A:C,3,FALSE))</f>
        <v>New Forest</v>
      </c>
      <c r="C46" s="8" t="s">
        <v>22</v>
      </c>
      <c r="D46" s="26" t="str">
        <f>VLOOKUP($C46,classifications!$C:$J,4,FALSE)</f>
        <v>SD</v>
      </c>
      <c r="E46" s="26">
        <f>VLOOKUP(C46,classifications!C:K,9,FALSE)</f>
        <v>0</v>
      </c>
      <c r="F46" s="36">
        <f t="shared" si="0"/>
        <v>76.401895334125243</v>
      </c>
      <c r="G46" s="71"/>
      <c r="H46" s="37">
        <f t="shared" si="1"/>
        <v>76.401895334125243</v>
      </c>
      <c r="I46" s="77">
        <f>IF(H46="","",IF($I$8="A",(RANK(H46,H$11:H$368,1)+COUNTIF(H$11:H46,H46)-1),(RANK(H46,H$11:H$368)+COUNTIF(H$11:H46,H46)-1)))</f>
        <v>166</v>
      </c>
      <c r="J46" s="35"/>
      <c r="K46" s="28">
        <f t="shared" si="7"/>
        <v>36</v>
      </c>
      <c r="L46" s="36" t="str">
        <f t="shared" si="2"/>
        <v>Lewes</v>
      </c>
      <c r="M46" s="102">
        <f t="shared" si="22"/>
        <v>84.741384313012247</v>
      </c>
      <c r="N46" s="101">
        <f t="shared" si="23"/>
        <v>84.741384313012247</v>
      </c>
      <c r="O46" s="94">
        <f t="shared" si="8"/>
        <v>84.741384313012247</v>
      </c>
      <c r="P46" s="94" t="str">
        <f t="shared" si="18"/>
        <v/>
      </c>
      <c r="Q46" s="94" t="str">
        <f t="shared" si="19"/>
        <v/>
      </c>
      <c r="R46" s="90" t="str">
        <f t="shared" si="20"/>
        <v/>
      </c>
      <c r="S46" s="37" t="str">
        <f t="shared" si="9"/>
        <v/>
      </c>
      <c r="T46" s="176" t="str">
        <f>IF(L46="","",VLOOKUP(L46,classifications!C:K,9,FALSE))</f>
        <v>Sparse</v>
      </c>
      <c r="U46" s="183">
        <f t="shared" si="25"/>
        <v>84.741384313012247</v>
      </c>
      <c r="V46" s="184">
        <f>IF(U46="","",IF($I$8="A",(RANK(U46,U$11:U$368)+COUNTIF(U$11:U46,U46)-1),(RANK(U46,U$11:U$368,1)+COUNTIF(U$11:U46,U46)-1)))</f>
        <v>60</v>
      </c>
      <c r="W46" s="185"/>
      <c r="X46" s="38" t="str">
        <f>IF(L46="","",VLOOKUP($L46,classifications!$C:$J,6,FALSE))</f>
        <v>Urban with Significant Rural (rural including hub towns 26-49%)</v>
      </c>
      <c r="Y46" s="26" t="str">
        <f t="shared" si="3"/>
        <v/>
      </c>
      <c r="Z46" s="34" t="str">
        <f>IF(Y46="","",IF(I$8="A",(RANK(Y46,Y$11:Y$368,1)+COUNTIF(Y$11:Y46,Y46)-1),(RANK(Y46,Y$11:Y$368)+COUNTIF(Y$11:Y46,Y46)-1)))</f>
        <v/>
      </c>
      <c r="AA46" s="188" t="str">
        <f>IF(L46="","",VLOOKUP($L46,classifications!C:I,7,FALSE))</f>
        <v>Significant Rural</v>
      </c>
      <c r="AB46" s="184" t="str">
        <f t="shared" si="11"/>
        <v/>
      </c>
      <c r="AC46" s="184" t="str">
        <f>IF(AB46="","",IF($I$8="A",(RANK(AB46,AB$11:AB$368)+COUNTIF(AB$11:AB46,AB46)-1),(RANK(AB46,AB$11:AB$368,1)+COUNTIF(AB$11:AB46,AB46)-1)))</f>
        <v/>
      </c>
      <c r="AD46" s="184"/>
      <c r="AE46" s="28" t="str">
        <f t="shared" si="24"/>
        <v/>
      </c>
      <c r="AG46" s="96"/>
      <c r="AH46" s="29"/>
      <c r="AI46" s="38" t="str">
        <f>IF(L46="","",VLOOKUP($L46,classifications!$C:$J,8,FALSE))</f>
        <v>East Sussex</v>
      </c>
      <c r="AJ46" s="39" t="str">
        <f t="shared" si="4"/>
        <v/>
      </c>
      <c r="AK46" s="34" t="str">
        <f>IF(AJ46="","",IF(I$8="A",(RANK(AJ46,AJ$11:AJ$368,1)+COUNTIF(AJ$11:AJ46,AJ46)-1),(RANK(AJ46,AJ$11:AJ$368)+COUNTIF(AJ$11:AJ46,AJ46)-1)))</f>
        <v/>
      </c>
      <c r="AL46" s="29" t="str">
        <f t="shared" si="13"/>
        <v/>
      </c>
      <c r="AM46" s="8" t="str">
        <f t="shared" si="5"/>
        <v/>
      </c>
      <c r="AN46" s="8" t="str">
        <f t="shared" si="14"/>
        <v/>
      </c>
      <c r="AP46" s="38" t="str">
        <f>IF(L46="","",VLOOKUP($L46,classifications!$C:$E,3,FALSE))</f>
        <v>South East</v>
      </c>
      <c r="AQ46" s="39" t="str">
        <f t="shared" si="15"/>
        <v/>
      </c>
      <c r="AR46" s="34" t="str">
        <f>IF(AQ46="","",IF(I$8="A",(RANK(AQ46,AQ$11:AQ$368,1)+COUNTIF(AQ$11:AQ46,AQ46)-1),(RANK(AQ46,AQ$11:AQ$368)+COUNTIF(AQ$11:AQ46,AQ46)-1)))</f>
        <v/>
      </c>
      <c r="AS46" s="29" t="str">
        <f t="shared" si="16"/>
        <v/>
      </c>
      <c r="AT46" s="34" t="str">
        <f t="shared" si="6"/>
        <v/>
      </c>
      <c r="AU46" s="39" t="str">
        <f t="shared" si="17"/>
        <v/>
      </c>
      <c r="AX46" s="21">
        <f>HLOOKUP($AX$9&amp;$AX$10,Data!$A$1:$ZZ$2000,(MATCH($C46,Data!$A$1:$A$2000,0)),FALSE)</f>
        <v>76.401895334125243</v>
      </c>
      <c r="AY46" s="103"/>
      <c r="AZ46" s="21"/>
    </row>
    <row r="47" spans="1:52">
      <c r="A47" s="56" t="str">
        <f>$D$1&amp;37</f>
        <v>SD37</v>
      </c>
      <c r="B47" s="57" t="str">
        <f>IF(ISERROR(VLOOKUP(A47,classifications!A:C,3,FALSE)),0,VLOOKUP(A47,classifications!A:C,3,FALSE))</f>
        <v>Newark &amp; Sherwood</v>
      </c>
      <c r="C47" s="8" t="s">
        <v>199</v>
      </c>
      <c r="D47" s="26" t="str">
        <f>VLOOKUP($C47,classifications!$C:$J,4,FALSE)</f>
        <v>L</v>
      </c>
      <c r="E47" s="26">
        <f>VLOOKUP(C47,classifications!C:K,9,FALSE)</f>
        <v>0</v>
      </c>
      <c r="F47" s="36">
        <f t="shared" si="0"/>
        <v>85.229585707074037</v>
      </c>
      <c r="G47" s="71"/>
      <c r="H47" s="37" t="str">
        <f t="shared" si="1"/>
        <v/>
      </c>
      <c r="I47" s="77" t="str">
        <f>IF(H47="","",IF($I$8="A",(RANK(H47,H$11:H$368,1)+COUNTIF(H$11:H47,H47)-1),(RANK(H47,H$11:H$368)+COUNTIF(H$11:H47,H47)-1)))</f>
        <v/>
      </c>
      <c r="J47" s="35"/>
      <c r="K47" s="28">
        <f t="shared" si="7"/>
        <v>37</v>
      </c>
      <c r="L47" s="36" t="str">
        <f t="shared" si="2"/>
        <v>Chichester</v>
      </c>
      <c r="M47" s="102">
        <f t="shared" si="22"/>
        <v>84.717303427909457</v>
      </c>
      <c r="N47" s="101">
        <f t="shared" si="23"/>
        <v>84.717303427909457</v>
      </c>
      <c r="O47" s="94">
        <f t="shared" si="8"/>
        <v>84.717303427909457</v>
      </c>
      <c r="P47" s="94" t="str">
        <f t="shared" si="18"/>
        <v/>
      </c>
      <c r="Q47" s="94" t="str">
        <f t="shared" si="19"/>
        <v/>
      </c>
      <c r="R47" s="90" t="str">
        <f t="shared" si="20"/>
        <v/>
      </c>
      <c r="S47" s="37" t="str">
        <f t="shared" si="9"/>
        <v/>
      </c>
      <c r="T47" s="176" t="str">
        <f>IF(L47="","",VLOOKUP(L47,classifications!C:K,9,FALSE))</f>
        <v>Sparse</v>
      </c>
      <c r="U47" s="183">
        <f t="shared" si="25"/>
        <v>84.717303427909457</v>
      </c>
      <c r="V47" s="184">
        <f>IF(U47="","",IF($I$8="A",(RANK(U47,U$11:U$368)+COUNTIF(U$11:U47,U47)-1),(RANK(U47,U$11:U$368,1)+COUNTIF(U$11:U47,U47)-1)))</f>
        <v>59</v>
      </c>
      <c r="W47" s="185"/>
      <c r="X47" s="38" t="str">
        <f>IF(L47="","",VLOOKUP($L47,classifications!$C:$J,6,FALSE))</f>
        <v xml:space="preserve">Largely Rural (rural including hub towns 50-79%) </v>
      </c>
      <c r="Y47" s="26" t="str">
        <f t="shared" si="3"/>
        <v/>
      </c>
      <c r="Z47" s="34" t="str">
        <f>IF(Y47="","",IF(I$8="A",(RANK(Y47,Y$11:Y$368,1)+COUNTIF(Y$11:Y47,Y47)-1),(RANK(Y47,Y$11:Y$368)+COUNTIF(Y$11:Y47,Y47)-1)))</f>
        <v/>
      </c>
      <c r="AA47" s="188" t="str">
        <f>IF(L47="","",VLOOKUP($L47,classifications!C:I,7,FALSE))</f>
        <v>Predominantly Rural</v>
      </c>
      <c r="AB47" s="184">
        <f t="shared" si="11"/>
        <v>84.717303427909457</v>
      </c>
      <c r="AC47" s="184">
        <f>IF(AB47="","",IF($I$8="A",(RANK(AB47,AB$11:AB$368)+COUNTIF(AB$11:AB47,AB47)-1),(RANK(AB47,AB$11:AB$368,1)+COUNTIF(AB$11:AB47,AB47)-1)))</f>
        <v>59</v>
      </c>
      <c r="AD47" s="184"/>
      <c r="AE47" s="28" t="str">
        <f t="shared" si="24"/>
        <v/>
      </c>
      <c r="AG47" s="96"/>
      <c r="AH47" s="29"/>
      <c r="AI47" s="38" t="str">
        <f>IF(L47="","",VLOOKUP($L47,classifications!$C:$J,8,FALSE))</f>
        <v>West Sussex</v>
      </c>
      <c r="AJ47" s="39" t="str">
        <f t="shared" si="4"/>
        <v/>
      </c>
      <c r="AK47" s="34" t="str">
        <f>IF(AJ47="","",IF(I$8="A",(RANK(AJ47,AJ$11:AJ$368,1)+COUNTIF(AJ$11:AJ47,AJ47)-1),(RANK(AJ47,AJ$11:AJ$368)+COUNTIF(AJ$11:AJ47,AJ47)-1)))</f>
        <v/>
      </c>
      <c r="AL47" s="29" t="str">
        <f t="shared" si="13"/>
        <v/>
      </c>
      <c r="AM47" s="8" t="str">
        <f t="shared" si="5"/>
        <v/>
      </c>
      <c r="AN47" s="8" t="str">
        <f t="shared" si="14"/>
        <v/>
      </c>
      <c r="AP47" s="38" t="str">
        <f>IF(L47="","",VLOOKUP($L47,classifications!$C:$E,3,FALSE))</f>
        <v>South East</v>
      </c>
      <c r="AQ47" s="39" t="str">
        <f t="shared" si="15"/>
        <v/>
      </c>
      <c r="AR47" s="34" t="str">
        <f>IF(AQ47="","",IF(I$8="A",(RANK(AQ47,AQ$11:AQ$368,1)+COUNTIF(AQ$11:AQ47,AQ47)-1),(RANK(AQ47,AQ$11:AQ$368)+COUNTIF(AQ$11:AQ47,AQ47)-1)))</f>
        <v/>
      </c>
      <c r="AS47" s="29" t="str">
        <f t="shared" si="16"/>
        <v/>
      </c>
      <c r="AT47" s="34" t="str">
        <f t="shared" si="6"/>
        <v/>
      </c>
      <c r="AU47" s="39" t="str">
        <f t="shared" si="17"/>
        <v/>
      </c>
      <c r="AX47" s="21">
        <f>HLOOKUP($AX$9&amp;$AX$10,Data!$A$1:$ZZ$2000,(MATCH($C47,Data!$A$1:$A$2000,0)),FALSE)</f>
        <v>85.229585707074037</v>
      </c>
      <c r="AY47" s="103"/>
      <c r="AZ47" s="21"/>
    </row>
    <row r="48" spans="1:52">
      <c r="A48" s="56" t="str">
        <f>$D$1&amp;38</f>
        <v>SD38</v>
      </c>
      <c r="B48" s="57" t="str">
        <f>IF(ISERROR(VLOOKUP(A48,classifications!A:C,3,FALSE)),0,VLOOKUP(A48,classifications!A:C,3,FALSE))</f>
        <v>North Devon</v>
      </c>
      <c r="C48" s="8" t="s">
        <v>23</v>
      </c>
      <c r="D48" s="26" t="str">
        <f>VLOOKUP($C48,classifications!$C:$J,4,FALSE)</f>
        <v>SD</v>
      </c>
      <c r="E48" s="26">
        <f>VLOOKUP(C48,classifications!C:K,9,FALSE)</f>
        <v>0</v>
      </c>
      <c r="F48" s="36">
        <f t="shared" si="0"/>
        <v>84.154504337307344</v>
      </c>
      <c r="G48" s="71"/>
      <c r="H48" s="37">
        <f t="shared" si="1"/>
        <v>84.154504337307344</v>
      </c>
      <c r="I48" s="77">
        <f>IF(H48="","",IF($I$8="A",(RANK(H48,H$11:H$368,1)+COUNTIF(H$11:H48,H48)-1),(RANK(H48,H$11:H$368)+COUNTIF(H$11:H48,H48)-1)))</f>
        <v>44</v>
      </c>
      <c r="J48" s="35"/>
      <c r="K48" s="28">
        <f t="shared" si="7"/>
        <v>38</v>
      </c>
      <c r="L48" s="36" t="str">
        <f t="shared" si="2"/>
        <v>West Oxfordshire</v>
      </c>
      <c r="M48" s="102">
        <f t="shared" si="22"/>
        <v>84.701153180655609</v>
      </c>
      <c r="N48" s="101">
        <f t="shared" si="23"/>
        <v>84.701153180655609</v>
      </c>
      <c r="O48" s="94">
        <f t="shared" si="8"/>
        <v>84.701153180655609</v>
      </c>
      <c r="P48" s="94" t="str">
        <f t="shared" si="18"/>
        <v/>
      </c>
      <c r="Q48" s="94" t="str">
        <f t="shared" si="19"/>
        <v/>
      </c>
      <c r="R48" s="90" t="str">
        <f t="shared" si="20"/>
        <v/>
      </c>
      <c r="S48" s="37" t="str">
        <f t="shared" si="9"/>
        <v/>
      </c>
      <c r="T48" s="176" t="str">
        <f>IF(L48="","",VLOOKUP(L48,classifications!C:K,9,FALSE))</f>
        <v>Sparse</v>
      </c>
      <c r="U48" s="183">
        <f t="shared" si="25"/>
        <v>84.701153180655609</v>
      </c>
      <c r="V48" s="184">
        <f>IF(U48="","",IF($I$8="A",(RANK(U48,U$11:U$368)+COUNTIF(U$11:U48,U48)-1),(RANK(U48,U$11:U$368,1)+COUNTIF(U$11:U48,U48)-1)))</f>
        <v>58</v>
      </c>
      <c r="W48" s="185"/>
      <c r="X48" s="38" t="str">
        <f>IF(L48="","",VLOOKUP($L48,classifications!$C:$J,6,FALSE))</f>
        <v xml:space="preserve">Mainly Rural (rural including hub towns &gt;=80%) </v>
      </c>
      <c r="Y48" s="26">
        <f t="shared" si="3"/>
        <v>84.701153180655609</v>
      </c>
      <c r="Z48" s="34">
        <f>IF(Y48="","",IF(I$8="A",(RANK(Y48,Y$11:Y$368,1)+COUNTIF(Y$11:Y48,Y48)-1),(RANK(Y48,Y$11:Y$368)+COUNTIF(Y$11:Y48,Y48)-1)))</f>
        <v>8</v>
      </c>
      <c r="AA48" s="188" t="str">
        <f>IF(L48="","",VLOOKUP($L48,classifications!C:I,7,FALSE))</f>
        <v>Predominantly Rural</v>
      </c>
      <c r="AB48" s="184">
        <f t="shared" si="11"/>
        <v>84.701153180655609</v>
      </c>
      <c r="AC48" s="184">
        <f>IF(AB48="","",IF($I$8="A",(RANK(AB48,AB$11:AB$368)+COUNTIF(AB$11:AB48,AB48)-1),(RANK(AB48,AB$11:AB$368,1)+COUNTIF(AB$11:AB48,AB48)-1)))</f>
        <v>58</v>
      </c>
      <c r="AD48" s="184"/>
      <c r="AE48" s="28" t="str">
        <f t="shared" si="24"/>
        <v/>
      </c>
      <c r="AG48" s="96"/>
      <c r="AH48" s="29"/>
      <c r="AI48" s="38" t="str">
        <f>IF(L48="","",VLOOKUP($L48,classifications!$C:$J,8,FALSE))</f>
        <v>Oxfordshire</v>
      </c>
      <c r="AJ48" s="39" t="str">
        <f t="shared" si="4"/>
        <v/>
      </c>
      <c r="AK48" s="34" t="str">
        <f>IF(AJ48="","",IF(I$8="A",(RANK(AJ48,AJ$11:AJ$368,1)+COUNTIF(AJ$11:AJ48,AJ48)-1),(RANK(AJ48,AJ$11:AJ$368)+COUNTIF(AJ$11:AJ48,AJ48)-1)))</f>
        <v/>
      </c>
      <c r="AL48" s="29" t="str">
        <f t="shared" si="13"/>
        <v/>
      </c>
      <c r="AM48" s="8" t="str">
        <f t="shared" si="5"/>
        <v/>
      </c>
      <c r="AN48" s="8" t="str">
        <f t="shared" si="14"/>
        <v/>
      </c>
      <c r="AP48" s="38" t="str">
        <f>IF(L48="","",VLOOKUP($L48,classifications!$C:$E,3,FALSE))</f>
        <v>South East</v>
      </c>
      <c r="AQ48" s="39" t="str">
        <f t="shared" si="15"/>
        <v/>
      </c>
      <c r="AR48" s="34" t="str">
        <f>IF(AQ48="","",IF(I$8="A",(RANK(AQ48,AQ$11:AQ$368,1)+COUNTIF(AQ$11:AQ48,AQ48)-1),(RANK(AQ48,AQ$11:AQ$368)+COUNTIF(AQ$11:AQ48,AQ48)-1)))</f>
        <v/>
      </c>
      <c r="AS48" s="29" t="str">
        <f t="shared" si="16"/>
        <v/>
      </c>
      <c r="AT48" s="34" t="str">
        <f t="shared" si="6"/>
        <v/>
      </c>
      <c r="AU48" s="39" t="str">
        <f t="shared" si="17"/>
        <v/>
      </c>
      <c r="AX48" s="21">
        <f>HLOOKUP($AX$9&amp;$AX$10,Data!$A$1:$ZZ$2000,(MATCH($C48,Data!$A$1:$A$2000,0)),FALSE)</f>
        <v>84.154504337307344</v>
      </c>
      <c r="AY48" s="103"/>
      <c r="AZ48" s="21"/>
    </row>
    <row r="49" spans="1:52">
      <c r="A49" s="56" t="str">
        <f>$D$1&amp;39</f>
        <v>SD39</v>
      </c>
      <c r="B49" s="57" t="str">
        <f>IF(ISERROR(VLOOKUP(A49,classifications!A:C,3,FALSE)),0,VLOOKUP(A49,classifications!A:C,3,FALSE))</f>
        <v>North Kesteven</v>
      </c>
      <c r="C49" s="8" t="s">
        <v>24</v>
      </c>
      <c r="D49" s="26" t="str">
        <f>VLOOKUP($C49,classifications!$C:$J,4,FALSE)</f>
        <v>SD</v>
      </c>
      <c r="E49" s="26">
        <f>VLOOKUP(C49,classifications!C:K,9,FALSE)</f>
        <v>0</v>
      </c>
      <c r="F49" s="36">
        <f t="shared" si="0"/>
        <v>79.348127844807593</v>
      </c>
      <c r="G49" s="71"/>
      <c r="H49" s="37">
        <f t="shared" si="1"/>
        <v>79.348127844807593</v>
      </c>
      <c r="I49" s="77">
        <f>IF(H49="","",IF($I$8="A",(RANK(H49,H$11:H$368,1)+COUNTIF(H$11:H49,H49)-1),(RANK(H49,H$11:H$368)+COUNTIF(H$11:H49,H49)-1)))</f>
        <v>131</v>
      </c>
      <c r="J49" s="35"/>
      <c r="K49" s="28">
        <f t="shared" si="7"/>
        <v>39</v>
      </c>
      <c r="L49" s="36" t="str">
        <f t="shared" si="2"/>
        <v>Arun</v>
      </c>
      <c r="M49" s="102">
        <f t="shared" si="22"/>
        <v>84.514725319808676</v>
      </c>
      <c r="N49" s="101">
        <f t="shared" si="23"/>
        <v>84.514725319808676</v>
      </c>
      <c r="O49" s="94">
        <f t="shared" si="8"/>
        <v>84.514725319808676</v>
      </c>
      <c r="P49" s="94" t="str">
        <f t="shared" si="18"/>
        <v/>
      </c>
      <c r="Q49" s="94" t="str">
        <f t="shared" si="19"/>
        <v/>
      </c>
      <c r="R49" s="90" t="str">
        <f t="shared" si="20"/>
        <v/>
      </c>
      <c r="S49" s="37" t="str">
        <f t="shared" si="9"/>
        <v/>
      </c>
      <c r="T49" s="176">
        <f>IF(L49="","",VLOOKUP(L49,classifications!C:K,9,FALSE))</f>
        <v>0</v>
      </c>
      <c r="U49" s="183" t="str">
        <f t="shared" si="25"/>
        <v/>
      </c>
      <c r="V49" s="184" t="str">
        <f>IF(U49="","",IF($I$8="A",(RANK(U49,U$11:U$368)+COUNTIF(U$11:U49,U49)-1),(RANK(U49,U$11:U$368,1)+COUNTIF(U$11:U49,U49)-1)))</f>
        <v/>
      </c>
      <c r="W49" s="185"/>
      <c r="X49" s="38" t="str">
        <f>IF(L49="","",VLOOKUP($L49,classifications!$C:$J,6,FALSE))</f>
        <v>Urban with City and Town</v>
      </c>
      <c r="Y49" s="26" t="str">
        <f t="shared" si="3"/>
        <v/>
      </c>
      <c r="Z49" s="34" t="str">
        <f>IF(Y49="","",IF(I$8="A",(RANK(Y49,Y$11:Y$368,1)+COUNTIF(Y$11:Y49,Y49)-1),(RANK(Y49,Y$11:Y$368)+COUNTIF(Y$11:Y49,Y49)-1)))</f>
        <v/>
      </c>
      <c r="AA49" s="188" t="str">
        <f>IF(L49="","",VLOOKUP($L49,classifications!C:I,7,FALSE))</f>
        <v>Predominantly Urban</v>
      </c>
      <c r="AB49" s="184" t="str">
        <f t="shared" si="11"/>
        <v/>
      </c>
      <c r="AC49" s="184" t="str">
        <f>IF(AB49="","",IF($I$8="A",(RANK(AB49,AB$11:AB$368)+COUNTIF(AB$11:AB49,AB49)-1),(RANK(AB49,AB$11:AB$368,1)+COUNTIF(AB$11:AB49,AB49)-1)))</f>
        <v/>
      </c>
      <c r="AD49" s="184"/>
      <c r="AE49" s="28" t="str">
        <f t="shared" si="24"/>
        <v/>
      </c>
      <c r="AG49" s="96"/>
      <c r="AH49" s="29"/>
      <c r="AI49" s="38" t="str">
        <f>IF(L49="","",VLOOKUP($L49,classifications!$C:$J,8,FALSE))</f>
        <v>West Sussex</v>
      </c>
      <c r="AJ49" s="39" t="str">
        <f t="shared" si="4"/>
        <v/>
      </c>
      <c r="AK49" s="34" t="str">
        <f>IF(AJ49="","",IF(I$8="A",(RANK(AJ49,AJ$11:AJ$368,1)+COUNTIF(AJ$11:AJ49,AJ49)-1),(RANK(AJ49,AJ$11:AJ$368)+COUNTIF(AJ$11:AJ49,AJ49)-1)))</f>
        <v/>
      </c>
      <c r="AL49" s="29" t="str">
        <f t="shared" si="13"/>
        <v/>
      </c>
      <c r="AM49" s="8" t="str">
        <f t="shared" si="5"/>
        <v/>
      </c>
      <c r="AN49" s="8" t="str">
        <f t="shared" si="14"/>
        <v/>
      </c>
      <c r="AP49" s="38" t="str">
        <f>IF(L49="","",VLOOKUP($L49,classifications!$C:$E,3,FALSE))</f>
        <v>South East</v>
      </c>
      <c r="AQ49" s="39" t="str">
        <f t="shared" si="15"/>
        <v/>
      </c>
      <c r="AR49" s="34" t="str">
        <f>IF(AQ49="","",IF(I$8="A",(RANK(AQ49,AQ$11:AQ$368,1)+COUNTIF(AQ$11:AQ49,AQ49)-1),(RANK(AQ49,AQ$11:AQ$368)+COUNTIF(AQ$11:AQ49,AQ49)-1)))</f>
        <v/>
      </c>
      <c r="AS49" s="29" t="str">
        <f t="shared" si="16"/>
        <v/>
      </c>
      <c r="AT49" s="34" t="str">
        <f t="shared" si="6"/>
        <v/>
      </c>
      <c r="AU49" s="39" t="str">
        <f t="shared" si="17"/>
        <v/>
      </c>
      <c r="AX49" s="21">
        <f>HLOOKUP($AX$9&amp;$AX$10,Data!$A$1:$ZZ$2000,(MATCH($C49,Data!$A$1:$A$2000,0)),FALSE)</f>
        <v>79.348127844807593</v>
      </c>
      <c r="AY49" s="103"/>
      <c r="AZ49" s="21"/>
    </row>
    <row r="50" spans="1:52">
      <c r="A50" s="56" t="str">
        <f>$D$1&amp;40</f>
        <v>SD40</v>
      </c>
      <c r="B50" s="57" t="str">
        <f>IF(ISERROR(VLOOKUP(A50,classifications!A:C,3,FALSE)),0,VLOOKUP(A50,classifications!A:C,3,FALSE))</f>
        <v>North Norfolk</v>
      </c>
      <c r="C50" s="8" t="s">
        <v>25</v>
      </c>
      <c r="D50" s="26" t="str">
        <f>VLOOKUP($C50,classifications!$C:$J,4,FALSE)</f>
        <v>SD</v>
      </c>
      <c r="E50" s="26">
        <f>VLOOKUP(C50,classifications!C:K,9,FALSE)</f>
        <v>0</v>
      </c>
      <c r="F50" s="36">
        <f t="shared" si="0"/>
        <v>82.507883514142037</v>
      </c>
      <c r="G50" s="71"/>
      <c r="H50" s="37">
        <f t="shared" si="1"/>
        <v>82.507883514142037</v>
      </c>
      <c r="I50" s="77">
        <f>IF(H50="","",IF($I$8="A",(RANK(H50,H$11:H$368,1)+COUNTIF(H$11:H50,H50)-1),(RANK(H50,H$11:H$368)+COUNTIF(H$11:H50,H50)-1)))</f>
        <v>68</v>
      </c>
      <c r="J50" s="35"/>
      <c r="K50" s="28">
        <f t="shared" si="7"/>
        <v>40</v>
      </c>
      <c r="L50" s="36" t="str">
        <f t="shared" si="2"/>
        <v>Tonbridge &amp; Malling</v>
      </c>
      <c r="M50" s="102">
        <f t="shared" si="22"/>
        <v>84.42401847183821</v>
      </c>
      <c r="N50" s="101">
        <f t="shared" si="23"/>
        <v>84.42401847183821</v>
      </c>
      <c r="O50" s="94">
        <f t="shared" si="8"/>
        <v>84.42401847183821</v>
      </c>
      <c r="P50" s="94" t="str">
        <f t="shared" si="18"/>
        <v/>
      </c>
      <c r="Q50" s="94" t="str">
        <f t="shared" si="19"/>
        <v/>
      </c>
      <c r="R50" s="90" t="str">
        <f t="shared" si="20"/>
        <v/>
      </c>
      <c r="S50" s="37" t="str">
        <f t="shared" si="9"/>
        <v/>
      </c>
      <c r="T50" s="176">
        <f>IF(L50="","",VLOOKUP(L50,classifications!C:K,9,FALSE))</f>
        <v>0</v>
      </c>
      <c r="U50" s="183" t="str">
        <f t="shared" si="25"/>
        <v/>
      </c>
      <c r="V50" s="184" t="str">
        <f>IF(U50="","",IF($I$8="A",(RANK(U50,U$11:U$368)+COUNTIF(U$11:U50,U50)-1),(RANK(U50,U$11:U$368,1)+COUNTIF(U$11:U50,U50)-1)))</f>
        <v/>
      </c>
      <c r="W50" s="185"/>
      <c r="X50" s="38" t="str">
        <f>IF(L50="","",VLOOKUP($L50,classifications!$C:$J,6,FALSE))</f>
        <v>Urban with Significant Rural (rural including hub towns 26-49%)</v>
      </c>
      <c r="Y50" s="26" t="str">
        <f t="shared" si="3"/>
        <v/>
      </c>
      <c r="Z50" s="34" t="str">
        <f>IF(Y50="","",IF(I$8="A",(RANK(Y50,Y$11:Y$368,1)+COUNTIF(Y$11:Y50,Y50)-1),(RANK(Y50,Y$11:Y$368)+COUNTIF(Y$11:Y50,Y50)-1)))</f>
        <v/>
      </c>
      <c r="AA50" s="188" t="str">
        <f>IF(L50="","",VLOOKUP($L50,classifications!C:I,7,FALSE))</f>
        <v>Significant Rural</v>
      </c>
      <c r="AB50" s="184" t="str">
        <f t="shared" si="11"/>
        <v/>
      </c>
      <c r="AC50" s="184" t="str">
        <f>IF(AB50="","",IF($I$8="A",(RANK(AB50,AB$11:AB$368)+COUNTIF(AB$11:AB50,AB50)-1),(RANK(AB50,AB$11:AB$368,1)+COUNTIF(AB$11:AB50,AB50)-1)))</f>
        <v/>
      </c>
      <c r="AD50" s="184"/>
      <c r="AE50" s="28" t="str">
        <f t="shared" si="24"/>
        <v/>
      </c>
      <c r="AG50" s="96"/>
      <c r="AH50" s="29"/>
      <c r="AI50" s="38" t="str">
        <f>IF(L50="","",VLOOKUP($L50,classifications!$C:$J,8,FALSE))</f>
        <v>Kent</v>
      </c>
      <c r="AJ50" s="39" t="str">
        <f t="shared" si="4"/>
        <v/>
      </c>
      <c r="AK50" s="34" t="str">
        <f>IF(AJ50="","",IF(I$8="A",(RANK(AJ50,AJ$11:AJ$368,1)+COUNTIF(AJ$11:AJ50,AJ50)-1),(RANK(AJ50,AJ$11:AJ$368)+COUNTIF(AJ$11:AJ50,AJ50)-1)))</f>
        <v/>
      </c>
      <c r="AL50" s="29" t="str">
        <f t="shared" si="13"/>
        <v/>
      </c>
      <c r="AM50" s="8" t="str">
        <f t="shared" si="5"/>
        <v/>
      </c>
      <c r="AN50" s="8" t="str">
        <f t="shared" si="14"/>
        <v/>
      </c>
      <c r="AP50" s="38" t="str">
        <f>IF(L50="","",VLOOKUP($L50,classifications!$C:$E,3,FALSE))</f>
        <v>South East</v>
      </c>
      <c r="AQ50" s="39" t="str">
        <f t="shared" si="15"/>
        <v/>
      </c>
      <c r="AR50" s="34" t="str">
        <f>IF(AQ50="","",IF(I$8="A",(RANK(AQ50,AQ$11:AQ$368,1)+COUNTIF(AQ$11:AQ50,AQ50)-1),(RANK(AQ50,AQ$11:AQ$368)+COUNTIF(AQ$11:AQ50,AQ50)-1)))</f>
        <v/>
      </c>
      <c r="AS50" s="29" t="str">
        <f t="shared" si="16"/>
        <v/>
      </c>
      <c r="AT50" s="34" t="str">
        <f t="shared" si="6"/>
        <v/>
      </c>
      <c r="AU50" s="39" t="str">
        <f t="shared" si="17"/>
        <v/>
      </c>
      <c r="AX50" s="21">
        <f>HLOOKUP($AX$9&amp;$AX$10,Data!$A$1:$ZZ$2000,(MATCH($C50,Data!$A$1:$A$2000,0)),FALSE)</f>
        <v>82.507883514142037</v>
      </c>
      <c r="AY50" s="103"/>
      <c r="AZ50" s="21"/>
    </row>
    <row r="51" spans="1:52">
      <c r="A51" s="56" t="str">
        <f>$D$1&amp;41</f>
        <v>SD41</v>
      </c>
      <c r="B51" s="57" t="str">
        <f>IF(ISERROR(VLOOKUP(A51,classifications!A:C,3,FALSE)),0,VLOOKUP(A51,classifications!A:C,3,FALSE))</f>
        <v>North West Leicestershire</v>
      </c>
      <c r="C51" s="8" t="s">
        <v>300</v>
      </c>
      <c r="D51" s="26" t="str">
        <f>VLOOKUP($C51,classifications!$C:$J,4,FALSE)</f>
        <v>SC</v>
      </c>
      <c r="E51" s="26">
        <f>VLOOKUP(C51,classifications!C:K,9,FALSE)</f>
        <v>0</v>
      </c>
      <c r="F51" s="36">
        <f t="shared" si="0"/>
        <v>82.776384158540779</v>
      </c>
      <c r="G51" s="71"/>
      <c r="H51" s="37" t="str">
        <f t="shared" si="1"/>
        <v/>
      </c>
      <c r="I51" s="77" t="str">
        <f>IF(H51="","",IF($I$8="A",(RANK(H51,H$11:H$368,1)+COUNTIF(H$11:H51,H51)-1),(RANK(H51,H$11:H$368)+COUNTIF(H$11:H51,H51)-1)))</f>
        <v/>
      </c>
      <c r="J51" s="35"/>
      <c r="K51" s="28">
        <f t="shared" si="7"/>
        <v>41</v>
      </c>
      <c r="L51" s="36" t="str">
        <f t="shared" si="2"/>
        <v>Chelmsford</v>
      </c>
      <c r="M51" s="102">
        <f t="shared" si="22"/>
        <v>84.374301378764812</v>
      </c>
      <c r="N51" s="101">
        <f t="shared" si="23"/>
        <v>84.374301378764812</v>
      </c>
      <c r="O51" s="94">
        <f t="shared" si="8"/>
        <v>84.374301378764812</v>
      </c>
      <c r="P51" s="94" t="str">
        <f t="shared" si="18"/>
        <v/>
      </c>
      <c r="Q51" s="94" t="str">
        <f t="shared" si="19"/>
        <v/>
      </c>
      <c r="R51" s="90" t="str">
        <f t="shared" si="20"/>
        <v/>
      </c>
      <c r="S51" s="37" t="str">
        <f t="shared" si="9"/>
        <v/>
      </c>
      <c r="T51" s="176">
        <f>IF(L51="","",VLOOKUP(L51,classifications!C:K,9,FALSE))</f>
        <v>0</v>
      </c>
      <c r="U51" s="183" t="str">
        <f t="shared" si="25"/>
        <v/>
      </c>
      <c r="V51" s="184" t="str">
        <f>IF(U51="","",IF($I$8="A",(RANK(U51,U$11:U$368)+COUNTIF(U$11:U51,U51)-1),(RANK(U51,U$11:U$368,1)+COUNTIF(U$11:U51,U51)-1)))</f>
        <v/>
      </c>
      <c r="W51" s="185"/>
      <c r="X51" s="38" t="str">
        <f>IF(L51="","",VLOOKUP($L51,classifications!$C:$J,6,FALSE))</f>
        <v>Urban with City and Town</v>
      </c>
      <c r="Y51" s="26" t="str">
        <f t="shared" si="3"/>
        <v/>
      </c>
      <c r="Z51" s="34" t="str">
        <f>IF(Y51="","",IF(I$8="A",(RANK(Y51,Y$11:Y$368,1)+COUNTIF(Y$11:Y51,Y51)-1),(RANK(Y51,Y$11:Y$368)+COUNTIF(Y$11:Y51,Y51)-1)))</f>
        <v/>
      </c>
      <c r="AA51" s="188" t="str">
        <f>IF(L51="","",VLOOKUP($L51,classifications!C:I,7,FALSE))</f>
        <v>Predominantly Urban</v>
      </c>
      <c r="AB51" s="184" t="str">
        <f t="shared" si="11"/>
        <v/>
      </c>
      <c r="AC51" s="184" t="str">
        <f>IF(AB51="","",IF($I$8="A",(RANK(AB51,AB$11:AB$368)+COUNTIF(AB$11:AB51,AB51)-1),(RANK(AB51,AB$11:AB$368,1)+COUNTIF(AB$11:AB51,AB51)-1)))</f>
        <v/>
      </c>
      <c r="AD51" s="184"/>
      <c r="AE51" s="28" t="str">
        <f t="shared" si="24"/>
        <v/>
      </c>
      <c r="AG51" s="96"/>
      <c r="AH51" s="29"/>
      <c r="AI51" s="38" t="str">
        <f>IF(L51="","",VLOOKUP($L51,classifications!$C:$J,8,FALSE))</f>
        <v>Essex</v>
      </c>
      <c r="AJ51" s="39" t="str">
        <f t="shared" si="4"/>
        <v/>
      </c>
      <c r="AK51" s="34" t="str">
        <f>IF(AJ51="","",IF(I$8="A",(RANK(AJ51,AJ$11:AJ$368,1)+COUNTIF(AJ$11:AJ51,AJ51)-1),(RANK(AJ51,AJ$11:AJ$368)+COUNTIF(AJ$11:AJ51,AJ51)-1)))</f>
        <v/>
      </c>
      <c r="AL51" s="29" t="str">
        <f t="shared" si="13"/>
        <v/>
      </c>
      <c r="AM51" s="8" t="str">
        <f t="shared" si="5"/>
        <v/>
      </c>
      <c r="AN51" s="8" t="str">
        <f t="shared" si="14"/>
        <v/>
      </c>
      <c r="AP51" s="38" t="str">
        <f>IF(L51="","",VLOOKUP($L51,classifications!$C:$E,3,FALSE))</f>
        <v>East of England</v>
      </c>
      <c r="AQ51" s="39" t="str">
        <f t="shared" si="15"/>
        <v/>
      </c>
      <c r="AR51" s="34" t="str">
        <f>IF(AQ51="","",IF(I$8="A",(RANK(AQ51,AQ$11:AQ$368,1)+COUNTIF(AQ$11:AQ51,AQ51)-1),(RANK(AQ51,AQ$11:AQ$368)+COUNTIF(AQ$11:AQ51,AQ51)-1)))</f>
        <v/>
      </c>
      <c r="AS51" s="29" t="str">
        <f t="shared" si="16"/>
        <v/>
      </c>
      <c r="AT51" s="34" t="str">
        <f t="shared" si="6"/>
        <v/>
      </c>
      <c r="AU51" s="39" t="str">
        <f t="shared" si="17"/>
        <v/>
      </c>
      <c r="AX51" s="21">
        <f>HLOOKUP($AX$9&amp;$AX$10,Data!$A$1:$ZZ$2000,(MATCH($C51,Data!$A$1:$A$2000,0)),FALSE)</f>
        <v>82.776384158540779</v>
      </c>
      <c r="AY51" s="103"/>
      <c r="AZ51" s="21"/>
    </row>
    <row r="52" spans="1:52">
      <c r="A52" s="56" t="str">
        <f>$D$1&amp;42</f>
        <v>SD42</v>
      </c>
      <c r="B52" s="57" t="str">
        <f>IF(ISERROR(VLOOKUP(A52,classifications!A:C,3,FALSE)),0,VLOOKUP(A52,classifications!A:C,3,FALSE))</f>
        <v>Ribble Valley</v>
      </c>
      <c r="C52" s="8" t="s">
        <v>26</v>
      </c>
      <c r="D52" s="26" t="str">
        <f>VLOOKUP($C52,classifications!$C:$J,4,FALSE)</f>
        <v>SD</v>
      </c>
      <c r="E52" s="26">
        <f>VLOOKUP(C52,classifications!C:K,9,FALSE)</f>
        <v>0</v>
      </c>
      <c r="F52" s="36">
        <f t="shared" si="0"/>
        <v>73.809805282781127</v>
      </c>
      <c r="G52" s="71"/>
      <c r="H52" s="37">
        <f t="shared" si="1"/>
        <v>73.809805282781127</v>
      </c>
      <c r="I52" s="77">
        <f>IF(H52="","",IF($I$8="A",(RANK(H52,H$11:H$368,1)+COUNTIF(H$11:H52,H52)-1),(RANK(H52,H$11:H$368)+COUNTIF(H$11:H52,H52)-1)))</f>
        <v>186</v>
      </c>
      <c r="J52" s="35"/>
      <c r="K52" s="28">
        <f t="shared" si="7"/>
        <v>42</v>
      </c>
      <c r="L52" s="36" t="str">
        <f t="shared" si="2"/>
        <v>Mendip</v>
      </c>
      <c r="M52" s="102">
        <f t="shared" si="22"/>
        <v>84.334564848336342</v>
      </c>
      <c r="N52" s="101">
        <f t="shared" si="23"/>
        <v>84.334564848336342</v>
      </c>
      <c r="O52" s="94">
        <f t="shared" si="8"/>
        <v>84.334564848336342</v>
      </c>
      <c r="P52" s="94" t="str">
        <f t="shared" si="18"/>
        <v/>
      </c>
      <c r="Q52" s="94" t="str">
        <f t="shared" si="19"/>
        <v/>
      </c>
      <c r="R52" s="90" t="str">
        <f t="shared" si="20"/>
        <v/>
      </c>
      <c r="S52" s="37" t="str">
        <f t="shared" si="9"/>
        <v/>
      </c>
      <c r="T52" s="176" t="str">
        <f>IF(L52="","",VLOOKUP(L52,classifications!C:K,9,FALSE))</f>
        <v>Sparse</v>
      </c>
      <c r="U52" s="183">
        <f t="shared" si="25"/>
        <v>84.334564848336342</v>
      </c>
      <c r="V52" s="184">
        <f>IF(U52="","",IF($I$8="A",(RANK(U52,U$11:U$368)+COUNTIF(U$11:U52,U52)-1),(RANK(U52,U$11:U$368,1)+COUNTIF(U$11:U52,U52)-1)))</f>
        <v>57</v>
      </c>
      <c r="W52" s="185"/>
      <c r="X52" s="38" t="str">
        <f>IF(L52="","",VLOOKUP($L52,classifications!$C:$J,6,FALSE))</f>
        <v xml:space="preserve">Mainly Rural (rural including hub towns &gt;=80%) </v>
      </c>
      <c r="Y52" s="26">
        <f t="shared" si="3"/>
        <v>84.334564848336342</v>
      </c>
      <c r="Z52" s="34">
        <f>IF(Y52="","",IF(I$8="A",(RANK(Y52,Y$11:Y$368,1)+COUNTIF(Y$11:Y52,Y52)-1),(RANK(Y52,Y$11:Y$368)+COUNTIF(Y$11:Y52,Y52)-1)))</f>
        <v>9</v>
      </c>
      <c r="AA52" s="188" t="str">
        <f>IF(L52="","",VLOOKUP($L52,classifications!C:I,7,FALSE))</f>
        <v>Predominantly Rural</v>
      </c>
      <c r="AB52" s="184">
        <f t="shared" si="11"/>
        <v>84.334564848336342</v>
      </c>
      <c r="AC52" s="184">
        <f>IF(AB52="","",IF($I$8="A",(RANK(AB52,AB$11:AB$368)+COUNTIF(AB$11:AB52,AB52)-1),(RANK(AB52,AB$11:AB$368,1)+COUNTIF(AB$11:AB52,AB52)-1)))</f>
        <v>57</v>
      </c>
      <c r="AD52" s="184"/>
      <c r="AE52" s="28" t="str">
        <f t="shared" si="24"/>
        <v/>
      </c>
      <c r="AG52" s="96"/>
      <c r="AH52" s="29"/>
      <c r="AI52" s="38" t="str">
        <f>IF(L52="","",VLOOKUP($L52,classifications!$C:$J,8,FALSE))</f>
        <v>Somerset</v>
      </c>
      <c r="AJ52" s="39" t="str">
        <f t="shared" si="4"/>
        <v/>
      </c>
      <c r="AK52" s="34" t="str">
        <f>IF(AJ52="","",IF(I$8="A",(RANK(AJ52,AJ$11:AJ$368,1)+COUNTIF(AJ$11:AJ52,AJ52)-1),(RANK(AJ52,AJ$11:AJ$368)+COUNTIF(AJ$11:AJ52,AJ52)-1)))</f>
        <v/>
      </c>
      <c r="AL52" s="29" t="str">
        <f t="shared" si="13"/>
        <v/>
      </c>
      <c r="AM52" s="8" t="str">
        <f t="shared" si="5"/>
        <v/>
      </c>
      <c r="AN52" s="8" t="str">
        <f t="shared" si="14"/>
        <v/>
      </c>
      <c r="AP52" s="38" t="str">
        <f>IF(L52="","",VLOOKUP($L52,classifications!$C:$E,3,FALSE))</f>
        <v>South West</v>
      </c>
      <c r="AQ52" s="39" t="str">
        <f t="shared" si="15"/>
        <v/>
      </c>
      <c r="AR52" s="34" t="str">
        <f>IF(AQ52="","",IF(I$8="A",(RANK(AQ52,AQ$11:AQ$368,1)+COUNTIF(AQ$11:AQ52,AQ52)-1),(RANK(AQ52,AQ$11:AQ$368)+COUNTIF(AQ$11:AQ52,AQ52)-1)))</f>
        <v/>
      </c>
      <c r="AS52" s="29" t="str">
        <f t="shared" si="16"/>
        <v/>
      </c>
      <c r="AT52" s="34" t="str">
        <f t="shared" si="6"/>
        <v/>
      </c>
      <c r="AU52" s="39" t="str">
        <f t="shared" si="17"/>
        <v/>
      </c>
      <c r="AX52" s="21">
        <f>HLOOKUP($AX$9&amp;$AX$10,Data!$A$1:$ZZ$2000,(MATCH($C52,Data!$A$1:$A$2000,0)),FALSE)</f>
        <v>73.809805282781127</v>
      </c>
      <c r="AY52" s="103"/>
      <c r="AZ52" s="21"/>
    </row>
    <row r="53" spans="1:52">
      <c r="A53" s="56" t="str">
        <f>$D$1&amp;43</f>
        <v>SD43</v>
      </c>
      <c r="B53" s="57" t="str">
        <f>IF(ISERROR(VLOOKUP(A53,classifications!A:C,3,FALSE)),0,VLOOKUP(A53,classifications!A:C,3,FALSE))</f>
        <v>Richmondshire</v>
      </c>
      <c r="C53" s="8" t="s">
        <v>226</v>
      </c>
      <c r="D53" s="26" t="str">
        <f>VLOOKUP($C53,classifications!$C:$J,4,FALSE)</f>
        <v>MD</v>
      </c>
      <c r="E53" s="26">
        <f>VLOOKUP(C53,classifications!C:K,9,FALSE)</f>
        <v>0</v>
      </c>
      <c r="F53" s="36">
        <f t="shared" si="0"/>
        <v>79.11465052091954</v>
      </c>
      <c r="G53" s="71"/>
      <c r="H53" s="37" t="str">
        <f t="shared" si="1"/>
        <v/>
      </c>
      <c r="I53" s="77" t="str">
        <f>IF(H53="","",IF($I$8="A",(RANK(H53,H$11:H$368,1)+COUNTIF(H$11:H53,H53)-1),(RANK(H53,H$11:H$368)+COUNTIF(H$11:H53,H53)-1)))</f>
        <v/>
      </c>
      <c r="J53" s="35"/>
      <c r="K53" s="28">
        <f t="shared" si="7"/>
        <v>43</v>
      </c>
      <c r="L53" s="36" t="str">
        <f t="shared" si="2"/>
        <v>West Devon</v>
      </c>
      <c r="M53" s="102">
        <f t="shared" si="22"/>
        <v>84.247914936955652</v>
      </c>
      <c r="N53" s="101">
        <f t="shared" si="23"/>
        <v>84.247914936955652</v>
      </c>
      <c r="O53" s="94">
        <f t="shared" si="8"/>
        <v>84.247914936955652</v>
      </c>
      <c r="P53" s="94" t="str">
        <f t="shared" si="18"/>
        <v/>
      </c>
      <c r="Q53" s="94" t="str">
        <f t="shared" si="19"/>
        <v/>
      </c>
      <c r="R53" s="90" t="str">
        <f t="shared" si="20"/>
        <v/>
      </c>
      <c r="S53" s="37" t="str">
        <f t="shared" si="9"/>
        <v/>
      </c>
      <c r="T53" s="176" t="str">
        <f>IF(L53="","",VLOOKUP(L53,classifications!C:K,9,FALSE))</f>
        <v>Sparse</v>
      </c>
      <c r="U53" s="183">
        <f t="shared" si="25"/>
        <v>84.247914936955652</v>
      </c>
      <c r="V53" s="184">
        <f>IF(U53="","",IF($I$8="A",(RANK(U53,U$11:U$368)+COUNTIF(U$11:U53,U53)-1),(RANK(U53,U$11:U$368,1)+COUNTIF(U$11:U53,U53)-1)))</f>
        <v>56</v>
      </c>
      <c r="W53" s="185"/>
      <c r="X53" s="38" t="str">
        <f>IF(L53="","",VLOOKUP($L53,classifications!$C:$J,6,FALSE))</f>
        <v xml:space="preserve">Mainly Rural (rural including hub towns &gt;=80%) </v>
      </c>
      <c r="Y53" s="26">
        <f t="shared" si="3"/>
        <v>84.247914936955652</v>
      </c>
      <c r="Z53" s="34">
        <f>IF(Y53="","",IF(I$8="A",(RANK(Y53,Y$11:Y$368,1)+COUNTIF(Y$11:Y53,Y53)-1),(RANK(Y53,Y$11:Y$368)+COUNTIF(Y$11:Y53,Y53)-1)))</f>
        <v>10</v>
      </c>
      <c r="AA53" s="188" t="str">
        <f>IF(L53="","",VLOOKUP($L53,classifications!C:I,7,FALSE))</f>
        <v>Predominantly Rural</v>
      </c>
      <c r="AB53" s="184">
        <f t="shared" si="11"/>
        <v>84.247914936955652</v>
      </c>
      <c r="AC53" s="184">
        <f>IF(AB53="","",IF($I$8="A",(RANK(AB53,AB$11:AB$368)+COUNTIF(AB$11:AB53,AB53)-1),(RANK(AB53,AB$11:AB$368,1)+COUNTIF(AB$11:AB53,AB53)-1)))</f>
        <v>56</v>
      </c>
      <c r="AD53" s="184"/>
      <c r="AE53" s="28" t="str">
        <f t="shared" si="24"/>
        <v/>
      </c>
      <c r="AG53" s="96"/>
      <c r="AH53" s="29"/>
      <c r="AI53" s="38" t="str">
        <f>IF(L53="","",VLOOKUP($L53,classifications!$C:$J,8,FALSE))</f>
        <v>Devon</v>
      </c>
      <c r="AJ53" s="39" t="str">
        <f t="shared" si="4"/>
        <v/>
      </c>
      <c r="AK53" s="34" t="str">
        <f>IF(AJ53="","",IF(I$8="A",(RANK(AJ53,AJ$11:AJ$368,1)+COUNTIF(AJ$11:AJ53,AJ53)-1),(RANK(AJ53,AJ$11:AJ$368)+COUNTIF(AJ$11:AJ53,AJ53)-1)))</f>
        <v/>
      </c>
      <c r="AL53" s="29" t="str">
        <f t="shared" si="13"/>
        <v/>
      </c>
      <c r="AM53" s="8" t="str">
        <f t="shared" si="5"/>
        <v/>
      </c>
      <c r="AN53" s="8" t="str">
        <f t="shared" si="14"/>
        <v/>
      </c>
      <c r="AP53" s="38" t="str">
        <f>IF(L53="","",VLOOKUP($L53,classifications!$C:$E,3,FALSE))</f>
        <v>South West</v>
      </c>
      <c r="AQ53" s="39" t="str">
        <f t="shared" si="15"/>
        <v/>
      </c>
      <c r="AR53" s="34" t="str">
        <f>IF(AQ53="","",IF(I$8="A",(RANK(AQ53,AQ$11:AQ$368,1)+COUNTIF(AQ$11:AQ53,AQ53)-1),(RANK(AQ53,AQ$11:AQ$368)+COUNTIF(AQ$11:AQ53,AQ53)-1)))</f>
        <v/>
      </c>
      <c r="AS53" s="29" t="str">
        <f t="shared" si="16"/>
        <v/>
      </c>
      <c r="AT53" s="34" t="str">
        <f t="shared" si="6"/>
        <v/>
      </c>
      <c r="AU53" s="39" t="str">
        <f t="shared" si="17"/>
        <v/>
      </c>
      <c r="AX53" s="21">
        <f>HLOOKUP($AX$9&amp;$AX$10,Data!$A$1:$ZZ$2000,(MATCH($C53,Data!$A$1:$A$2000,0)),FALSE)</f>
        <v>79.11465052091954</v>
      </c>
      <c r="AY53" s="103"/>
      <c r="AZ53" s="21"/>
    </row>
    <row r="54" spans="1:52">
      <c r="A54" s="56" t="str">
        <f>$D$1&amp;44</f>
        <v>SD44</v>
      </c>
      <c r="B54" s="57" t="str">
        <f>IF(ISERROR(VLOOKUP(A54,classifications!A:C,3,FALSE)),0,VLOOKUP(A54,classifications!A:C,3,FALSE))</f>
        <v>Rother</v>
      </c>
      <c r="C54" s="8" t="s">
        <v>227</v>
      </c>
      <c r="D54" s="26" t="str">
        <f>VLOOKUP($C54,classifications!$C:$J,4,FALSE)</f>
        <v>MD</v>
      </c>
      <c r="E54" s="26">
        <f>VLOOKUP(C54,classifications!C:K,9,FALSE)</f>
        <v>0</v>
      </c>
      <c r="F54" s="36">
        <f t="shared" si="0"/>
        <v>79.16760335671502</v>
      </c>
      <c r="G54" s="71"/>
      <c r="H54" s="37" t="str">
        <f t="shared" si="1"/>
        <v/>
      </c>
      <c r="I54" s="77" t="str">
        <f>IF(H54="","",IF($I$8="A",(RANK(H54,H$11:H$368,1)+COUNTIF(H$11:H54,H54)-1),(RANK(H54,H$11:H$368)+COUNTIF(H$11:H54,H54)-1)))</f>
        <v/>
      </c>
      <c r="J54" s="35"/>
      <c r="K54" s="28">
        <f t="shared" si="7"/>
        <v>44</v>
      </c>
      <c r="L54" s="36" t="str">
        <f t="shared" si="2"/>
        <v>Bromsgrove</v>
      </c>
      <c r="M54" s="102">
        <f t="shared" si="22"/>
        <v>84.154504337307344</v>
      </c>
      <c r="N54" s="101">
        <f t="shared" si="23"/>
        <v>84.154504337307344</v>
      </c>
      <c r="O54" s="94">
        <f t="shared" si="8"/>
        <v>84.154504337307344</v>
      </c>
      <c r="P54" s="94" t="str">
        <f t="shared" si="18"/>
        <v/>
      </c>
      <c r="Q54" s="94" t="str">
        <f t="shared" si="19"/>
        <v/>
      </c>
      <c r="R54" s="90" t="str">
        <f t="shared" si="20"/>
        <v/>
      </c>
      <c r="S54" s="37" t="str">
        <f t="shared" si="9"/>
        <v/>
      </c>
      <c r="T54" s="176">
        <f>IF(L54="","",VLOOKUP(L54,classifications!C:K,9,FALSE))</f>
        <v>0</v>
      </c>
      <c r="U54" s="183" t="str">
        <f t="shared" si="25"/>
        <v/>
      </c>
      <c r="V54" s="184" t="str">
        <f>IF(U54="","",IF($I$8="A",(RANK(U54,U$11:U$368)+COUNTIF(U$11:U54,U54)-1),(RANK(U54,U$11:U$368,1)+COUNTIF(U$11:U54,U54)-1)))</f>
        <v/>
      </c>
      <c r="W54" s="185"/>
      <c r="X54" s="38" t="str">
        <f>IF(L54="","",VLOOKUP($L54,classifications!$C:$J,6,FALSE))</f>
        <v>Urban with City and Town</v>
      </c>
      <c r="Y54" s="26" t="str">
        <f t="shared" si="3"/>
        <v/>
      </c>
      <c r="Z54" s="34" t="str">
        <f>IF(Y54="","",IF(I$8="A",(RANK(Y54,Y$11:Y$368,1)+COUNTIF(Y$11:Y54,Y54)-1),(RANK(Y54,Y$11:Y$368)+COUNTIF(Y$11:Y54,Y54)-1)))</f>
        <v/>
      </c>
      <c r="AA54" s="188" t="str">
        <f>IF(L54="","",VLOOKUP($L54,classifications!C:I,7,FALSE))</f>
        <v>Predominantly Urban</v>
      </c>
      <c r="AB54" s="184" t="str">
        <f t="shared" si="11"/>
        <v/>
      </c>
      <c r="AC54" s="184" t="str">
        <f>IF(AB54="","",IF($I$8="A",(RANK(AB54,AB$11:AB$368)+COUNTIF(AB$11:AB54,AB54)-1),(RANK(AB54,AB$11:AB$368,1)+COUNTIF(AB$11:AB54,AB54)-1)))</f>
        <v/>
      </c>
      <c r="AD54" s="184"/>
      <c r="AE54" s="28" t="str">
        <f t="shared" si="24"/>
        <v/>
      </c>
      <c r="AG54" s="96"/>
      <c r="AH54" s="29"/>
      <c r="AI54" s="38" t="str">
        <f>IF(L54="","",VLOOKUP($L54,classifications!$C:$J,8,FALSE))</f>
        <v>Worcestershire</v>
      </c>
      <c r="AJ54" s="39" t="str">
        <f t="shared" si="4"/>
        <v/>
      </c>
      <c r="AK54" s="34" t="str">
        <f>IF(AJ54="","",IF(I$8="A",(RANK(AJ54,AJ$11:AJ$368,1)+COUNTIF(AJ$11:AJ54,AJ54)-1),(RANK(AJ54,AJ$11:AJ$368)+COUNTIF(AJ$11:AJ54,AJ54)-1)))</f>
        <v/>
      </c>
      <c r="AL54" s="29" t="str">
        <f t="shared" si="13"/>
        <v/>
      </c>
      <c r="AM54" s="8" t="str">
        <f t="shared" si="5"/>
        <v/>
      </c>
      <c r="AN54" s="8" t="str">
        <f t="shared" si="14"/>
        <v/>
      </c>
      <c r="AP54" s="38" t="str">
        <f>IF(L54="","",VLOOKUP($L54,classifications!$C:$E,3,FALSE))</f>
        <v>West Midlands</v>
      </c>
      <c r="AQ54" s="39" t="str">
        <f t="shared" si="15"/>
        <v/>
      </c>
      <c r="AR54" s="34" t="str">
        <f>IF(AQ54="","",IF(I$8="A",(RANK(AQ54,AQ$11:AQ$368,1)+COUNTIF(AQ$11:AQ54,AQ54)-1),(RANK(AQ54,AQ$11:AQ$368)+COUNTIF(AQ$11:AQ54,AQ54)-1)))</f>
        <v/>
      </c>
      <c r="AS54" s="29" t="str">
        <f t="shared" si="16"/>
        <v/>
      </c>
      <c r="AT54" s="34" t="str">
        <f t="shared" si="6"/>
        <v/>
      </c>
      <c r="AU54" s="39" t="str">
        <f t="shared" si="17"/>
        <v/>
      </c>
      <c r="AX54" s="21">
        <f>HLOOKUP($AX$9&amp;$AX$10,Data!$A$1:$ZZ$2000,(MATCH($C54,Data!$A$1:$A$2000,0)),FALSE)</f>
        <v>79.16760335671502</v>
      </c>
      <c r="AY54" s="103"/>
      <c r="AZ54" s="21"/>
    </row>
    <row r="55" spans="1:52">
      <c r="A55" s="56" t="str">
        <f>$D$1&amp;45</f>
        <v>SD45</v>
      </c>
      <c r="B55" s="57" t="str">
        <f>IF(ISERROR(VLOOKUP(A55,classifications!A:C,3,FALSE)),0,VLOOKUP(A55,classifications!A:C,3,FALSE))</f>
        <v>Rugby</v>
      </c>
      <c r="C55" s="8" t="s">
        <v>27</v>
      </c>
      <c r="D55" s="26" t="str">
        <f>VLOOKUP($C55,classifications!$C:$J,4,FALSE)</f>
        <v>SD</v>
      </c>
      <c r="E55" s="26">
        <f>VLOOKUP(C55,classifications!C:K,9,FALSE)</f>
        <v>0</v>
      </c>
      <c r="F55" s="36">
        <f t="shared" si="0"/>
        <v>85.86811617148318</v>
      </c>
      <c r="G55" s="71"/>
      <c r="H55" s="37">
        <f t="shared" si="1"/>
        <v>85.86811617148318</v>
      </c>
      <c r="I55" s="77">
        <f>IF(H55="","",IF($I$8="A",(RANK(H55,H$11:H$368,1)+COUNTIF(H$11:H55,H55)-1),(RANK(H55,H$11:H$368)+COUNTIF(H$11:H55,H55)-1)))</f>
        <v>21</v>
      </c>
      <c r="J55" s="35"/>
      <c r="K55" s="28">
        <f t="shared" si="7"/>
        <v>45</v>
      </c>
      <c r="L55" s="36" t="str">
        <f t="shared" si="2"/>
        <v>Wycombe</v>
      </c>
      <c r="M55" s="102">
        <f t="shared" si="22"/>
        <v>84.115691474297307</v>
      </c>
      <c r="N55" s="101">
        <f t="shared" si="23"/>
        <v>84.115691474297307</v>
      </c>
      <c r="O55" s="94">
        <f t="shared" si="8"/>
        <v>84.115691474297307</v>
      </c>
      <c r="P55" s="94" t="str">
        <f t="shared" si="18"/>
        <v/>
      </c>
      <c r="Q55" s="94" t="str">
        <f t="shared" si="19"/>
        <v/>
      </c>
      <c r="R55" s="90" t="str">
        <f t="shared" si="20"/>
        <v/>
      </c>
      <c r="S55" s="37" t="str">
        <f t="shared" si="9"/>
        <v/>
      </c>
      <c r="T55" s="176">
        <f>IF(L55="","",VLOOKUP(L55,classifications!C:K,9,FALSE))</f>
        <v>0</v>
      </c>
      <c r="U55" s="183" t="str">
        <f t="shared" si="25"/>
        <v/>
      </c>
      <c r="V55" s="184" t="str">
        <f>IF(U55="","",IF($I$8="A",(RANK(U55,U$11:U$368)+COUNTIF(U$11:U55,U55)-1),(RANK(U55,U$11:U$368,1)+COUNTIF(U$11:U55,U55)-1)))</f>
        <v/>
      </c>
      <c r="W55" s="185"/>
      <c r="X55" s="38" t="str">
        <f>IF(L55="","",VLOOKUP($L55,classifications!$C:$J,6,FALSE))</f>
        <v>Urban with Significant Rural (rural including hub towns 26-49%)</v>
      </c>
      <c r="Y55" s="26" t="str">
        <f t="shared" si="3"/>
        <v/>
      </c>
      <c r="Z55" s="34" t="str">
        <f>IF(Y55="","",IF(I$8="A",(RANK(Y55,Y$11:Y$368,1)+COUNTIF(Y$11:Y55,Y55)-1),(RANK(Y55,Y$11:Y$368)+COUNTIF(Y$11:Y55,Y55)-1)))</f>
        <v/>
      </c>
      <c r="AA55" s="188" t="str">
        <f>IF(L55="","",VLOOKUP($L55,classifications!C:I,7,FALSE))</f>
        <v>Significant Rural</v>
      </c>
      <c r="AB55" s="184" t="str">
        <f t="shared" si="11"/>
        <v/>
      </c>
      <c r="AC55" s="184" t="str">
        <f>IF(AB55="","",IF($I$8="A",(RANK(AB55,AB$11:AB$368)+COUNTIF(AB$11:AB55,AB55)-1),(RANK(AB55,AB$11:AB$368,1)+COUNTIF(AB$11:AB55,AB55)-1)))</f>
        <v/>
      </c>
      <c r="AD55" s="184"/>
      <c r="AE55" s="28" t="str">
        <f t="shared" si="24"/>
        <v/>
      </c>
      <c r="AG55" s="96"/>
      <c r="AH55" s="29"/>
      <c r="AI55" s="38" t="str">
        <f>IF(L55="","",VLOOKUP($L55,classifications!$C:$J,8,FALSE))</f>
        <v>Buckinghamshire</v>
      </c>
      <c r="AJ55" s="39" t="str">
        <f t="shared" si="4"/>
        <v/>
      </c>
      <c r="AK55" s="34" t="str">
        <f>IF(AJ55="","",IF(I$8="A",(RANK(AJ55,AJ$11:AJ$368,1)+COUNTIF(AJ$11:AJ55,AJ55)-1),(RANK(AJ55,AJ$11:AJ$368)+COUNTIF(AJ$11:AJ55,AJ55)-1)))</f>
        <v/>
      </c>
      <c r="AL55" s="29" t="str">
        <f t="shared" si="13"/>
        <v/>
      </c>
      <c r="AM55" s="8" t="str">
        <f t="shared" si="5"/>
        <v/>
      </c>
      <c r="AN55" s="8" t="str">
        <f t="shared" si="14"/>
        <v/>
      </c>
      <c r="AP55" s="38" t="str">
        <f>IF(L55="","",VLOOKUP($L55,classifications!$C:$E,3,FALSE))</f>
        <v>South East</v>
      </c>
      <c r="AQ55" s="39" t="str">
        <f t="shared" si="15"/>
        <v/>
      </c>
      <c r="AR55" s="34" t="str">
        <f>IF(AQ55="","",IF(I$8="A",(RANK(AQ55,AQ$11:AQ$368,1)+COUNTIF(AQ$11:AQ55,AQ55)-1),(RANK(AQ55,AQ$11:AQ$368)+COUNTIF(AQ$11:AQ55,AQ55)-1)))</f>
        <v/>
      </c>
      <c r="AS55" s="29" t="str">
        <f t="shared" si="16"/>
        <v/>
      </c>
      <c r="AT55" s="34" t="str">
        <f t="shared" si="6"/>
        <v/>
      </c>
      <c r="AU55" s="39" t="str">
        <f t="shared" si="17"/>
        <v/>
      </c>
      <c r="AX55" s="21">
        <f>HLOOKUP($AX$9&amp;$AX$10,Data!$A$1:$ZZ$2000,(MATCH($C55,Data!$A$1:$A$2000,0)),FALSE)</f>
        <v>85.86811617148318</v>
      </c>
      <c r="AY55" s="103"/>
      <c r="AZ55" s="21"/>
    </row>
    <row r="56" spans="1:52">
      <c r="A56" s="56" t="str">
        <f>$D$1&amp;46</f>
        <v>SD46</v>
      </c>
      <c r="B56" s="57" t="str">
        <f>IF(ISERROR(VLOOKUP(A56,classifications!A:C,3,FALSE)),0,VLOOKUP(A56,classifications!A:C,3,FALSE))</f>
        <v>Ryedale</v>
      </c>
      <c r="C56" s="8" t="s">
        <v>302</v>
      </c>
      <c r="D56" s="26" t="str">
        <f>VLOOKUP($C56,classifications!$C:$J,4,FALSE)</f>
        <v>SC</v>
      </c>
      <c r="E56" s="26">
        <f>VLOOKUP(C56,classifications!C:K,9,FALSE)</f>
        <v>0</v>
      </c>
      <c r="F56" s="36">
        <f t="shared" si="0"/>
        <v>81.15735863994766</v>
      </c>
      <c r="G56" s="71"/>
      <c r="H56" s="37" t="str">
        <f t="shared" si="1"/>
        <v/>
      </c>
      <c r="I56" s="77" t="str">
        <f>IF(H56="","",IF($I$8="A",(RANK(H56,H$11:H$368,1)+COUNTIF(H$11:H56,H56)-1),(RANK(H56,H$11:H$368)+COUNTIF(H$11:H56,H56)-1)))</f>
        <v/>
      </c>
      <c r="J56" s="35"/>
      <c r="K56" s="28">
        <f t="shared" si="7"/>
        <v>46</v>
      </c>
      <c r="L56" s="36" t="str">
        <f t="shared" si="2"/>
        <v>Ribble Valley</v>
      </c>
      <c r="M56" s="102">
        <f t="shared" si="22"/>
        <v>83.9788150549292</v>
      </c>
      <c r="N56" s="101">
        <f t="shared" si="23"/>
        <v>83.9788150549292</v>
      </c>
      <c r="O56" s="94">
        <f t="shared" si="8"/>
        <v>83.9788150549292</v>
      </c>
      <c r="P56" s="94" t="str">
        <f t="shared" si="18"/>
        <v/>
      </c>
      <c r="Q56" s="94" t="str">
        <f t="shared" si="19"/>
        <v/>
      </c>
      <c r="R56" s="90" t="str">
        <f t="shared" si="20"/>
        <v/>
      </c>
      <c r="S56" s="37" t="str">
        <f t="shared" si="9"/>
        <v/>
      </c>
      <c r="T56" s="176" t="str">
        <f>IF(L56="","",VLOOKUP(L56,classifications!C:K,9,FALSE))</f>
        <v>Sparse</v>
      </c>
      <c r="U56" s="183">
        <f t="shared" si="25"/>
        <v>83.9788150549292</v>
      </c>
      <c r="V56" s="184">
        <f>IF(U56="","",IF($I$8="A",(RANK(U56,U$11:U$368)+COUNTIF(U$11:U56,U56)-1),(RANK(U56,U$11:U$368,1)+COUNTIF(U$11:U56,U56)-1)))</f>
        <v>55</v>
      </c>
      <c r="W56" s="185"/>
      <c r="X56" s="38" t="str">
        <f>IF(L56="","",VLOOKUP($L56,classifications!$C:$J,6,FALSE))</f>
        <v xml:space="preserve">Mainly Rural (rural including hub towns &gt;=80%) </v>
      </c>
      <c r="Y56" s="26">
        <f t="shared" si="3"/>
        <v>83.9788150549292</v>
      </c>
      <c r="Z56" s="34">
        <f>IF(Y56="","",IF(I$8="A",(RANK(Y56,Y$11:Y$368,1)+COUNTIF(Y$11:Y56,Y56)-1),(RANK(Y56,Y$11:Y$368)+COUNTIF(Y$11:Y56,Y56)-1)))</f>
        <v>11</v>
      </c>
      <c r="AA56" s="188" t="str">
        <f>IF(L56="","",VLOOKUP($L56,classifications!C:I,7,FALSE))</f>
        <v>Predominantly Rural</v>
      </c>
      <c r="AB56" s="184">
        <f t="shared" si="11"/>
        <v>83.9788150549292</v>
      </c>
      <c r="AC56" s="184">
        <f>IF(AB56="","",IF($I$8="A",(RANK(AB56,AB$11:AB$368)+COUNTIF(AB$11:AB56,AB56)-1),(RANK(AB56,AB$11:AB$368,1)+COUNTIF(AB$11:AB56,AB56)-1)))</f>
        <v>55</v>
      </c>
      <c r="AD56" s="184"/>
      <c r="AE56" s="28" t="str">
        <f t="shared" si="24"/>
        <v/>
      </c>
      <c r="AG56" s="96"/>
      <c r="AH56" s="29"/>
      <c r="AI56" s="38" t="str">
        <f>IF(L56="","",VLOOKUP($L56,classifications!$C:$J,8,FALSE))</f>
        <v>Lancashire</v>
      </c>
      <c r="AJ56" s="39" t="str">
        <f t="shared" si="4"/>
        <v/>
      </c>
      <c r="AK56" s="34" t="str">
        <f>IF(AJ56="","",IF(I$8="A",(RANK(AJ56,AJ$11:AJ$368,1)+COUNTIF(AJ$11:AJ56,AJ56)-1),(RANK(AJ56,AJ$11:AJ$368)+COUNTIF(AJ$11:AJ56,AJ56)-1)))</f>
        <v/>
      </c>
      <c r="AL56" s="29" t="str">
        <f t="shared" si="13"/>
        <v/>
      </c>
      <c r="AM56" s="8" t="str">
        <f t="shared" si="5"/>
        <v/>
      </c>
      <c r="AN56" s="8" t="str">
        <f t="shared" si="14"/>
        <v/>
      </c>
      <c r="AP56" s="38" t="str">
        <f>IF(L56="","",VLOOKUP($L56,classifications!$C:$E,3,FALSE))</f>
        <v>North West</v>
      </c>
      <c r="AQ56" s="39">
        <f t="shared" si="15"/>
        <v>83.9788150549292</v>
      </c>
      <c r="AR56" s="34">
        <f>IF(AQ56="","",IF(I$8="A",(RANK(AQ56,AQ$11:AQ$368,1)+COUNTIF(AQ$11:AQ56,AQ56)-1),(RANK(AQ56,AQ$11:AQ$368)+COUNTIF(AQ$11:AQ56,AQ56)-1)))</f>
        <v>3</v>
      </c>
      <c r="AS56" s="29" t="str">
        <f t="shared" si="16"/>
        <v/>
      </c>
      <c r="AT56" s="34" t="str">
        <f t="shared" si="6"/>
        <v/>
      </c>
      <c r="AU56" s="39" t="str">
        <f t="shared" si="17"/>
        <v/>
      </c>
      <c r="AX56" s="21">
        <f>HLOOKUP($AX$9&amp;$AX$10,Data!$A$1:$ZZ$2000,(MATCH($C56,Data!$A$1:$A$2000,0)),FALSE)</f>
        <v>81.15735863994766</v>
      </c>
      <c r="AY56" s="103"/>
      <c r="AZ56" s="21"/>
    </row>
    <row r="57" spans="1:52">
      <c r="A57" s="56" t="str">
        <f>$D$1&amp;47</f>
        <v>SD47</v>
      </c>
      <c r="B57" s="57" t="str">
        <f>IF(ISERROR(VLOOKUP(A57,classifications!A:C,3,FALSE)),0,VLOOKUP(A57,classifications!A:C,3,FALSE))</f>
        <v>Scarborough</v>
      </c>
      <c r="C57" s="8" t="s">
        <v>200</v>
      </c>
      <c r="D57" s="26" t="str">
        <f>VLOOKUP($C57,classifications!$C:$J,4,FALSE)</f>
        <v>L</v>
      </c>
      <c r="E57" s="26">
        <f>VLOOKUP(C57,classifications!C:K,9,FALSE)</f>
        <v>0</v>
      </c>
      <c r="F57" s="36">
        <f t="shared" si="0"/>
        <v>86.127371709150438</v>
      </c>
      <c r="G57" s="71"/>
      <c r="H57" s="37" t="str">
        <f t="shared" si="1"/>
        <v/>
      </c>
      <c r="I57" s="77" t="str">
        <f>IF(H57="","",IF($I$8="A",(RANK(H57,H$11:H$368,1)+COUNTIF(H$11:H57,H57)-1),(RANK(H57,H$11:H$368)+COUNTIF(H$11:H57,H57)-1)))</f>
        <v/>
      </c>
      <c r="J57" s="35"/>
      <c r="K57" s="28">
        <f t="shared" si="7"/>
        <v>47</v>
      </c>
      <c r="L57" s="36" t="str">
        <f t="shared" si="2"/>
        <v>Eden</v>
      </c>
      <c r="M57" s="102">
        <f t="shared" si="22"/>
        <v>83.882245443162091</v>
      </c>
      <c r="N57" s="101">
        <f t="shared" si="23"/>
        <v>83.882245443162091</v>
      </c>
      <c r="O57" s="94">
        <f t="shared" si="8"/>
        <v>83.882245443162091</v>
      </c>
      <c r="P57" s="94" t="str">
        <f t="shared" si="18"/>
        <v/>
      </c>
      <c r="Q57" s="94" t="str">
        <f t="shared" si="19"/>
        <v/>
      </c>
      <c r="R57" s="90" t="str">
        <f t="shared" si="20"/>
        <v/>
      </c>
      <c r="S57" s="37" t="str">
        <f t="shared" si="9"/>
        <v/>
      </c>
      <c r="T57" s="176" t="str">
        <f>IF(L57="","",VLOOKUP(L57,classifications!C:K,9,FALSE))</f>
        <v>Sparse</v>
      </c>
      <c r="U57" s="183">
        <f t="shared" si="25"/>
        <v>83.882245443162091</v>
      </c>
      <c r="V57" s="184">
        <f>IF(U57="","",IF($I$8="A",(RANK(U57,U$11:U$368)+COUNTIF(U$11:U57,U57)-1),(RANK(U57,U$11:U$368,1)+COUNTIF(U$11:U57,U57)-1)))</f>
        <v>54</v>
      </c>
      <c r="W57" s="185"/>
      <c r="X57" s="38" t="str">
        <f>IF(L57="","",VLOOKUP($L57,classifications!$C:$J,6,FALSE))</f>
        <v xml:space="preserve">Mainly Rural (rural including hub towns &gt;=80%) </v>
      </c>
      <c r="Y57" s="26">
        <f t="shared" si="3"/>
        <v>83.882245443162091</v>
      </c>
      <c r="Z57" s="34">
        <f>IF(Y57="","",IF(I$8="A",(RANK(Y57,Y$11:Y$368,1)+COUNTIF(Y$11:Y57,Y57)-1),(RANK(Y57,Y$11:Y$368)+COUNTIF(Y$11:Y57,Y57)-1)))</f>
        <v>12</v>
      </c>
      <c r="AA57" s="188" t="str">
        <f>IF(L57="","",VLOOKUP($L57,classifications!C:I,7,FALSE))</f>
        <v>Predominantly Rural</v>
      </c>
      <c r="AB57" s="184">
        <f t="shared" si="11"/>
        <v>83.882245443162091</v>
      </c>
      <c r="AC57" s="184">
        <f>IF(AB57="","",IF($I$8="A",(RANK(AB57,AB$11:AB$368)+COUNTIF(AB$11:AB57,AB57)-1),(RANK(AB57,AB$11:AB$368,1)+COUNTIF(AB$11:AB57,AB57)-1)))</f>
        <v>54</v>
      </c>
      <c r="AD57" s="184"/>
      <c r="AE57" s="28" t="str">
        <f t="shared" si="24"/>
        <v/>
      </c>
      <c r="AG57" s="96"/>
      <c r="AH57" s="29"/>
      <c r="AI57" s="38" t="str">
        <f>IF(L57="","",VLOOKUP($L57,classifications!$C:$J,8,FALSE))</f>
        <v>Cumbria</v>
      </c>
      <c r="AJ57" s="39">
        <f t="shared" si="4"/>
        <v>83.882245443162091</v>
      </c>
      <c r="AK57" s="34">
        <f>IF(AJ57="","",IF(I$8="A",(RANK(AJ57,AJ$11:AJ$368,1)+COUNTIF(AJ$11:AJ57,AJ57)-1),(RANK(AJ57,AJ$11:AJ$368)+COUNTIF(AJ$11:AJ57,AJ57)-1)))</f>
        <v>2</v>
      </c>
      <c r="AL57" s="29" t="str">
        <f t="shared" si="13"/>
        <v/>
      </c>
      <c r="AM57" s="8" t="str">
        <f t="shared" si="5"/>
        <v/>
      </c>
      <c r="AN57" s="8" t="str">
        <f t="shared" si="14"/>
        <v/>
      </c>
      <c r="AP57" s="38" t="str">
        <f>IF(L57="","",VLOOKUP($L57,classifications!$C:$E,3,FALSE))</f>
        <v>North West</v>
      </c>
      <c r="AQ57" s="39">
        <f t="shared" si="15"/>
        <v>83.882245443162091</v>
      </c>
      <c r="AR57" s="34">
        <f>IF(AQ57="","",IF(I$8="A",(RANK(AQ57,AQ$11:AQ$368,1)+COUNTIF(AQ$11:AQ57,AQ57)-1),(RANK(AQ57,AQ$11:AQ$368)+COUNTIF(AQ$11:AQ57,AQ57)-1)))</f>
        <v>4</v>
      </c>
      <c r="AS57" s="29" t="str">
        <f t="shared" si="16"/>
        <v/>
      </c>
      <c r="AT57" s="34" t="str">
        <f t="shared" si="6"/>
        <v/>
      </c>
      <c r="AU57" s="39" t="str">
        <f t="shared" si="17"/>
        <v/>
      </c>
      <c r="AX57" s="21">
        <f>HLOOKUP($AX$9&amp;$AX$10,Data!$A$1:$ZZ$2000,(MATCH($C57,Data!$A$1:$A$2000,0)),FALSE)</f>
        <v>86.127371709150438</v>
      </c>
      <c r="AY57" s="103"/>
      <c r="AZ57" s="21"/>
    </row>
    <row r="58" spans="1:52">
      <c r="A58" s="56" t="str">
        <f>$D$1&amp;48</f>
        <v>SD48</v>
      </c>
      <c r="B58" s="57" t="str">
        <f>IF(ISERROR(VLOOKUP(A58,classifications!A:C,3,FALSE)),0,VLOOKUP(A58,classifications!A:C,3,FALSE))</f>
        <v>Sedgemoor</v>
      </c>
      <c r="C58" s="8" t="s">
        <v>28</v>
      </c>
      <c r="D58" s="26" t="str">
        <f>VLOOKUP($C58,classifications!$C:$J,4,FALSE)</f>
        <v>SD</v>
      </c>
      <c r="E58" s="26">
        <f>VLOOKUP(C58,classifications!C:K,9,FALSE)</f>
        <v>0</v>
      </c>
      <c r="F58" s="36">
        <f t="shared" si="0"/>
        <v>75.152118132009605</v>
      </c>
      <c r="G58" s="71"/>
      <c r="H58" s="37">
        <f t="shared" si="1"/>
        <v>75.152118132009605</v>
      </c>
      <c r="I58" s="77">
        <f>IF(H58="","",IF($I$8="A",(RANK(H58,H$11:H$368,1)+COUNTIF(H$11:H58,H58)-1),(RANK(H58,H$11:H$368)+COUNTIF(H$11:H58,H58)-1)))</f>
        <v>178</v>
      </c>
      <c r="J58" s="35"/>
      <c r="K58" s="28">
        <f t="shared" si="7"/>
        <v>48</v>
      </c>
      <c r="L58" s="36" t="str">
        <f t="shared" si="2"/>
        <v>Charnwood</v>
      </c>
      <c r="M58" s="102">
        <f t="shared" si="22"/>
        <v>83.694914028500719</v>
      </c>
      <c r="N58" s="101">
        <f t="shared" si="23"/>
        <v>83.694914028500719</v>
      </c>
      <c r="O58" s="94">
        <f t="shared" si="8"/>
        <v>83.694914028500719</v>
      </c>
      <c r="P58" s="94" t="str">
        <f t="shared" si="18"/>
        <v/>
      </c>
      <c r="Q58" s="94" t="str">
        <f t="shared" si="19"/>
        <v/>
      </c>
      <c r="R58" s="90" t="str">
        <f t="shared" si="20"/>
        <v/>
      </c>
      <c r="S58" s="37" t="str">
        <f t="shared" si="9"/>
        <v/>
      </c>
      <c r="T58" s="176">
        <f>IF(L58="","",VLOOKUP(L58,classifications!C:K,9,FALSE))</f>
        <v>0</v>
      </c>
      <c r="U58" s="183" t="str">
        <f t="shared" si="25"/>
        <v/>
      </c>
      <c r="V58" s="184" t="str">
        <f>IF(U58="","",IF($I$8="A",(RANK(U58,U$11:U$368)+COUNTIF(U$11:U58,U58)-1),(RANK(U58,U$11:U$368,1)+COUNTIF(U$11:U58,U58)-1)))</f>
        <v/>
      </c>
      <c r="W58" s="185"/>
      <c r="X58" s="38" t="str">
        <f>IF(L58="","",VLOOKUP($L58,classifications!$C:$J,6,FALSE))</f>
        <v>Urban with City and Town</v>
      </c>
      <c r="Y58" s="26" t="str">
        <f t="shared" si="3"/>
        <v/>
      </c>
      <c r="Z58" s="34" t="str">
        <f>IF(Y58="","",IF(I$8="A",(RANK(Y58,Y$11:Y$368,1)+COUNTIF(Y$11:Y58,Y58)-1),(RANK(Y58,Y$11:Y$368)+COUNTIF(Y$11:Y58,Y58)-1)))</f>
        <v/>
      </c>
      <c r="AA58" s="188" t="str">
        <f>IF(L58="","",VLOOKUP($L58,classifications!C:I,7,FALSE))</f>
        <v>Predominantly Urban</v>
      </c>
      <c r="AB58" s="184" t="str">
        <f t="shared" si="11"/>
        <v/>
      </c>
      <c r="AC58" s="184" t="str">
        <f>IF(AB58="","",IF($I$8="A",(RANK(AB58,AB$11:AB$368)+COUNTIF(AB$11:AB58,AB58)-1),(RANK(AB58,AB$11:AB$368,1)+COUNTIF(AB$11:AB58,AB58)-1)))</f>
        <v/>
      </c>
      <c r="AD58" s="184"/>
      <c r="AE58" s="28" t="str">
        <f t="shared" si="24"/>
        <v/>
      </c>
      <c r="AG58" s="96"/>
      <c r="AH58" s="29"/>
      <c r="AI58" s="38" t="str">
        <f>IF(L58="","",VLOOKUP($L58,classifications!$C:$J,8,FALSE))</f>
        <v>Leicestershire</v>
      </c>
      <c r="AJ58" s="39" t="str">
        <f t="shared" si="4"/>
        <v/>
      </c>
      <c r="AK58" s="34" t="str">
        <f>IF(AJ58="","",IF(I$8="A",(RANK(AJ58,AJ$11:AJ$368,1)+COUNTIF(AJ$11:AJ58,AJ58)-1),(RANK(AJ58,AJ$11:AJ$368)+COUNTIF(AJ$11:AJ58,AJ58)-1)))</f>
        <v/>
      </c>
      <c r="AL58" s="29" t="str">
        <f t="shared" si="13"/>
        <v/>
      </c>
      <c r="AM58" s="8" t="str">
        <f t="shared" si="5"/>
        <v/>
      </c>
      <c r="AN58" s="8" t="str">
        <f t="shared" si="14"/>
        <v/>
      </c>
      <c r="AP58" s="38" t="str">
        <f>IF(L58="","",VLOOKUP($L58,classifications!$C:$E,3,FALSE))</f>
        <v>East Midlands</v>
      </c>
      <c r="AQ58" s="39" t="str">
        <f t="shared" si="15"/>
        <v/>
      </c>
      <c r="AR58" s="34" t="str">
        <f>IF(AQ58="","",IF(I$8="A",(RANK(AQ58,AQ$11:AQ$368,1)+COUNTIF(AQ$11:AQ58,AQ58)-1),(RANK(AQ58,AQ$11:AQ$368)+COUNTIF(AQ$11:AQ58,AQ58)-1)))</f>
        <v/>
      </c>
      <c r="AS58" s="29" t="str">
        <f t="shared" si="16"/>
        <v/>
      </c>
      <c r="AT58" s="34" t="str">
        <f t="shared" si="6"/>
        <v/>
      </c>
      <c r="AU58" s="39" t="str">
        <f t="shared" si="17"/>
        <v/>
      </c>
      <c r="AX58" s="21">
        <f>HLOOKUP($AX$9&amp;$AX$10,Data!$A$1:$ZZ$2000,(MATCH($C58,Data!$A$1:$A$2000,0)),FALSE)</f>
        <v>75.152118132009605</v>
      </c>
      <c r="AY58" s="103"/>
      <c r="AZ58" s="21"/>
    </row>
    <row r="59" spans="1:52">
      <c r="A59" s="56" t="str">
        <f>$D$1&amp;49</f>
        <v>SD49</v>
      </c>
      <c r="B59" s="57" t="str">
        <f>IF(ISERROR(VLOOKUP(A59,classifications!A:C,3,FALSE)),0,VLOOKUP(A59,classifications!A:C,3,FALSE))</f>
        <v>Selby</v>
      </c>
      <c r="C59" s="8" t="s">
        <v>29</v>
      </c>
      <c r="D59" s="26" t="str">
        <f>VLOOKUP($C59,classifications!$C:$J,4,FALSE)</f>
        <v>SD</v>
      </c>
      <c r="E59" s="26">
        <f>VLOOKUP(C59,classifications!C:K,9,FALSE)</f>
        <v>0</v>
      </c>
      <c r="F59" s="36">
        <f t="shared" si="0"/>
        <v>80.768145290725784</v>
      </c>
      <c r="G59" s="71"/>
      <c r="H59" s="37">
        <f t="shared" si="1"/>
        <v>80.768145290725784</v>
      </c>
      <c r="I59" s="77">
        <f>IF(H59="","",IF($I$8="A",(RANK(H59,H$11:H$368,1)+COUNTIF(H$11:H59,H59)-1),(RANK(H59,H$11:H$368)+COUNTIF(H$11:H59,H59)-1)))</f>
        <v>100</v>
      </c>
      <c r="J59" s="35"/>
      <c r="K59" s="28">
        <f t="shared" si="7"/>
        <v>49</v>
      </c>
      <c r="L59" s="36" t="str">
        <f t="shared" si="2"/>
        <v>Cherwell</v>
      </c>
      <c r="M59" s="102">
        <f t="shared" si="22"/>
        <v>83.502992137546002</v>
      </c>
      <c r="N59" s="101">
        <f t="shared" si="23"/>
        <v>83.502992137546002</v>
      </c>
      <c r="O59" s="94" t="str">
        <f t="shared" si="8"/>
        <v/>
      </c>
      <c r="P59" s="94">
        <f t="shared" si="18"/>
        <v>83.502992137546002</v>
      </c>
      <c r="Q59" s="94" t="str">
        <f t="shared" si="19"/>
        <v/>
      </c>
      <c r="R59" s="90" t="str">
        <f t="shared" si="20"/>
        <v/>
      </c>
      <c r="S59" s="37" t="str">
        <f t="shared" si="9"/>
        <v/>
      </c>
      <c r="T59" s="176" t="str">
        <f>IF(L59="","",VLOOKUP(L59,classifications!C:K,9,FALSE))</f>
        <v>Sparse</v>
      </c>
      <c r="U59" s="183">
        <f t="shared" si="25"/>
        <v>83.502992137546002</v>
      </c>
      <c r="V59" s="184">
        <f>IF(U59="","",IF($I$8="A",(RANK(U59,U$11:U$368)+COUNTIF(U$11:U59,U59)-1),(RANK(U59,U$11:U$368,1)+COUNTIF(U$11:U59,U59)-1)))</f>
        <v>53</v>
      </c>
      <c r="W59" s="185"/>
      <c r="X59" s="38" t="str">
        <f>IF(L59="","",VLOOKUP($L59,classifications!$C:$J,6,FALSE))</f>
        <v>Urban with Significant Rural (rural including hub towns 26-49%)</v>
      </c>
      <c r="Y59" s="26" t="str">
        <f t="shared" si="3"/>
        <v/>
      </c>
      <c r="Z59" s="34" t="str">
        <f>IF(Y59="","",IF(I$8="A",(RANK(Y59,Y$11:Y$368,1)+COUNTIF(Y$11:Y59,Y59)-1),(RANK(Y59,Y$11:Y$368)+COUNTIF(Y$11:Y59,Y59)-1)))</f>
        <v/>
      </c>
      <c r="AA59" s="188" t="str">
        <f>IF(L59="","",VLOOKUP($L59,classifications!C:I,7,FALSE))</f>
        <v>Significant Rural</v>
      </c>
      <c r="AB59" s="184" t="str">
        <f t="shared" si="11"/>
        <v/>
      </c>
      <c r="AC59" s="184" t="str">
        <f>IF(AB59="","",IF($I$8="A",(RANK(AB59,AB$11:AB$368)+COUNTIF(AB$11:AB59,AB59)-1),(RANK(AB59,AB$11:AB$368,1)+COUNTIF(AB$11:AB59,AB59)-1)))</f>
        <v/>
      </c>
      <c r="AD59" s="184"/>
      <c r="AE59" s="28" t="str">
        <f t="shared" si="24"/>
        <v/>
      </c>
      <c r="AG59" s="96"/>
      <c r="AH59" s="29"/>
      <c r="AI59" s="38" t="str">
        <f>IF(L59="","",VLOOKUP($L59,classifications!$C:$J,8,FALSE))</f>
        <v>Oxfordshire</v>
      </c>
      <c r="AJ59" s="39" t="str">
        <f t="shared" si="4"/>
        <v/>
      </c>
      <c r="AK59" s="34" t="str">
        <f>IF(AJ59="","",IF(I$8="A",(RANK(AJ59,AJ$11:AJ$368,1)+COUNTIF(AJ$11:AJ59,AJ59)-1),(RANK(AJ59,AJ$11:AJ$368)+COUNTIF(AJ$11:AJ59,AJ59)-1)))</f>
        <v/>
      </c>
      <c r="AL59" s="29" t="str">
        <f t="shared" si="13"/>
        <v/>
      </c>
      <c r="AM59" s="8" t="str">
        <f t="shared" si="5"/>
        <v/>
      </c>
      <c r="AN59" s="8" t="str">
        <f t="shared" si="14"/>
        <v/>
      </c>
      <c r="AP59" s="38" t="str">
        <f>IF(L59="","",VLOOKUP($L59,classifications!$C:$E,3,FALSE))</f>
        <v>South East</v>
      </c>
      <c r="AQ59" s="39" t="str">
        <f t="shared" si="15"/>
        <v/>
      </c>
      <c r="AR59" s="34" t="str">
        <f>IF(AQ59="","",IF(I$8="A",(RANK(AQ59,AQ$11:AQ$368,1)+COUNTIF(AQ$11:AQ59,AQ59)-1),(RANK(AQ59,AQ$11:AQ$368)+COUNTIF(AQ$11:AQ59,AQ59)-1)))</f>
        <v/>
      </c>
      <c r="AS59" s="29" t="str">
        <f t="shared" si="16"/>
        <v/>
      </c>
      <c r="AT59" s="34" t="str">
        <f t="shared" si="6"/>
        <v/>
      </c>
      <c r="AU59" s="39" t="str">
        <f t="shared" si="17"/>
        <v/>
      </c>
      <c r="AX59" s="21">
        <f>HLOOKUP($AX$9&amp;$AX$10,Data!$A$1:$ZZ$2000,(MATCH($C59,Data!$A$1:$A$2000,0)),FALSE)</f>
        <v>80.768145290725784</v>
      </c>
      <c r="AY59" s="103"/>
      <c r="AZ59" s="21"/>
    </row>
    <row r="60" spans="1:52">
      <c r="A60" s="56" t="str">
        <f>$D$1&amp;50</f>
        <v>SD50</v>
      </c>
      <c r="B60" s="57" t="str">
        <f>IF(ISERROR(VLOOKUP(A60,classifications!A:C,3,FALSE)),0,VLOOKUP(A60,classifications!A:C,3,FALSE))</f>
        <v>Sevenoaks</v>
      </c>
      <c r="C60" s="8" t="s">
        <v>30</v>
      </c>
      <c r="D60" s="26" t="str">
        <f>VLOOKUP($C60,classifications!$C:$J,4,FALSE)</f>
        <v>SD</v>
      </c>
      <c r="E60" s="26">
        <f>VLOOKUP(C60,classifications!C:K,9,FALSE)</f>
        <v>0</v>
      </c>
      <c r="F60" s="36">
        <f t="shared" si="0"/>
        <v>78.627178356786359</v>
      </c>
      <c r="G60" s="71"/>
      <c r="H60" s="37">
        <f t="shared" si="1"/>
        <v>78.627178356786359</v>
      </c>
      <c r="I60" s="77">
        <f>IF(H60="","",IF($I$8="A",(RANK(H60,H$11:H$368,1)+COUNTIF(H$11:H60,H60)-1),(RANK(H60,H$11:H$368)+COUNTIF(H$11:H60,H60)-1)))</f>
        <v>144</v>
      </c>
      <c r="J60" s="35"/>
      <c r="K60" s="28">
        <f t="shared" si="7"/>
        <v>50</v>
      </c>
      <c r="L60" s="36" t="str">
        <f t="shared" si="2"/>
        <v>South Northamptonshire</v>
      </c>
      <c r="M60" s="102">
        <f t="shared" si="22"/>
        <v>83.476919786746151</v>
      </c>
      <c r="N60" s="101">
        <f t="shared" si="23"/>
        <v>83.476919786746151</v>
      </c>
      <c r="O60" s="94" t="str">
        <f t="shared" si="8"/>
        <v/>
      </c>
      <c r="P60" s="94">
        <f t="shared" si="18"/>
        <v>83.476919786746151</v>
      </c>
      <c r="Q60" s="94" t="str">
        <f t="shared" si="19"/>
        <v/>
      </c>
      <c r="R60" s="90" t="str">
        <f t="shared" si="20"/>
        <v/>
      </c>
      <c r="S60" s="37" t="str">
        <f t="shared" si="9"/>
        <v/>
      </c>
      <c r="T60" s="176" t="str">
        <f>IF(L60="","",VLOOKUP(L60,classifications!C:K,9,FALSE))</f>
        <v>Sparse</v>
      </c>
      <c r="U60" s="183">
        <f t="shared" si="25"/>
        <v>83.476919786746151</v>
      </c>
      <c r="V60" s="184">
        <f>IF(U60="","",IF($I$8="A",(RANK(U60,U$11:U$368)+COUNTIF(U$11:U60,U60)-1),(RANK(U60,U$11:U$368,1)+COUNTIF(U$11:U60,U60)-1)))</f>
        <v>52</v>
      </c>
      <c r="W60" s="185"/>
      <c r="X60" s="38" t="str">
        <f>IF(L60="","",VLOOKUP($L60,classifications!$C:$J,6,FALSE))</f>
        <v xml:space="preserve">Mainly Rural (rural including hub towns &gt;=80%) </v>
      </c>
      <c r="Y60" s="26">
        <f t="shared" si="3"/>
        <v>83.476919786746151</v>
      </c>
      <c r="Z60" s="34">
        <f>IF(Y60="","",IF(I$8="A",(RANK(Y60,Y$11:Y$368,1)+COUNTIF(Y$11:Y60,Y60)-1),(RANK(Y60,Y$11:Y$368)+COUNTIF(Y$11:Y60,Y60)-1)))</f>
        <v>13</v>
      </c>
      <c r="AA60" s="188" t="str">
        <f>IF(L60="","",VLOOKUP($L60,classifications!C:I,7,FALSE))</f>
        <v>Predominantly Rural</v>
      </c>
      <c r="AB60" s="184">
        <f t="shared" si="11"/>
        <v>83.476919786746151</v>
      </c>
      <c r="AC60" s="184">
        <f>IF(AB60="","",IF($I$8="A",(RANK(AB60,AB$11:AB$368)+COUNTIF(AB$11:AB60,AB60)-1),(RANK(AB60,AB$11:AB$368,1)+COUNTIF(AB$11:AB60,AB60)-1)))</f>
        <v>53</v>
      </c>
      <c r="AD60" s="184"/>
      <c r="AE60" s="28" t="str">
        <f t="shared" si="24"/>
        <v/>
      </c>
      <c r="AG60" s="96"/>
      <c r="AH60" s="29"/>
      <c r="AI60" s="38" t="str">
        <f>IF(L60="","",VLOOKUP($L60,classifications!$C:$J,8,FALSE))</f>
        <v>Northamptonshire</v>
      </c>
      <c r="AJ60" s="39" t="str">
        <f t="shared" si="4"/>
        <v/>
      </c>
      <c r="AK60" s="34" t="str">
        <f>IF(AJ60="","",IF(I$8="A",(RANK(AJ60,AJ$11:AJ$368,1)+COUNTIF(AJ$11:AJ60,AJ60)-1),(RANK(AJ60,AJ$11:AJ$368)+COUNTIF(AJ$11:AJ60,AJ60)-1)))</f>
        <v/>
      </c>
      <c r="AL60" s="29" t="str">
        <f t="shared" si="13"/>
        <v/>
      </c>
      <c r="AM60" s="8" t="str">
        <f t="shared" si="5"/>
        <v/>
      </c>
      <c r="AN60" s="8" t="str">
        <f t="shared" si="14"/>
        <v/>
      </c>
      <c r="AP60" s="38" t="str">
        <f>IF(L60="","",VLOOKUP($L60,classifications!$C:$E,3,FALSE))</f>
        <v>East Midlands</v>
      </c>
      <c r="AQ60" s="39" t="str">
        <f t="shared" si="15"/>
        <v/>
      </c>
      <c r="AR60" s="34" t="str">
        <f>IF(AQ60="","",IF(I$8="A",(RANK(AQ60,AQ$11:AQ$368,1)+COUNTIF(AQ$11:AQ60,AQ60)-1),(RANK(AQ60,AQ$11:AQ$368)+COUNTIF(AQ$11:AQ60,AQ60)-1)))</f>
        <v/>
      </c>
      <c r="AS60" s="29" t="str">
        <f t="shared" si="16"/>
        <v/>
      </c>
      <c r="AT60" s="34" t="str">
        <f t="shared" si="6"/>
        <v/>
      </c>
      <c r="AU60" s="39" t="str">
        <f t="shared" si="17"/>
        <v/>
      </c>
      <c r="AX60" s="21">
        <f>HLOOKUP($AX$9&amp;$AX$10,Data!$A$1:$ZZ$2000,(MATCH($C60,Data!$A$1:$A$2000,0)),FALSE)</f>
        <v>78.627178356786359</v>
      </c>
      <c r="AY60" s="103"/>
      <c r="AZ60" s="21"/>
    </row>
    <row r="61" spans="1:52">
      <c r="A61" s="56" t="str">
        <f>$D$1&amp;51</f>
        <v>SD51</v>
      </c>
      <c r="B61" s="57" t="str">
        <f>IF(ISERROR(VLOOKUP(A61,classifications!A:C,3,FALSE)),0,VLOOKUP(A61,classifications!A:C,3,FALSE))</f>
        <v>Somerset West &amp; Taunton</v>
      </c>
      <c r="C61" s="8" t="s">
        <v>31</v>
      </c>
      <c r="D61" s="26" t="str">
        <f>VLOOKUP($C61,classifications!$C:$J,4,FALSE)</f>
        <v>SD</v>
      </c>
      <c r="E61" s="26">
        <f>VLOOKUP(C61,classifications!C:K,9,FALSE)</f>
        <v>0</v>
      </c>
      <c r="F61" s="36">
        <f t="shared" si="0"/>
        <v>81.417583763416488</v>
      </c>
      <c r="G61" s="71"/>
      <c r="H61" s="37">
        <f t="shared" si="1"/>
        <v>81.417583763416488</v>
      </c>
      <c r="I61" s="77">
        <f>IF(H61="","",IF($I$8="A",(RANK(H61,H$11:H$368,1)+COUNTIF(H$11:H61,H61)-1),(RANK(H61,H$11:H$368)+COUNTIF(H$11:H61,H61)-1)))</f>
        <v>88</v>
      </c>
      <c r="J61" s="35"/>
      <c r="K61" s="28">
        <f t="shared" si="7"/>
        <v>51</v>
      </c>
      <c r="L61" s="36" t="str">
        <f t="shared" si="2"/>
        <v>Worthing</v>
      </c>
      <c r="M61" s="102">
        <f t="shared" si="22"/>
        <v>83.467095515138581</v>
      </c>
      <c r="N61" s="101">
        <f t="shared" si="23"/>
        <v>83.467095515138581</v>
      </c>
      <c r="O61" s="94" t="str">
        <f t="shared" si="8"/>
        <v/>
      </c>
      <c r="P61" s="94">
        <f t="shared" si="18"/>
        <v>83.467095515138581</v>
      </c>
      <c r="Q61" s="94" t="str">
        <f t="shared" si="19"/>
        <v/>
      </c>
      <c r="R61" s="90" t="str">
        <f t="shared" si="20"/>
        <v/>
      </c>
      <c r="S61" s="37" t="str">
        <f t="shared" si="9"/>
        <v/>
      </c>
      <c r="T61" s="176">
        <f>IF(L61="","",VLOOKUP(L61,classifications!C:K,9,FALSE))</f>
        <v>0</v>
      </c>
      <c r="U61" s="183" t="str">
        <f t="shared" si="25"/>
        <v/>
      </c>
      <c r="V61" s="184" t="str">
        <f>IF(U61="","",IF($I$8="A",(RANK(U61,U$11:U$368)+COUNTIF(U$11:U61,U61)-1),(RANK(U61,U$11:U$368,1)+COUNTIF(U$11:U61,U61)-1)))</f>
        <v/>
      </c>
      <c r="W61" s="185"/>
      <c r="X61" s="38" t="str">
        <f>IF(L61="","",VLOOKUP($L61,classifications!$C:$J,6,FALSE))</f>
        <v>Urban with City and Town</v>
      </c>
      <c r="Y61" s="26" t="str">
        <f t="shared" si="3"/>
        <v/>
      </c>
      <c r="Z61" s="34" t="str">
        <f>IF(Y61="","",IF(I$8="A",(RANK(Y61,Y$11:Y$368,1)+COUNTIF(Y$11:Y61,Y61)-1),(RANK(Y61,Y$11:Y$368)+COUNTIF(Y$11:Y61,Y61)-1)))</f>
        <v/>
      </c>
      <c r="AA61" s="188" t="str">
        <f>IF(L61="","",VLOOKUP($L61,classifications!C:I,7,FALSE))</f>
        <v>Predominantly Urban</v>
      </c>
      <c r="AB61" s="184" t="str">
        <f t="shared" si="11"/>
        <v/>
      </c>
      <c r="AC61" s="184" t="str">
        <f>IF(AB61="","",IF($I$8="A",(RANK(AB61,AB$11:AB$368)+COUNTIF(AB$11:AB61,AB61)-1),(RANK(AB61,AB$11:AB$368,1)+COUNTIF(AB$11:AB61,AB61)-1)))</f>
        <v/>
      </c>
      <c r="AD61" s="184"/>
      <c r="AE61" s="28" t="str">
        <f t="shared" si="24"/>
        <v/>
      </c>
      <c r="AG61" s="96"/>
      <c r="AH61" s="29"/>
      <c r="AI61" s="38" t="str">
        <f>IF(L61="","",VLOOKUP($L61,classifications!$C:$J,8,FALSE))</f>
        <v>West Sussex</v>
      </c>
      <c r="AJ61" s="39" t="str">
        <f t="shared" si="4"/>
        <v/>
      </c>
      <c r="AK61" s="34" t="str">
        <f>IF(AJ61="","",IF(I$8="A",(RANK(AJ61,AJ$11:AJ$368,1)+COUNTIF(AJ$11:AJ61,AJ61)-1),(RANK(AJ61,AJ$11:AJ$368)+COUNTIF(AJ$11:AJ61,AJ61)-1)))</f>
        <v/>
      </c>
      <c r="AL61" s="29" t="str">
        <f t="shared" si="13"/>
        <v/>
      </c>
      <c r="AM61" s="8" t="str">
        <f t="shared" si="5"/>
        <v/>
      </c>
      <c r="AN61" s="8" t="str">
        <f t="shared" si="14"/>
        <v/>
      </c>
      <c r="AP61" s="38" t="str">
        <f>IF(L61="","",VLOOKUP($L61,classifications!$C:$E,3,FALSE))</f>
        <v>South East</v>
      </c>
      <c r="AQ61" s="39" t="str">
        <f t="shared" si="15"/>
        <v/>
      </c>
      <c r="AR61" s="34" t="str">
        <f>IF(AQ61="","",IF(I$8="A",(RANK(AQ61,AQ$11:AQ$368,1)+COUNTIF(AQ$11:AQ61,AQ61)-1),(RANK(AQ61,AQ$11:AQ$368)+COUNTIF(AQ$11:AQ61,AQ61)-1)))</f>
        <v/>
      </c>
      <c r="AS61" s="29" t="str">
        <f t="shared" si="16"/>
        <v/>
      </c>
      <c r="AT61" s="34" t="str">
        <f t="shared" si="6"/>
        <v/>
      </c>
      <c r="AU61" s="39" t="str">
        <f t="shared" si="17"/>
        <v/>
      </c>
      <c r="AX61" s="21">
        <f>HLOOKUP($AX$9&amp;$AX$10,Data!$A$1:$ZZ$2000,(MATCH($C61,Data!$A$1:$A$2000,0)),FALSE)</f>
        <v>81.417583763416488</v>
      </c>
      <c r="AY61" s="103"/>
      <c r="AZ61" s="21"/>
    </row>
    <row r="62" spans="1:52">
      <c r="A62" s="56" t="str">
        <f>$D$1&amp;52</f>
        <v>SD52</v>
      </c>
      <c r="B62" s="57" t="str">
        <f>IF(ISERROR(VLOOKUP(A62,classifications!A:C,3,FALSE)),0,VLOOKUP(A62,classifications!A:C,3,FALSE))</f>
        <v>South Cambridgeshire</v>
      </c>
      <c r="C62" s="8" t="s">
        <v>303</v>
      </c>
      <c r="D62" s="26" t="str">
        <f>VLOOKUP($C62,classifications!$C:$J,4,FALSE)</f>
        <v>UA</v>
      </c>
      <c r="E62" s="26">
        <f>VLOOKUP(C62,classifications!C:K,9,FALSE)</f>
        <v>0</v>
      </c>
      <c r="F62" s="36">
        <f t="shared" si="0"/>
        <v>80.714666893165287</v>
      </c>
      <c r="G62" s="71"/>
      <c r="H62" s="37" t="str">
        <f t="shared" si="1"/>
        <v/>
      </c>
      <c r="I62" s="77" t="str">
        <f>IF(H62="","",IF($I$8="A",(RANK(H62,H$11:H$368,1)+COUNTIF(H$11:H62,H62)-1),(RANK(H62,H$11:H$368)+COUNTIF(H$11:H62,H62)-1)))</f>
        <v/>
      </c>
      <c r="J62" s="35"/>
      <c r="K62" s="28">
        <f t="shared" si="7"/>
        <v>52</v>
      </c>
      <c r="L62" s="36" t="str">
        <f t="shared" si="2"/>
        <v>Runnymede</v>
      </c>
      <c r="M62" s="102">
        <f t="shared" si="22"/>
        <v>83.458805242596696</v>
      </c>
      <c r="N62" s="101">
        <f t="shared" si="23"/>
        <v>83.458805242596696</v>
      </c>
      <c r="O62" s="94" t="str">
        <f t="shared" si="8"/>
        <v/>
      </c>
      <c r="P62" s="94">
        <f t="shared" si="18"/>
        <v>83.458805242596696</v>
      </c>
      <c r="Q62" s="94" t="str">
        <f t="shared" si="19"/>
        <v/>
      </c>
      <c r="R62" s="90" t="str">
        <f t="shared" si="20"/>
        <v/>
      </c>
      <c r="S62" s="37" t="str">
        <f t="shared" si="9"/>
        <v/>
      </c>
      <c r="T62" s="176">
        <f>IF(L62="","",VLOOKUP(L62,classifications!C:K,9,FALSE))</f>
        <v>0</v>
      </c>
      <c r="U62" s="183" t="str">
        <f t="shared" si="25"/>
        <v/>
      </c>
      <c r="V62" s="184" t="str">
        <f>IF(U62="","",IF($I$8="A",(RANK(U62,U$11:U$368)+COUNTIF(U$11:U62,U62)-1),(RANK(U62,U$11:U$368,1)+COUNTIF(U$11:U62,U62)-1)))</f>
        <v/>
      </c>
      <c r="W62" s="185"/>
      <c r="X62" s="38" t="str">
        <f>IF(L62="","",VLOOKUP($L62,classifications!$C:$J,6,FALSE))</f>
        <v>Urban with Major Conurbation</v>
      </c>
      <c r="Y62" s="26" t="str">
        <f t="shared" si="3"/>
        <v/>
      </c>
      <c r="Z62" s="34" t="str">
        <f>IF(Y62="","",IF(I$8="A",(RANK(Y62,Y$11:Y$368,1)+COUNTIF(Y$11:Y62,Y62)-1),(RANK(Y62,Y$11:Y$368)+COUNTIF(Y$11:Y62,Y62)-1)))</f>
        <v/>
      </c>
      <c r="AA62" s="188" t="str">
        <f>IF(L62="","",VLOOKUP($L62,classifications!C:I,7,FALSE))</f>
        <v>Predominantly Urban</v>
      </c>
      <c r="AB62" s="184" t="str">
        <f t="shared" si="11"/>
        <v/>
      </c>
      <c r="AC62" s="184" t="str">
        <f>IF(AB62="","",IF($I$8="A",(RANK(AB62,AB$11:AB$368)+COUNTIF(AB$11:AB62,AB62)-1),(RANK(AB62,AB$11:AB$368,1)+COUNTIF(AB$11:AB62,AB62)-1)))</f>
        <v/>
      </c>
      <c r="AD62" s="184"/>
      <c r="AE62" s="28" t="str">
        <f t="shared" si="24"/>
        <v/>
      </c>
      <c r="AG62" s="96"/>
      <c r="AH62" s="29"/>
      <c r="AI62" s="38" t="str">
        <f>IF(L62="","",VLOOKUP($L62,classifications!$C:$J,8,FALSE))</f>
        <v>Surrey</v>
      </c>
      <c r="AJ62" s="39" t="str">
        <f t="shared" si="4"/>
        <v/>
      </c>
      <c r="AK62" s="34" t="str">
        <f>IF(AJ62="","",IF(I$8="A",(RANK(AJ62,AJ$11:AJ$368,1)+COUNTIF(AJ$11:AJ62,AJ62)-1),(RANK(AJ62,AJ$11:AJ$368)+COUNTIF(AJ$11:AJ62,AJ62)-1)))</f>
        <v/>
      </c>
      <c r="AL62" s="29" t="str">
        <f t="shared" si="13"/>
        <v/>
      </c>
      <c r="AM62" s="8" t="str">
        <f t="shared" si="5"/>
        <v/>
      </c>
      <c r="AN62" s="8" t="str">
        <f t="shared" si="14"/>
        <v/>
      </c>
      <c r="AP62" s="38" t="str">
        <f>IF(L62="","",VLOOKUP($L62,classifications!$C:$E,3,FALSE))</f>
        <v>South East</v>
      </c>
      <c r="AQ62" s="39" t="str">
        <f t="shared" si="15"/>
        <v/>
      </c>
      <c r="AR62" s="34" t="str">
        <f>IF(AQ62="","",IF(I$8="A",(RANK(AQ62,AQ$11:AQ$368,1)+COUNTIF(AQ$11:AQ62,AQ62)-1),(RANK(AQ62,AQ$11:AQ$368)+COUNTIF(AQ$11:AQ62,AQ62)-1)))</f>
        <v/>
      </c>
      <c r="AS62" s="29" t="str">
        <f t="shared" si="16"/>
        <v/>
      </c>
      <c r="AT62" s="34" t="str">
        <f t="shared" si="6"/>
        <v/>
      </c>
      <c r="AU62" s="39" t="str">
        <f t="shared" si="17"/>
        <v/>
      </c>
      <c r="AX62" s="21">
        <f>HLOOKUP($AX$9&amp;$AX$10,Data!$A$1:$ZZ$2000,(MATCH($C62,Data!$A$1:$A$2000,0)),FALSE)</f>
        <v>80.714666893165287</v>
      </c>
      <c r="AY62" s="103"/>
      <c r="AZ62" s="21"/>
    </row>
    <row r="63" spans="1:52">
      <c r="A63" s="56" t="str">
        <f>$D$1&amp;53</f>
        <v>SD53</v>
      </c>
      <c r="B63" s="57" t="str">
        <f>IF(ISERROR(VLOOKUP(A63,classifications!A:C,3,FALSE)),0,VLOOKUP(A63,classifications!A:C,3,FALSE))</f>
        <v>South Derbyshire</v>
      </c>
      <c r="C63" s="8" t="s">
        <v>32</v>
      </c>
      <c r="D63" s="26" t="str">
        <f>VLOOKUP($C63,classifications!$C:$J,4,FALSE)</f>
        <v>SD</v>
      </c>
      <c r="E63" s="26">
        <f>VLOOKUP(C63,classifications!C:K,9,FALSE)</f>
        <v>0</v>
      </c>
      <c r="F63" s="36">
        <f t="shared" si="0"/>
        <v>83.694914028500719</v>
      </c>
      <c r="G63" s="71"/>
      <c r="H63" s="37">
        <f t="shared" si="1"/>
        <v>83.694914028500719</v>
      </c>
      <c r="I63" s="77">
        <f>IF(H63="","",IF($I$8="A",(RANK(H63,H$11:H$368,1)+COUNTIF(H$11:H63,H63)-1),(RANK(H63,H$11:H$368)+COUNTIF(H$11:H63,H63)-1)))</f>
        <v>48</v>
      </c>
      <c r="J63" s="35"/>
      <c r="K63" s="28">
        <f t="shared" si="7"/>
        <v>53</v>
      </c>
      <c r="L63" s="36" t="str">
        <f t="shared" si="2"/>
        <v>Cheltenham</v>
      </c>
      <c r="M63" s="102">
        <f t="shared" si="22"/>
        <v>83.288485527931542</v>
      </c>
      <c r="N63" s="101">
        <f t="shared" si="23"/>
        <v>83.288485527931542</v>
      </c>
      <c r="O63" s="94" t="str">
        <f t="shared" si="8"/>
        <v/>
      </c>
      <c r="P63" s="94">
        <f t="shared" si="18"/>
        <v>83.288485527931542</v>
      </c>
      <c r="Q63" s="94" t="str">
        <f t="shared" si="19"/>
        <v/>
      </c>
      <c r="R63" s="90" t="str">
        <f t="shared" si="20"/>
        <v/>
      </c>
      <c r="S63" s="37" t="str">
        <f t="shared" si="9"/>
        <v/>
      </c>
      <c r="T63" s="176">
        <f>IF(L63="","",VLOOKUP(L63,classifications!C:K,9,FALSE))</f>
        <v>0</v>
      </c>
      <c r="U63" s="183" t="str">
        <f t="shared" si="25"/>
        <v/>
      </c>
      <c r="V63" s="184" t="str">
        <f>IF(U63="","",IF($I$8="A",(RANK(U63,U$11:U$368)+COUNTIF(U$11:U63,U63)-1),(RANK(U63,U$11:U$368,1)+COUNTIF(U$11:U63,U63)-1)))</f>
        <v/>
      </c>
      <c r="W63" s="185"/>
      <c r="X63" s="38" t="str">
        <f>IF(L63="","",VLOOKUP($L63,classifications!$C:$J,6,FALSE))</f>
        <v>Urban with City and Town</v>
      </c>
      <c r="Y63" s="26" t="str">
        <f t="shared" si="3"/>
        <v/>
      </c>
      <c r="Z63" s="34" t="str">
        <f>IF(Y63="","",IF(I$8="A",(RANK(Y63,Y$11:Y$368,1)+COUNTIF(Y$11:Y63,Y63)-1),(RANK(Y63,Y$11:Y$368)+COUNTIF(Y$11:Y63,Y63)-1)))</f>
        <v/>
      </c>
      <c r="AA63" s="188" t="str">
        <f>IF(L63="","",VLOOKUP($L63,classifications!C:I,7,FALSE))</f>
        <v>Predominantly Urban</v>
      </c>
      <c r="AB63" s="184" t="str">
        <f t="shared" si="11"/>
        <v/>
      </c>
      <c r="AC63" s="184" t="str">
        <f>IF(AB63="","",IF($I$8="A",(RANK(AB63,AB$11:AB$368)+COUNTIF(AB$11:AB63,AB63)-1),(RANK(AB63,AB$11:AB$368,1)+COUNTIF(AB$11:AB63,AB63)-1)))</f>
        <v/>
      </c>
      <c r="AD63" s="184"/>
      <c r="AE63" s="28" t="str">
        <f t="shared" si="24"/>
        <v/>
      </c>
      <c r="AG63" s="96"/>
      <c r="AH63" s="29"/>
      <c r="AI63" s="38" t="str">
        <f>IF(L63="","",VLOOKUP($L63,classifications!$C:$J,8,FALSE))</f>
        <v>Gloucestershire</v>
      </c>
      <c r="AJ63" s="39" t="str">
        <f t="shared" si="4"/>
        <v/>
      </c>
      <c r="AK63" s="34" t="str">
        <f>IF(AJ63="","",IF(I$8="A",(RANK(AJ63,AJ$11:AJ$368,1)+COUNTIF(AJ$11:AJ63,AJ63)-1),(RANK(AJ63,AJ$11:AJ$368)+COUNTIF(AJ$11:AJ63,AJ63)-1)))</f>
        <v/>
      </c>
      <c r="AL63" s="29" t="str">
        <f t="shared" si="13"/>
        <v/>
      </c>
      <c r="AM63" s="8" t="str">
        <f t="shared" si="5"/>
        <v/>
      </c>
      <c r="AN63" s="8" t="str">
        <f t="shared" si="14"/>
        <v/>
      </c>
      <c r="AP63" s="38" t="str">
        <f>IF(L63="","",VLOOKUP($L63,classifications!$C:$E,3,FALSE))</f>
        <v>South West</v>
      </c>
      <c r="AQ63" s="39" t="str">
        <f t="shared" si="15"/>
        <v/>
      </c>
      <c r="AR63" s="34" t="str">
        <f>IF(AQ63="","",IF(I$8="A",(RANK(AQ63,AQ$11:AQ$368,1)+COUNTIF(AQ$11:AQ63,AQ63)-1),(RANK(AQ63,AQ$11:AQ$368)+COUNTIF(AQ$11:AQ63,AQ63)-1)))</f>
        <v/>
      </c>
      <c r="AS63" s="29" t="str">
        <f t="shared" si="16"/>
        <v/>
      </c>
      <c r="AT63" s="34" t="str">
        <f t="shared" si="6"/>
        <v/>
      </c>
      <c r="AU63" s="39" t="str">
        <f t="shared" si="17"/>
        <v/>
      </c>
      <c r="AX63" s="21">
        <f>HLOOKUP($AX$9&amp;$AX$10,Data!$A$1:$ZZ$2000,(MATCH($C63,Data!$A$1:$A$2000,0)),FALSE)</f>
        <v>83.694914028500719</v>
      </c>
      <c r="AY63" s="103"/>
      <c r="AZ63" s="21"/>
    </row>
    <row r="64" spans="1:52">
      <c r="A64" s="56" t="str">
        <f>$D$1&amp;54</f>
        <v>SD54</v>
      </c>
      <c r="B64" s="57" t="str">
        <f>IF(ISERROR(VLOOKUP(A64,classifications!A:C,3,FALSE)),0,VLOOKUP(A64,classifications!A:C,3,FALSE))</f>
        <v>South Hams</v>
      </c>
      <c r="C64" s="8" t="s">
        <v>33</v>
      </c>
      <c r="D64" s="26" t="str">
        <f>VLOOKUP($C64,classifications!$C:$J,4,FALSE)</f>
        <v>SD</v>
      </c>
      <c r="E64" s="26">
        <f>VLOOKUP(C64,classifications!C:K,9,FALSE)</f>
        <v>0</v>
      </c>
      <c r="F64" s="36">
        <f t="shared" si="0"/>
        <v>84.374301378764812</v>
      </c>
      <c r="G64" s="71"/>
      <c r="H64" s="37">
        <f t="shared" si="1"/>
        <v>84.374301378764812</v>
      </c>
      <c r="I64" s="77">
        <f>IF(H64="","",IF($I$8="A",(RANK(H64,H$11:H$368,1)+COUNTIF(H$11:H64,H64)-1),(RANK(H64,H$11:H$368)+COUNTIF(H$11:H64,H64)-1)))</f>
        <v>41</v>
      </c>
      <c r="J64" s="35"/>
      <c r="K64" s="28">
        <f t="shared" si="7"/>
        <v>54</v>
      </c>
      <c r="L64" s="36" t="str">
        <f t="shared" si="2"/>
        <v>Tewkesbury</v>
      </c>
      <c r="M64" s="102">
        <f t="shared" si="22"/>
        <v>83.251610631426161</v>
      </c>
      <c r="N64" s="101">
        <f t="shared" si="23"/>
        <v>83.251610631426161</v>
      </c>
      <c r="O64" s="94" t="str">
        <f t="shared" si="8"/>
        <v/>
      </c>
      <c r="P64" s="94">
        <f t="shared" si="18"/>
        <v>83.251610631426161</v>
      </c>
      <c r="Q64" s="94" t="str">
        <f t="shared" si="19"/>
        <v/>
      </c>
      <c r="R64" s="90" t="str">
        <f t="shared" si="20"/>
        <v/>
      </c>
      <c r="S64" s="37" t="str">
        <f t="shared" si="9"/>
        <v/>
      </c>
      <c r="T64" s="176" t="str">
        <f>IF(L64="","",VLOOKUP(L64,classifications!C:K,9,FALSE))</f>
        <v>Sparse</v>
      </c>
      <c r="U64" s="183">
        <f t="shared" si="25"/>
        <v>83.251610631426161</v>
      </c>
      <c r="V64" s="184">
        <f>IF(U64="","",IF($I$8="A",(RANK(U64,U$11:U$368)+COUNTIF(U$11:U64,U64)-1),(RANK(U64,U$11:U$368,1)+COUNTIF(U$11:U64,U64)-1)))</f>
        <v>51</v>
      </c>
      <c r="W64" s="185"/>
      <c r="X64" s="38" t="str">
        <f>IF(L64="","",VLOOKUP($L64,classifications!$C:$J,6,FALSE))</f>
        <v xml:space="preserve">Largely Rural (rural including hub towns 50-79%) </v>
      </c>
      <c r="Y64" s="26" t="str">
        <f t="shared" si="3"/>
        <v/>
      </c>
      <c r="Z64" s="34" t="str">
        <f>IF(Y64="","",IF(I$8="A",(RANK(Y64,Y$11:Y$368,1)+COUNTIF(Y$11:Y64,Y64)-1),(RANK(Y64,Y$11:Y$368)+COUNTIF(Y$11:Y64,Y64)-1)))</f>
        <v/>
      </c>
      <c r="AA64" s="188" t="str">
        <f>IF(L64="","",VLOOKUP($L64,classifications!C:I,7,FALSE))</f>
        <v>Predominantly Rural</v>
      </c>
      <c r="AB64" s="184">
        <f t="shared" si="11"/>
        <v>83.251610631426161</v>
      </c>
      <c r="AC64" s="184">
        <f>IF(AB64="","",IF($I$8="A",(RANK(AB64,AB$11:AB$368)+COUNTIF(AB$11:AB64,AB64)-1),(RANK(AB64,AB$11:AB$368,1)+COUNTIF(AB$11:AB64,AB64)-1)))</f>
        <v>52</v>
      </c>
      <c r="AD64" s="184"/>
      <c r="AE64" s="28" t="str">
        <f t="shared" si="24"/>
        <v/>
      </c>
      <c r="AG64" s="96"/>
      <c r="AH64" s="29"/>
      <c r="AI64" s="38" t="str">
        <f>IF(L64="","",VLOOKUP($L64,classifications!$C:$J,8,FALSE))</f>
        <v>Gloucestershire</v>
      </c>
      <c r="AJ64" s="39" t="str">
        <f t="shared" si="4"/>
        <v/>
      </c>
      <c r="AK64" s="34" t="str">
        <f>IF(AJ64="","",IF(I$8="A",(RANK(AJ64,AJ$11:AJ$368,1)+COUNTIF(AJ$11:AJ64,AJ64)-1),(RANK(AJ64,AJ$11:AJ$368)+COUNTIF(AJ$11:AJ64,AJ64)-1)))</f>
        <v/>
      </c>
      <c r="AL64" s="29" t="str">
        <f t="shared" si="13"/>
        <v/>
      </c>
      <c r="AM64" s="8" t="str">
        <f t="shared" si="5"/>
        <v/>
      </c>
      <c r="AN64" s="8" t="str">
        <f t="shared" si="14"/>
        <v/>
      </c>
      <c r="AP64" s="38" t="str">
        <f>IF(L64="","",VLOOKUP($L64,classifications!$C:$E,3,FALSE))</f>
        <v>South West</v>
      </c>
      <c r="AQ64" s="39" t="str">
        <f t="shared" si="15"/>
        <v/>
      </c>
      <c r="AR64" s="34" t="str">
        <f>IF(AQ64="","",IF(I$8="A",(RANK(AQ64,AQ$11:AQ$368,1)+COUNTIF(AQ$11:AQ64,AQ64)-1),(RANK(AQ64,AQ$11:AQ$368)+COUNTIF(AQ$11:AQ64,AQ64)-1)))</f>
        <v/>
      </c>
      <c r="AS64" s="29" t="str">
        <f t="shared" si="16"/>
        <v/>
      </c>
      <c r="AT64" s="34" t="str">
        <f t="shared" si="6"/>
        <v/>
      </c>
      <c r="AU64" s="39" t="str">
        <f t="shared" si="17"/>
        <v/>
      </c>
      <c r="AX64" s="21">
        <f>HLOOKUP($AX$9&amp;$AX$10,Data!$A$1:$ZZ$2000,(MATCH($C64,Data!$A$1:$A$2000,0)),FALSE)</f>
        <v>84.374301378764812</v>
      </c>
      <c r="AY64" s="103"/>
      <c r="AZ64" s="21"/>
    </row>
    <row r="65" spans="1:52">
      <c r="A65" s="56" t="str">
        <f>$D$1&amp;55</f>
        <v>SD55</v>
      </c>
      <c r="B65" s="57" t="str">
        <f>IF(ISERROR(VLOOKUP(A65,classifications!A:C,3,FALSE)),0,VLOOKUP(A65,classifications!A:C,3,FALSE))</f>
        <v>South Holland</v>
      </c>
      <c r="C65" s="8" t="s">
        <v>34</v>
      </c>
      <c r="D65" s="26" t="str">
        <f>VLOOKUP($C65,classifications!$C:$J,4,FALSE)</f>
        <v>SD</v>
      </c>
      <c r="E65" s="26">
        <f>VLOOKUP(C65,classifications!C:K,9,FALSE)</f>
        <v>0</v>
      </c>
      <c r="F65" s="36">
        <f t="shared" si="0"/>
        <v>83.288485527931542</v>
      </c>
      <c r="G65" s="71"/>
      <c r="H65" s="37">
        <f t="shared" si="1"/>
        <v>83.288485527931542</v>
      </c>
      <c r="I65" s="77">
        <f>IF(H65="","",IF($I$8="A",(RANK(H65,H$11:H$368,1)+COUNTIF(H$11:H65,H65)-1),(RANK(H65,H$11:H$368)+COUNTIF(H$11:H65,H65)-1)))</f>
        <v>53</v>
      </c>
      <c r="J65" s="35"/>
      <c r="K65" s="28">
        <f t="shared" si="7"/>
        <v>55</v>
      </c>
      <c r="L65" s="36" t="str">
        <f t="shared" si="2"/>
        <v>Hambleton</v>
      </c>
      <c r="M65" s="102">
        <f t="shared" si="22"/>
        <v>83.210609729168269</v>
      </c>
      <c r="N65" s="101">
        <f t="shared" si="23"/>
        <v>83.210609729168269</v>
      </c>
      <c r="O65" s="94" t="str">
        <f t="shared" si="8"/>
        <v/>
      </c>
      <c r="P65" s="94">
        <f t="shared" si="18"/>
        <v>83.210609729168269</v>
      </c>
      <c r="Q65" s="94" t="str">
        <f t="shared" si="19"/>
        <v/>
      </c>
      <c r="R65" s="90" t="str">
        <f t="shared" si="20"/>
        <v/>
      </c>
      <c r="S65" s="37" t="str">
        <f t="shared" si="9"/>
        <v/>
      </c>
      <c r="T65" s="176" t="str">
        <f>IF(L65="","",VLOOKUP(L65,classifications!C:K,9,FALSE))</f>
        <v>Sparse</v>
      </c>
      <c r="U65" s="183">
        <f t="shared" si="25"/>
        <v>83.210609729168269</v>
      </c>
      <c r="V65" s="184">
        <f>IF(U65="","",IF($I$8="A",(RANK(U65,U$11:U$368)+COUNTIF(U$11:U65,U65)-1),(RANK(U65,U$11:U$368,1)+COUNTIF(U$11:U65,U65)-1)))</f>
        <v>50</v>
      </c>
      <c r="W65" s="185"/>
      <c r="X65" s="38" t="str">
        <f>IF(L65="","",VLOOKUP($L65,classifications!$C:$J,6,FALSE))</f>
        <v xml:space="preserve">Mainly Rural (rural including hub towns &gt;=80%) </v>
      </c>
      <c r="Y65" s="26">
        <f t="shared" si="3"/>
        <v>83.210609729168269</v>
      </c>
      <c r="Z65" s="34">
        <f>IF(Y65="","",IF(I$8="A",(RANK(Y65,Y$11:Y$368,1)+COUNTIF(Y$11:Y65,Y65)-1),(RANK(Y65,Y$11:Y$368)+COUNTIF(Y$11:Y65,Y65)-1)))</f>
        <v>14</v>
      </c>
      <c r="AA65" s="188" t="str">
        <f>IF(L65="","",VLOOKUP($L65,classifications!C:I,7,FALSE))</f>
        <v>Predominantly Rural</v>
      </c>
      <c r="AB65" s="184">
        <f t="shared" si="11"/>
        <v>83.210609729168269</v>
      </c>
      <c r="AC65" s="184">
        <f>IF(AB65="","",IF($I$8="A",(RANK(AB65,AB$11:AB$368)+COUNTIF(AB$11:AB65,AB65)-1),(RANK(AB65,AB$11:AB$368,1)+COUNTIF(AB$11:AB65,AB65)-1)))</f>
        <v>51</v>
      </c>
      <c r="AD65" s="184"/>
      <c r="AE65" s="28" t="str">
        <f t="shared" si="24"/>
        <v/>
      </c>
      <c r="AG65" s="96"/>
      <c r="AH65" s="29"/>
      <c r="AI65" s="38" t="str">
        <f>IF(L65="","",VLOOKUP($L65,classifications!$C:$J,8,FALSE))</f>
        <v>North Yorkshire</v>
      </c>
      <c r="AJ65" s="39" t="str">
        <f t="shared" si="4"/>
        <v/>
      </c>
      <c r="AK65" s="34" t="str">
        <f>IF(AJ65="","",IF(I$8="A",(RANK(AJ65,AJ$11:AJ$368,1)+COUNTIF(AJ$11:AJ65,AJ65)-1),(RANK(AJ65,AJ$11:AJ$368)+COUNTIF(AJ$11:AJ65,AJ65)-1)))</f>
        <v/>
      </c>
      <c r="AL65" s="29" t="str">
        <f t="shared" si="13"/>
        <v/>
      </c>
      <c r="AM65" s="8" t="str">
        <f t="shared" si="5"/>
        <v/>
      </c>
      <c r="AN65" s="8" t="str">
        <f t="shared" si="14"/>
        <v/>
      </c>
      <c r="AP65" s="38" t="str">
        <f>IF(L65="","",VLOOKUP($L65,classifications!$C:$E,3,FALSE))</f>
        <v>Yorkshire &amp; Humberside</v>
      </c>
      <c r="AQ65" s="39" t="str">
        <f t="shared" si="15"/>
        <v/>
      </c>
      <c r="AR65" s="34" t="str">
        <f>IF(AQ65="","",IF(I$8="A",(RANK(AQ65,AQ$11:AQ$368,1)+COUNTIF(AQ$11:AQ65,AQ65)-1),(RANK(AQ65,AQ$11:AQ$368)+COUNTIF(AQ$11:AQ65,AQ65)-1)))</f>
        <v/>
      </c>
      <c r="AS65" s="29" t="str">
        <f t="shared" si="16"/>
        <v/>
      </c>
      <c r="AT65" s="34" t="str">
        <f t="shared" si="6"/>
        <v/>
      </c>
      <c r="AU65" s="39" t="str">
        <f t="shared" si="17"/>
        <v/>
      </c>
      <c r="AX65" s="21">
        <f>HLOOKUP($AX$9&amp;$AX$10,Data!$A$1:$ZZ$2000,(MATCH($C65,Data!$A$1:$A$2000,0)),FALSE)</f>
        <v>83.288485527931542</v>
      </c>
      <c r="AY65" s="103"/>
      <c r="AZ65" s="21"/>
    </row>
    <row r="66" spans="1:52">
      <c r="A66" s="56" t="str">
        <f>$D$1&amp;56</f>
        <v>SD56</v>
      </c>
      <c r="B66" s="57" t="str">
        <f>IF(ISERROR(VLOOKUP(A66,classifications!A:C,3,FALSE)),0,VLOOKUP(A66,classifications!A:C,3,FALSE))</f>
        <v>South Kesteven</v>
      </c>
      <c r="C66" s="8" t="s">
        <v>35</v>
      </c>
      <c r="D66" s="26" t="str">
        <f>VLOOKUP($C66,classifications!$C:$J,4,FALSE)</f>
        <v>SD</v>
      </c>
      <c r="E66" s="26" t="str">
        <f>VLOOKUP(C66,classifications!C:K,9,FALSE)</f>
        <v>Sparse</v>
      </c>
      <c r="F66" s="36">
        <f t="shared" si="0"/>
        <v>83.502992137546002</v>
      </c>
      <c r="G66" s="71"/>
      <c r="H66" s="37">
        <f t="shared" si="1"/>
        <v>83.502992137546002</v>
      </c>
      <c r="I66" s="77">
        <f>IF(H66="","",IF($I$8="A",(RANK(H66,H$11:H$368,1)+COUNTIF(H$11:H66,H66)-1),(RANK(H66,H$11:H$368)+COUNTIF(H$11:H66,H66)-1)))</f>
        <v>49</v>
      </c>
      <c r="J66" s="35"/>
      <c r="K66" s="28">
        <f t="shared" si="7"/>
        <v>56</v>
      </c>
      <c r="L66" s="36" t="str">
        <f t="shared" si="2"/>
        <v>Gedling</v>
      </c>
      <c r="M66" s="102">
        <f t="shared" si="22"/>
        <v>83.136481738788177</v>
      </c>
      <c r="N66" s="101">
        <f t="shared" si="23"/>
        <v>83.136481738788177</v>
      </c>
      <c r="O66" s="94" t="str">
        <f t="shared" si="8"/>
        <v/>
      </c>
      <c r="P66" s="94">
        <f t="shared" si="18"/>
        <v>83.136481738788177</v>
      </c>
      <c r="Q66" s="94" t="str">
        <f t="shared" si="19"/>
        <v/>
      </c>
      <c r="R66" s="90" t="str">
        <f t="shared" si="20"/>
        <v/>
      </c>
      <c r="S66" s="37" t="str">
        <f t="shared" si="9"/>
        <v/>
      </c>
      <c r="T66" s="176">
        <f>IF(L66="","",VLOOKUP(L66,classifications!C:K,9,FALSE))</f>
        <v>0</v>
      </c>
      <c r="U66" s="183" t="str">
        <f t="shared" si="25"/>
        <v/>
      </c>
      <c r="V66" s="184" t="str">
        <f>IF(U66="","",IF($I$8="A",(RANK(U66,U$11:U$368)+COUNTIF(U$11:U66,U66)-1),(RANK(U66,U$11:U$368,1)+COUNTIF(U$11:U66,U66)-1)))</f>
        <v/>
      </c>
      <c r="W66" s="185"/>
      <c r="X66" s="38" t="str">
        <f>IF(L66="","",VLOOKUP($L66,classifications!$C:$J,6,FALSE))</f>
        <v>Urban with Minor Conurbation</v>
      </c>
      <c r="Y66" s="26" t="str">
        <f t="shared" si="3"/>
        <v/>
      </c>
      <c r="Z66" s="34" t="str">
        <f>IF(Y66="","",IF(I$8="A",(RANK(Y66,Y$11:Y$368,1)+COUNTIF(Y$11:Y66,Y66)-1),(RANK(Y66,Y$11:Y$368)+COUNTIF(Y$11:Y66,Y66)-1)))</f>
        <v/>
      </c>
      <c r="AA66" s="188" t="str">
        <f>IF(L66="","",VLOOKUP($L66,classifications!C:I,7,FALSE))</f>
        <v>Predominantly Urban</v>
      </c>
      <c r="AB66" s="184" t="str">
        <f t="shared" si="11"/>
        <v/>
      </c>
      <c r="AC66" s="184" t="str">
        <f>IF(AB66="","",IF($I$8="A",(RANK(AB66,AB$11:AB$368)+COUNTIF(AB$11:AB66,AB66)-1),(RANK(AB66,AB$11:AB$368,1)+COUNTIF(AB$11:AB66,AB66)-1)))</f>
        <v/>
      </c>
      <c r="AD66" s="184"/>
      <c r="AE66" s="28" t="str">
        <f t="shared" si="24"/>
        <v/>
      </c>
      <c r="AG66" s="96"/>
      <c r="AH66" s="29"/>
      <c r="AI66" s="38" t="str">
        <f>IF(L66="","",VLOOKUP($L66,classifications!$C:$J,8,FALSE))</f>
        <v>Nottinghamshire</v>
      </c>
      <c r="AJ66" s="39" t="str">
        <f t="shared" si="4"/>
        <v/>
      </c>
      <c r="AK66" s="34" t="str">
        <f>IF(AJ66="","",IF(I$8="A",(RANK(AJ66,AJ$11:AJ$368,1)+COUNTIF(AJ$11:AJ66,AJ66)-1),(RANK(AJ66,AJ$11:AJ$368)+COUNTIF(AJ$11:AJ66,AJ66)-1)))</f>
        <v/>
      </c>
      <c r="AL66" s="29" t="str">
        <f t="shared" si="13"/>
        <v/>
      </c>
      <c r="AM66" s="8" t="str">
        <f t="shared" si="5"/>
        <v/>
      </c>
      <c r="AN66" s="8" t="str">
        <f t="shared" si="14"/>
        <v/>
      </c>
      <c r="AP66" s="38" t="str">
        <f>IF(L66="","",VLOOKUP($L66,classifications!$C:$E,3,FALSE))</f>
        <v>East Midlands</v>
      </c>
      <c r="AQ66" s="39" t="str">
        <f t="shared" si="15"/>
        <v/>
      </c>
      <c r="AR66" s="34" t="str">
        <f>IF(AQ66="","",IF(I$8="A",(RANK(AQ66,AQ$11:AQ$368,1)+COUNTIF(AQ$11:AQ66,AQ66)-1),(RANK(AQ66,AQ$11:AQ$368)+COUNTIF(AQ$11:AQ66,AQ66)-1)))</f>
        <v/>
      </c>
      <c r="AS66" s="29" t="str">
        <f t="shared" si="16"/>
        <v/>
      </c>
      <c r="AT66" s="34" t="str">
        <f t="shared" si="6"/>
        <v/>
      </c>
      <c r="AU66" s="39" t="str">
        <f t="shared" si="17"/>
        <v/>
      </c>
      <c r="AX66" s="21">
        <f>HLOOKUP($AX$9&amp;$AX$10,Data!$A$1:$ZZ$2000,(MATCH($C66,Data!$A$1:$A$2000,0)),FALSE)</f>
        <v>83.502992137546002</v>
      </c>
      <c r="AY66" s="103"/>
      <c r="AZ66" s="21"/>
    </row>
    <row r="67" spans="1:52">
      <c r="A67" s="56" t="str">
        <f>$D$1&amp;57</f>
        <v>SD57</v>
      </c>
      <c r="B67" s="57" t="str">
        <f>IF(ISERROR(VLOOKUP(A67,classifications!A:C,3,FALSE)),0,VLOOKUP(A67,classifications!A:C,3,FALSE))</f>
        <v>South Lakeland</v>
      </c>
      <c r="C67" s="8" t="s">
        <v>304</v>
      </c>
      <c r="D67" s="26" t="str">
        <f>VLOOKUP($C67,classifications!$C:$J,4,FALSE)</f>
        <v>UA</v>
      </c>
      <c r="E67" s="26" t="str">
        <f>VLOOKUP(C67,classifications!C:K,9,FALSE)</f>
        <v>Sparse</v>
      </c>
      <c r="F67" s="36">
        <f t="shared" si="0"/>
        <v>77.112172185872979</v>
      </c>
      <c r="G67" s="71"/>
      <c r="H67" s="37" t="str">
        <f t="shared" si="1"/>
        <v/>
      </c>
      <c r="I67" s="77" t="str">
        <f>IF(H67="","",IF($I$8="A",(RANK(H67,H$11:H$368,1)+COUNTIF(H$11:H67,H67)-1),(RANK(H67,H$11:H$368)+COUNTIF(H$11:H67,H67)-1)))</f>
        <v/>
      </c>
      <c r="J67" s="35"/>
      <c r="K67" s="28">
        <f t="shared" si="7"/>
        <v>57</v>
      </c>
      <c r="L67" s="36" t="str">
        <f t="shared" si="2"/>
        <v>Eastbourne</v>
      </c>
      <c r="M67" s="102">
        <f t="shared" si="22"/>
        <v>83.083729736789735</v>
      </c>
      <c r="N67" s="101">
        <f t="shared" si="23"/>
        <v>83.083729736789735</v>
      </c>
      <c r="O67" s="94" t="str">
        <f t="shared" si="8"/>
        <v/>
      </c>
      <c r="P67" s="94">
        <f t="shared" si="18"/>
        <v>83.083729736789735</v>
      </c>
      <c r="Q67" s="94" t="str">
        <f t="shared" si="19"/>
        <v/>
      </c>
      <c r="R67" s="90" t="str">
        <f t="shared" si="20"/>
        <v/>
      </c>
      <c r="S67" s="37" t="str">
        <f t="shared" si="9"/>
        <v/>
      </c>
      <c r="T67" s="176">
        <f>IF(L67="","",VLOOKUP(L67,classifications!C:K,9,FALSE))</f>
        <v>0</v>
      </c>
      <c r="U67" s="183" t="str">
        <f t="shared" si="25"/>
        <v/>
      </c>
      <c r="V67" s="184" t="str">
        <f>IF(U67="","",IF($I$8="A",(RANK(U67,U$11:U$368)+COUNTIF(U$11:U67,U67)-1),(RANK(U67,U$11:U$368,1)+COUNTIF(U$11:U67,U67)-1)))</f>
        <v/>
      </c>
      <c r="W67" s="185"/>
      <c r="X67" s="38" t="str">
        <f>IF(L67="","",VLOOKUP($L67,classifications!$C:$J,6,FALSE))</f>
        <v>Urban with City and Town</v>
      </c>
      <c r="Y67" s="26" t="str">
        <f t="shared" si="3"/>
        <v/>
      </c>
      <c r="Z67" s="34" t="str">
        <f>IF(Y67="","",IF(I$8="A",(RANK(Y67,Y$11:Y$368,1)+COUNTIF(Y$11:Y67,Y67)-1),(RANK(Y67,Y$11:Y$368)+COUNTIF(Y$11:Y67,Y67)-1)))</f>
        <v/>
      </c>
      <c r="AA67" s="188" t="str">
        <f>IF(L67="","",VLOOKUP($L67,classifications!C:I,7,FALSE))</f>
        <v>Predominantly Urban</v>
      </c>
      <c r="AB67" s="184" t="str">
        <f t="shared" si="11"/>
        <v/>
      </c>
      <c r="AC67" s="184" t="str">
        <f>IF(AB67="","",IF($I$8="A",(RANK(AB67,AB$11:AB$368)+COUNTIF(AB$11:AB67,AB67)-1),(RANK(AB67,AB$11:AB$368,1)+COUNTIF(AB$11:AB67,AB67)-1)))</f>
        <v/>
      </c>
      <c r="AD67" s="184"/>
      <c r="AE67" s="28" t="str">
        <f t="shared" si="24"/>
        <v/>
      </c>
      <c r="AG67" s="96"/>
      <c r="AH67" s="29"/>
      <c r="AI67" s="38" t="str">
        <f>IF(L67="","",VLOOKUP($L67,classifications!$C:$J,8,FALSE))</f>
        <v>East Sussex</v>
      </c>
      <c r="AJ67" s="39" t="str">
        <f t="shared" si="4"/>
        <v/>
      </c>
      <c r="AK67" s="34" t="str">
        <f>IF(AJ67="","",IF(I$8="A",(RANK(AJ67,AJ$11:AJ$368,1)+COUNTIF(AJ$11:AJ67,AJ67)-1),(RANK(AJ67,AJ$11:AJ$368)+COUNTIF(AJ$11:AJ67,AJ67)-1)))</f>
        <v/>
      </c>
      <c r="AL67" s="29" t="str">
        <f t="shared" si="13"/>
        <v/>
      </c>
      <c r="AM67" s="8" t="str">
        <f t="shared" si="5"/>
        <v/>
      </c>
      <c r="AN67" s="8" t="str">
        <f t="shared" si="14"/>
        <v/>
      </c>
      <c r="AP67" s="38" t="str">
        <f>IF(L67="","",VLOOKUP($L67,classifications!$C:$E,3,FALSE))</f>
        <v>South East</v>
      </c>
      <c r="AQ67" s="39" t="str">
        <f t="shared" si="15"/>
        <v/>
      </c>
      <c r="AR67" s="34" t="str">
        <f>IF(AQ67="","",IF(I$8="A",(RANK(AQ67,AQ$11:AQ$368,1)+COUNTIF(AQ$11:AQ67,AQ67)-1),(RANK(AQ67,AQ$11:AQ$368)+COUNTIF(AQ$11:AQ67,AQ67)-1)))</f>
        <v/>
      </c>
      <c r="AS67" s="29" t="str">
        <f t="shared" si="16"/>
        <v/>
      </c>
      <c r="AT67" s="34" t="str">
        <f t="shared" si="6"/>
        <v/>
      </c>
      <c r="AU67" s="39" t="str">
        <f t="shared" si="17"/>
        <v/>
      </c>
      <c r="AX67" s="21">
        <f>HLOOKUP($AX$9&amp;$AX$10,Data!$A$1:$ZZ$2000,(MATCH($C67,Data!$A$1:$A$2000,0)),FALSE)</f>
        <v>77.112172185872979</v>
      </c>
      <c r="AY67" s="103"/>
      <c r="AZ67" s="21"/>
    </row>
    <row r="68" spans="1:52">
      <c r="A68" s="56" t="str">
        <f>$D$1&amp;58</f>
        <v>SD58</v>
      </c>
      <c r="B68" s="57" t="str">
        <f>IF(ISERROR(VLOOKUP(A68,classifications!A:C,3,FALSE)),0,VLOOKUP(A68,classifications!A:C,3,FALSE))</f>
        <v>South Norfolk</v>
      </c>
      <c r="C68" s="8" t="s">
        <v>812</v>
      </c>
      <c r="D68" s="26" t="str">
        <f>VLOOKUP($C68,classifications!$C:$J,4,FALSE)</f>
        <v>UA</v>
      </c>
      <c r="E68" s="26">
        <f>VLOOKUP(C68,classifications!C:K,9,FALSE)</f>
        <v>0</v>
      </c>
      <c r="F68" s="36">
        <f t="shared" si="0"/>
        <v>79.102942858155927</v>
      </c>
      <c r="G68" s="71"/>
      <c r="H68" s="37" t="str">
        <f t="shared" si="1"/>
        <v/>
      </c>
      <c r="I68" s="77" t="str">
        <f>IF(H68="","",IF($I$8="A",(RANK(H68,H$11:H$368,1)+COUNTIF(H$11:H68,H68)-1),(RANK(H68,H$11:H$368)+COUNTIF(H$11:H68,H68)-1)))</f>
        <v/>
      </c>
      <c r="J68" s="35"/>
      <c r="K68" s="28">
        <f t="shared" si="7"/>
        <v>58</v>
      </c>
      <c r="L68" s="36" t="str">
        <f t="shared" si="2"/>
        <v>South Cambridgeshire</v>
      </c>
      <c r="M68" s="102">
        <f t="shared" si="22"/>
        <v>83.032002727096341</v>
      </c>
      <c r="N68" s="101">
        <f t="shared" si="23"/>
        <v>83.032002727096341</v>
      </c>
      <c r="O68" s="94" t="str">
        <f t="shared" si="8"/>
        <v/>
      </c>
      <c r="P68" s="94">
        <f t="shared" si="18"/>
        <v>83.032002727096341</v>
      </c>
      <c r="Q68" s="94" t="str">
        <f t="shared" si="19"/>
        <v/>
      </c>
      <c r="R68" s="90" t="str">
        <f t="shared" si="20"/>
        <v/>
      </c>
      <c r="S68" s="37" t="str">
        <f t="shared" si="9"/>
        <v/>
      </c>
      <c r="T68" s="176" t="str">
        <f>IF(L68="","",VLOOKUP(L68,classifications!C:K,9,FALSE))</f>
        <v>Sparse</v>
      </c>
      <c r="U68" s="183">
        <f t="shared" si="25"/>
        <v>83.032002727096341</v>
      </c>
      <c r="V68" s="184">
        <f>IF(U68="","",IF($I$8="A",(RANK(U68,U$11:U$368)+COUNTIF(U$11:U68,U68)-1),(RANK(U68,U$11:U$368,1)+COUNTIF(U$11:U68,U68)-1)))</f>
        <v>49</v>
      </c>
      <c r="W68" s="185"/>
      <c r="X68" s="38" t="str">
        <f>IF(L68="","",VLOOKUP($L68,classifications!$C:$J,6,FALSE))</f>
        <v xml:space="preserve">Largely Rural (rural including hub towns 50-79%) </v>
      </c>
      <c r="Y68" s="26" t="str">
        <f t="shared" si="3"/>
        <v/>
      </c>
      <c r="Z68" s="34" t="str">
        <f>IF(Y68="","",IF(I$8="A",(RANK(Y68,Y$11:Y$368,1)+COUNTIF(Y$11:Y68,Y68)-1),(RANK(Y68,Y$11:Y$368)+COUNTIF(Y$11:Y68,Y68)-1)))</f>
        <v/>
      </c>
      <c r="AA68" s="188" t="str">
        <f>IF(L68="","",VLOOKUP($L68,classifications!C:I,7,FALSE))</f>
        <v>Predominantly Rural</v>
      </c>
      <c r="AB68" s="184">
        <f t="shared" si="11"/>
        <v>83.032002727096341</v>
      </c>
      <c r="AC68" s="184">
        <f>IF(AB68="","",IF($I$8="A",(RANK(AB68,AB$11:AB$368)+COUNTIF(AB$11:AB68,AB68)-1),(RANK(AB68,AB$11:AB$368,1)+COUNTIF(AB$11:AB68,AB68)-1)))</f>
        <v>50</v>
      </c>
      <c r="AD68" s="184"/>
      <c r="AE68" s="28" t="str">
        <f t="shared" si="24"/>
        <v/>
      </c>
      <c r="AG68" s="96"/>
      <c r="AH68" s="29"/>
      <c r="AI68" s="38" t="str">
        <f>IF(L68="","",VLOOKUP($L68,classifications!$C:$J,8,FALSE))</f>
        <v>Cambridgeshire</v>
      </c>
      <c r="AJ68" s="39" t="str">
        <f t="shared" si="4"/>
        <v/>
      </c>
      <c r="AK68" s="34" t="str">
        <f>IF(AJ68="","",IF(I$8="A",(RANK(AJ68,AJ$11:AJ$368,1)+COUNTIF(AJ$11:AJ68,AJ68)-1),(RANK(AJ68,AJ$11:AJ$368)+COUNTIF(AJ$11:AJ68,AJ68)-1)))</f>
        <v/>
      </c>
      <c r="AL68" s="29" t="str">
        <f t="shared" si="13"/>
        <v/>
      </c>
      <c r="AM68" s="8" t="str">
        <f t="shared" si="5"/>
        <v/>
      </c>
      <c r="AN68" s="8" t="str">
        <f t="shared" si="14"/>
        <v/>
      </c>
      <c r="AP68" s="38" t="str">
        <f>IF(L68="","",VLOOKUP($L68,classifications!$C:$E,3,FALSE))</f>
        <v>East of England</v>
      </c>
      <c r="AQ68" s="39" t="str">
        <f t="shared" si="15"/>
        <v/>
      </c>
      <c r="AR68" s="34" t="str">
        <f>IF(AQ68="","",IF(I$8="A",(RANK(AQ68,AQ$11:AQ$368,1)+COUNTIF(AQ$11:AQ68,AQ68)-1),(RANK(AQ68,AQ$11:AQ$368)+COUNTIF(AQ$11:AQ68,AQ68)-1)))</f>
        <v/>
      </c>
      <c r="AS68" s="29" t="str">
        <f t="shared" si="16"/>
        <v/>
      </c>
      <c r="AT68" s="34" t="str">
        <f t="shared" si="6"/>
        <v/>
      </c>
      <c r="AU68" s="39" t="str">
        <f t="shared" si="17"/>
        <v/>
      </c>
      <c r="AX68" s="21">
        <f>HLOOKUP($AX$9&amp;$AX$10,Data!$A$1:$ZZ$2000,(MATCH($C68,Data!$A$1:$A$2000,0)),FALSE)</f>
        <v>79.102942858155927</v>
      </c>
      <c r="AY68" s="103"/>
      <c r="AZ68" s="21"/>
    </row>
    <row r="69" spans="1:52">
      <c r="A69" s="56" t="str">
        <f>$D$1&amp;59</f>
        <v>SD59</v>
      </c>
      <c r="B69" s="57" t="str">
        <f>IF(ISERROR(VLOOKUP(A69,classifications!A:C,3,FALSE)),0,VLOOKUP(A69,classifications!A:C,3,FALSE))</f>
        <v>South Northamptonshire</v>
      </c>
      <c r="C69" s="8" t="s">
        <v>36</v>
      </c>
      <c r="D69" s="26" t="str">
        <f>VLOOKUP($C69,classifications!$C:$J,4,FALSE)</f>
        <v>SD</v>
      </c>
      <c r="E69" s="26">
        <f>VLOOKUP(C69,classifications!C:K,9,FALSE)</f>
        <v>0</v>
      </c>
      <c r="F69" s="36">
        <f t="shared" si="0"/>
        <v>77.603153628558843</v>
      </c>
      <c r="G69" s="71"/>
      <c r="H69" s="37">
        <f t="shared" si="1"/>
        <v>77.603153628558843</v>
      </c>
      <c r="I69" s="77">
        <f>IF(H69="","",IF($I$8="A",(RANK(H69,H$11:H$368,1)+COUNTIF(H$11:H69,H69)-1),(RANK(H69,H$11:H$368)+COUNTIF(H$11:H69,H69)-1)))</f>
        <v>155</v>
      </c>
      <c r="J69" s="35"/>
      <c r="K69" s="28">
        <f t="shared" si="7"/>
        <v>59</v>
      </c>
      <c r="L69" s="36" t="str">
        <f t="shared" si="2"/>
        <v>Dacorum</v>
      </c>
      <c r="M69" s="102">
        <f t="shared" si="22"/>
        <v>83.013741593227948</v>
      </c>
      <c r="N69" s="101">
        <f t="shared" si="23"/>
        <v>83.013741593227948</v>
      </c>
      <c r="O69" s="94" t="str">
        <f t="shared" si="8"/>
        <v/>
      </c>
      <c r="P69" s="94">
        <f t="shared" si="18"/>
        <v>83.013741593227948</v>
      </c>
      <c r="Q69" s="94" t="str">
        <f t="shared" si="19"/>
        <v/>
      </c>
      <c r="R69" s="90" t="str">
        <f t="shared" si="20"/>
        <v/>
      </c>
      <c r="S69" s="37" t="str">
        <f t="shared" si="9"/>
        <v/>
      </c>
      <c r="T69" s="176">
        <f>IF(L69="","",VLOOKUP(L69,classifications!C:K,9,FALSE))</f>
        <v>0</v>
      </c>
      <c r="U69" s="183" t="str">
        <f t="shared" si="25"/>
        <v/>
      </c>
      <c r="V69" s="184" t="str">
        <f>IF(U69="","",IF($I$8="A",(RANK(U69,U$11:U$368)+COUNTIF(U$11:U69,U69)-1),(RANK(U69,U$11:U$368,1)+COUNTIF(U$11:U69,U69)-1)))</f>
        <v/>
      </c>
      <c r="W69" s="185"/>
      <c r="X69" s="38" t="str">
        <f>IF(L69="","",VLOOKUP($L69,classifications!$C:$J,6,FALSE))</f>
        <v>Urban with Significant Rural (rural including hub towns 26-49%)</v>
      </c>
      <c r="Y69" s="26" t="str">
        <f t="shared" si="3"/>
        <v/>
      </c>
      <c r="Z69" s="34" t="str">
        <f>IF(Y69="","",IF(I$8="A",(RANK(Y69,Y$11:Y$368,1)+COUNTIF(Y$11:Y69,Y69)-1),(RANK(Y69,Y$11:Y$368)+COUNTIF(Y$11:Y69,Y69)-1)))</f>
        <v/>
      </c>
      <c r="AA69" s="188" t="str">
        <f>IF(L69="","",VLOOKUP($L69,classifications!C:I,7,FALSE))</f>
        <v>Significant Rural</v>
      </c>
      <c r="AB69" s="184" t="str">
        <f t="shared" si="11"/>
        <v/>
      </c>
      <c r="AC69" s="184" t="str">
        <f>IF(AB69="","",IF($I$8="A",(RANK(AB69,AB$11:AB$368)+COUNTIF(AB$11:AB69,AB69)-1),(RANK(AB69,AB$11:AB$368,1)+COUNTIF(AB$11:AB69,AB69)-1)))</f>
        <v/>
      </c>
      <c r="AD69" s="184"/>
      <c r="AE69" s="28" t="str">
        <f t="shared" si="24"/>
        <v/>
      </c>
      <c r="AG69" s="96"/>
      <c r="AH69" s="29"/>
      <c r="AI69" s="38" t="str">
        <f>IF(L69="","",VLOOKUP($L69,classifications!$C:$J,8,FALSE))</f>
        <v>Hertfordshire</v>
      </c>
      <c r="AJ69" s="39" t="str">
        <f t="shared" si="4"/>
        <v/>
      </c>
      <c r="AK69" s="34" t="str">
        <f>IF(AJ69="","",IF(I$8="A",(RANK(AJ69,AJ$11:AJ$368,1)+COUNTIF(AJ$11:AJ69,AJ69)-1),(RANK(AJ69,AJ$11:AJ$368)+COUNTIF(AJ$11:AJ69,AJ69)-1)))</f>
        <v/>
      </c>
      <c r="AL69" s="29" t="str">
        <f t="shared" si="13"/>
        <v/>
      </c>
      <c r="AM69" s="8" t="str">
        <f t="shared" si="5"/>
        <v/>
      </c>
      <c r="AN69" s="8" t="str">
        <f t="shared" si="14"/>
        <v/>
      </c>
      <c r="AP69" s="38" t="str">
        <f>IF(L69="","",VLOOKUP($L69,classifications!$C:$E,3,FALSE))</f>
        <v>East of England</v>
      </c>
      <c r="AQ69" s="39" t="str">
        <f t="shared" si="15"/>
        <v/>
      </c>
      <c r="AR69" s="34" t="str">
        <f>IF(AQ69="","",IF(I$8="A",(RANK(AQ69,AQ$11:AQ$368,1)+COUNTIF(AQ$11:AQ69,AQ69)-1),(RANK(AQ69,AQ$11:AQ$368)+COUNTIF(AQ$11:AQ69,AQ69)-1)))</f>
        <v/>
      </c>
      <c r="AS69" s="29" t="str">
        <f t="shared" si="16"/>
        <v/>
      </c>
      <c r="AT69" s="34" t="str">
        <f t="shared" si="6"/>
        <v/>
      </c>
      <c r="AU69" s="39" t="str">
        <f t="shared" si="17"/>
        <v/>
      </c>
      <c r="AX69" s="21">
        <f>HLOOKUP($AX$9&amp;$AX$10,Data!$A$1:$ZZ$2000,(MATCH($C69,Data!$A$1:$A$2000,0)),FALSE)</f>
        <v>77.603153628558843</v>
      </c>
      <c r="AY69" s="103"/>
      <c r="AZ69" s="21"/>
    </row>
    <row r="70" spans="1:52">
      <c r="A70" s="56" t="str">
        <f>$D$1&amp;60</f>
        <v>SD60</v>
      </c>
      <c r="B70" s="57" t="str">
        <f>IF(ISERROR(VLOOKUP(A70,classifications!A:C,3,FALSE)),0,VLOOKUP(A70,classifications!A:C,3,FALSE))</f>
        <v>South Oxfordshire</v>
      </c>
      <c r="C70" s="8" t="s">
        <v>37</v>
      </c>
      <c r="D70" s="26" t="str">
        <f>VLOOKUP($C70,classifications!$C:$J,4,FALSE)</f>
        <v>SD</v>
      </c>
      <c r="E70" s="26" t="str">
        <f>VLOOKUP(C70,classifications!C:K,9,FALSE)</f>
        <v>Sparse</v>
      </c>
      <c r="F70" s="36">
        <f t="shared" si="0"/>
        <v>84.717303427909457</v>
      </c>
      <c r="G70" s="71"/>
      <c r="H70" s="37">
        <f t="shared" si="1"/>
        <v>84.717303427909457</v>
      </c>
      <c r="I70" s="77">
        <f>IF(H70="","",IF($I$8="A",(RANK(H70,H$11:H$368,1)+COUNTIF(H$11:H70,H70)-1),(RANK(H70,H$11:H$368)+COUNTIF(H$11:H70,H70)-1)))</f>
        <v>37</v>
      </c>
      <c r="J70" s="35"/>
      <c r="K70" s="28">
        <f t="shared" si="7"/>
        <v>60</v>
      </c>
      <c r="L70" s="36" t="str">
        <f t="shared" si="2"/>
        <v>Havant</v>
      </c>
      <c r="M70" s="102">
        <f t="shared" si="22"/>
        <v>82.982175152784492</v>
      </c>
      <c r="N70" s="101">
        <f t="shared" si="23"/>
        <v>82.982175152784492</v>
      </c>
      <c r="O70" s="94" t="str">
        <f t="shared" si="8"/>
        <v/>
      </c>
      <c r="P70" s="94">
        <f t="shared" si="18"/>
        <v>82.982175152784492</v>
      </c>
      <c r="Q70" s="94" t="str">
        <f t="shared" si="19"/>
        <v/>
      </c>
      <c r="R70" s="90" t="str">
        <f t="shared" si="20"/>
        <v/>
      </c>
      <c r="S70" s="37" t="str">
        <f t="shared" si="9"/>
        <v/>
      </c>
      <c r="T70" s="176">
        <f>IF(L70="","",VLOOKUP(L70,classifications!C:K,9,FALSE))</f>
        <v>0</v>
      </c>
      <c r="U70" s="183" t="str">
        <f t="shared" si="25"/>
        <v/>
      </c>
      <c r="V70" s="184" t="str">
        <f>IF(U70="","",IF($I$8="A",(RANK(U70,U$11:U$368)+COUNTIF(U$11:U70,U70)-1),(RANK(U70,U$11:U$368,1)+COUNTIF(U$11:U70,U70)-1)))</f>
        <v/>
      </c>
      <c r="W70" s="185"/>
      <c r="X70" s="38" t="str">
        <f>IF(L70="","",VLOOKUP($L70,classifications!$C:$J,6,FALSE))</f>
        <v>Urban with City and Town</v>
      </c>
      <c r="Y70" s="26" t="str">
        <f t="shared" si="3"/>
        <v/>
      </c>
      <c r="Z70" s="34" t="str">
        <f>IF(Y70="","",IF(I$8="A",(RANK(Y70,Y$11:Y$368,1)+COUNTIF(Y$11:Y70,Y70)-1),(RANK(Y70,Y$11:Y$368)+COUNTIF(Y$11:Y70,Y70)-1)))</f>
        <v/>
      </c>
      <c r="AA70" s="188" t="str">
        <f>IF(L70="","",VLOOKUP($L70,classifications!C:I,7,FALSE))</f>
        <v>Predominantly Urban</v>
      </c>
      <c r="AB70" s="184" t="str">
        <f t="shared" si="11"/>
        <v/>
      </c>
      <c r="AC70" s="184" t="str">
        <f>IF(AB70="","",IF($I$8="A",(RANK(AB70,AB$11:AB$368)+COUNTIF(AB$11:AB70,AB70)-1),(RANK(AB70,AB$11:AB$368,1)+COUNTIF(AB$11:AB70,AB70)-1)))</f>
        <v/>
      </c>
      <c r="AD70" s="184"/>
      <c r="AE70" s="28" t="str">
        <f t="shared" si="24"/>
        <v/>
      </c>
      <c r="AG70" s="96"/>
      <c r="AH70" s="29"/>
      <c r="AI70" s="38" t="str">
        <f>IF(L70="","",VLOOKUP($L70,classifications!$C:$J,8,FALSE))</f>
        <v>Hampshire</v>
      </c>
      <c r="AJ70" s="39" t="str">
        <f t="shared" si="4"/>
        <v/>
      </c>
      <c r="AK70" s="34" t="str">
        <f>IF(AJ70="","",IF(I$8="A",(RANK(AJ70,AJ$11:AJ$368,1)+COUNTIF(AJ$11:AJ70,AJ70)-1),(RANK(AJ70,AJ$11:AJ$368)+COUNTIF(AJ$11:AJ70,AJ70)-1)))</f>
        <v/>
      </c>
      <c r="AL70" s="29" t="str">
        <f t="shared" si="13"/>
        <v/>
      </c>
      <c r="AM70" s="8" t="str">
        <f t="shared" si="5"/>
        <v/>
      </c>
      <c r="AN70" s="8" t="str">
        <f t="shared" si="14"/>
        <v/>
      </c>
      <c r="AP70" s="38" t="str">
        <f>IF(L70="","",VLOOKUP($L70,classifications!$C:$E,3,FALSE))</f>
        <v>South East</v>
      </c>
      <c r="AQ70" s="39" t="str">
        <f t="shared" si="15"/>
        <v/>
      </c>
      <c r="AR70" s="34" t="str">
        <f>IF(AQ70="","",IF(I$8="A",(RANK(AQ70,AQ$11:AQ$368,1)+COUNTIF(AQ$11:AQ70,AQ70)-1),(RANK(AQ70,AQ$11:AQ$368)+COUNTIF(AQ$11:AQ70,AQ70)-1)))</f>
        <v/>
      </c>
      <c r="AS70" s="29" t="str">
        <f t="shared" si="16"/>
        <v/>
      </c>
      <c r="AT70" s="34" t="str">
        <f t="shared" si="6"/>
        <v/>
      </c>
      <c r="AU70" s="39" t="str">
        <f t="shared" si="17"/>
        <v/>
      </c>
      <c r="AX70" s="21">
        <f>HLOOKUP($AX$9&amp;$AX$10,Data!$A$1:$ZZ$2000,(MATCH($C70,Data!$A$1:$A$2000,0)),FALSE)</f>
        <v>84.717303427909457</v>
      </c>
      <c r="AY70" s="103"/>
      <c r="AZ70" s="21"/>
    </row>
    <row r="71" spans="1:52">
      <c r="A71" s="56" t="str">
        <f>$D$1&amp;61</f>
        <v>SD61</v>
      </c>
      <c r="B71" s="57" t="str">
        <f>IF(ISERROR(VLOOKUP(A71,classifications!A:C,3,FALSE)),0,VLOOKUP(A71,classifications!A:C,3,FALSE))</f>
        <v>South Somerset</v>
      </c>
      <c r="C71" s="8" t="s">
        <v>38</v>
      </c>
      <c r="D71" s="26" t="str">
        <f>VLOOKUP($C71,classifications!$C:$J,4,FALSE)</f>
        <v>SD</v>
      </c>
      <c r="E71" s="26">
        <f>VLOOKUP(C71,classifications!C:K,9,FALSE)</f>
        <v>0</v>
      </c>
      <c r="F71" s="36">
        <f t="shared" si="0"/>
        <v>86.548326647473345</v>
      </c>
      <c r="G71" s="71"/>
      <c r="H71" s="37">
        <f t="shared" si="1"/>
        <v>86.548326647473345</v>
      </c>
      <c r="I71" s="77">
        <f>IF(H71="","",IF($I$8="A",(RANK(H71,H$11:H$368,1)+COUNTIF(H$11:H71,H71)-1),(RANK(H71,H$11:H$368)+COUNTIF(H$11:H71,H71)-1)))</f>
        <v>12</v>
      </c>
      <c r="J71" s="35"/>
      <c r="K71" s="28">
        <f t="shared" si="7"/>
        <v>61</v>
      </c>
      <c r="L71" s="36" t="str">
        <f t="shared" si="2"/>
        <v>East Hampshire</v>
      </c>
      <c r="M71" s="102">
        <f t="shared" si="22"/>
        <v>82.91320054160262</v>
      </c>
      <c r="N71" s="101">
        <f t="shared" si="23"/>
        <v>82.91320054160262</v>
      </c>
      <c r="O71" s="94" t="str">
        <f t="shared" si="8"/>
        <v/>
      </c>
      <c r="P71" s="94">
        <f t="shared" si="18"/>
        <v>82.91320054160262</v>
      </c>
      <c r="Q71" s="94" t="str">
        <f t="shared" si="19"/>
        <v/>
      </c>
      <c r="R71" s="90" t="str">
        <f t="shared" si="20"/>
        <v/>
      </c>
      <c r="S71" s="37" t="str">
        <f t="shared" si="9"/>
        <v/>
      </c>
      <c r="T71" s="176">
        <f>IF(L71="","",VLOOKUP(L71,classifications!C:K,9,FALSE))</f>
        <v>0</v>
      </c>
      <c r="U71" s="183" t="str">
        <f t="shared" si="25"/>
        <v/>
      </c>
      <c r="V71" s="184" t="str">
        <f>IF(U71="","",IF($I$8="A",(RANK(U71,U$11:U$368)+COUNTIF(U$11:U71,U71)-1),(RANK(U71,U$11:U$368,1)+COUNTIF(U$11:U71,U71)-1)))</f>
        <v/>
      </c>
      <c r="W71" s="185"/>
      <c r="X71" s="38" t="str">
        <f>IF(L71="","",VLOOKUP($L71,classifications!$C:$J,6,FALSE))</f>
        <v xml:space="preserve">Mainly Rural (rural including hub towns &gt;=80%) </v>
      </c>
      <c r="Y71" s="26">
        <f t="shared" si="3"/>
        <v>82.91320054160262</v>
      </c>
      <c r="Z71" s="34">
        <f>IF(Y71="","",IF(I$8="A",(RANK(Y71,Y$11:Y$368,1)+COUNTIF(Y$11:Y71,Y71)-1),(RANK(Y71,Y$11:Y$368)+COUNTIF(Y$11:Y71,Y71)-1)))</f>
        <v>15</v>
      </c>
      <c r="AA71" s="188" t="str">
        <f>IF(L71="","",VLOOKUP($L71,classifications!C:I,7,FALSE))</f>
        <v>Predominantly Rural</v>
      </c>
      <c r="AB71" s="184">
        <f t="shared" si="11"/>
        <v>82.91320054160262</v>
      </c>
      <c r="AC71" s="184">
        <f>IF(AB71="","",IF($I$8="A",(RANK(AB71,AB$11:AB$368)+COUNTIF(AB$11:AB71,AB71)-1),(RANK(AB71,AB$11:AB$368,1)+COUNTIF(AB$11:AB71,AB71)-1)))</f>
        <v>49</v>
      </c>
      <c r="AD71" s="184"/>
      <c r="AE71" s="28" t="str">
        <f t="shared" si="24"/>
        <v/>
      </c>
      <c r="AG71" s="96"/>
      <c r="AH71" s="29"/>
      <c r="AI71" s="38" t="str">
        <f>IF(L71="","",VLOOKUP($L71,classifications!$C:$J,8,FALSE))</f>
        <v>Hampshire</v>
      </c>
      <c r="AJ71" s="39" t="str">
        <f t="shared" si="4"/>
        <v/>
      </c>
      <c r="AK71" s="34" t="str">
        <f>IF(AJ71="","",IF(I$8="A",(RANK(AJ71,AJ$11:AJ$368,1)+COUNTIF(AJ$11:AJ71,AJ71)-1),(RANK(AJ71,AJ$11:AJ$368)+COUNTIF(AJ$11:AJ71,AJ71)-1)))</f>
        <v/>
      </c>
      <c r="AL71" s="29" t="str">
        <f t="shared" si="13"/>
        <v/>
      </c>
      <c r="AM71" s="8" t="str">
        <f t="shared" si="5"/>
        <v/>
      </c>
      <c r="AN71" s="8" t="str">
        <f t="shared" si="14"/>
        <v/>
      </c>
      <c r="AP71" s="38" t="str">
        <f>IF(L71="","",VLOOKUP($L71,classifications!$C:$E,3,FALSE))</f>
        <v>South East</v>
      </c>
      <c r="AQ71" s="39" t="str">
        <f t="shared" si="15"/>
        <v/>
      </c>
      <c r="AR71" s="34" t="str">
        <f>IF(AQ71="","",IF(I$8="A",(RANK(AQ71,AQ$11:AQ$368,1)+COUNTIF(AQ$11:AQ71,AQ71)-1),(RANK(AQ71,AQ$11:AQ$368)+COUNTIF(AQ$11:AQ71,AQ71)-1)))</f>
        <v/>
      </c>
      <c r="AS71" s="29" t="str">
        <f t="shared" si="16"/>
        <v/>
      </c>
      <c r="AT71" s="34" t="str">
        <f t="shared" si="6"/>
        <v/>
      </c>
      <c r="AU71" s="39" t="str">
        <f t="shared" si="17"/>
        <v/>
      </c>
      <c r="AX71" s="21">
        <f>HLOOKUP($AX$9&amp;$AX$10,Data!$A$1:$ZZ$2000,(MATCH($C71,Data!$A$1:$A$2000,0)),FALSE)</f>
        <v>86.548326647473345</v>
      </c>
      <c r="AY71" s="103"/>
      <c r="AZ71" s="21"/>
    </row>
    <row r="72" spans="1:52">
      <c r="A72" s="56" t="str">
        <f>$D$1&amp;62</f>
        <v>SD62</v>
      </c>
      <c r="B72" s="57" t="str">
        <f>IF(ISERROR(VLOOKUP(A72,classifications!A:C,3,FALSE)),0,VLOOKUP(A72,classifications!A:C,3,FALSE))</f>
        <v>South Staffordshire</v>
      </c>
      <c r="C72" s="8" t="s">
        <v>39</v>
      </c>
      <c r="D72" s="26" t="str">
        <f>VLOOKUP($C72,classifications!$C:$J,4,FALSE)</f>
        <v>SD</v>
      </c>
      <c r="E72" s="26">
        <f>VLOOKUP(C72,classifications!C:K,9,FALSE)</f>
        <v>0</v>
      </c>
      <c r="F72" s="36">
        <f t="shared" si="0"/>
        <v>79.374804851569777</v>
      </c>
      <c r="G72" s="71"/>
      <c r="H72" s="37">
        <f t="shared" si="1"/>
        <v>79.374804851569777</v>
      </c>
      <c r="I72" s="77">
        <f>IF(H72="","",IF($I$8="A",(RANK(H72,H$11:H$368,1)+COUNTIF(H$11:H72,H72)-1),(RANK(H72,H$11:H$368)+COUNTIF(H$11:H72,H72)-1)))</f>
        <v>130</v>
      </c>
      <c r="J72" s="35"/>
      <c r="K72" s="28">
        <f t="shared" si="7"/>
        <v>62</v>
      </c>
      <c r="L72" s="36" t="str">
        <f t="shared" si="2"/>
        <v>Maldon</v>
      </c>
      <c r="M72" s="102">
        <f t="shared" si="22"/>
        <v>82.784798386782171</v>
      </c>
      <c r="N72" s="101">
        <f t="shared" si="23"/>
        <v>82.784798386782171</v>
      </c>
      <c r="O72" s="94" t="str">
        <f t="shared" si="8"/>
        <v/>
      </c>
      <c r="P72" s="94">
        <f t="shared" si="18"/>
        <v>82.784798386782171</v>
      </c>
      <c r="Q72" s="94" t="str">
        <f t="shared" si="19"/>
        <v/>
      </c>
      <c r="R72" s="90" t="str">
        <f t="shared" si="20"/>
        <v/>
      </c>
      <c r="S72" s="37" t="str">
        <f t="shared" si="9"/>
        <v/>
      </c>
      <c r="T72" s="176">
        <f>IF(L72="","",VLOOKUP(L72,classifications!C:K,9,FALSE))</f>
        <v>0</v>
      </c>
      <c r="U72" s="183" t="str">
        <f t="shared" si="25"/>
        <v/>
      </c>
      <c r="V72" s="184" t="str">
        <f>IF(U72="","",IF($I$8="A",(RANK(U72,U$11:U$368)+COUNTIF(U$11:U72,U72)-1),(RANK(U72,U$11:U$368,1)+COUNTIF(U$11:U72,U72)-1)))</f>
        <v/>
      </c>
      <c r="W72" s="185"/>
      <c r="X72" s="38" t="str">
        <f>IF(L72="","",VLOOKUP($L72,classifications!$C:$J,6,FALSE))</f>
        <v xml:space="preserve">Mainly Rural (rural including hub towns &gt;=80%) </v>
      </c>
      <c r="Y72" s="26">
        <f t="shared" si="3"/>
        <v>82.784798386782171</v>
      </c>
      <c r="Z72" s="34">
        <f>IF(Y72="","",IF(I$8="A",(RANK(Y72,Y$11:Y$368,1)+COUNTIF(Y$11:Y72,Y72)-1),(RANK(Y72,Y$11:Y$368)+COUNTIF(Y$11:Y72,Y72)-1)))</f>
        <v>16</v>
      </c>
      <c r="AA72" s="188" t="str">
        <f>IF(L72="","",VLOOKUP($L72,classifications!C:I,7,FALSE))</f>
        <v>Predominantly Rural</v>
      </c>
      <c r="AB72" s="184">
        <f t="shared" si="11"/>
        <v>82.784798386782171</v>
      </c>
      <c r="AC72" s="184">
        <f>IF(AB72="","",IF($I$8="A",(RANK(AB72,AB$11:AB$368)+COUNTIF(AB$11:AB72,AB72)-1),(RANK(AB72,AB$11:AB$368,1)+COUNTIF(AB$11:AB72,AB72)-1)))</f>
        <v>48</v>
      </c>
      <c r="AD72" s="184"/>
      <c r="AE72" s="28" t="str">
        <f t="shared" si="24"/>
        <v/>
      </c>
      <c r="AG72" s="96"/>
      <c r="AH72" s="29"/>
      <c r="AI72" s="38" t="str">
        <f>IF(L72="","",VLOOKUP($L72,classifications!$C:$J,8,FALSE))</f>
        <v>Essex</v>
      </c>
      <c r="AJ72" s="39" t="str">
        <f t="shared" si="4"/>
        <v/>
      </c>
      <c r="AK72" s="34" t="str">
        <f>IF(AJ72="","",IF(I$8="A",(RANK(AJ72,AJ$11:AJ$368,1)+COUNTIF(AJ$11:AJ72,AJ72)-1),(RANK(AJ72,AJ$11:AJ$368)+COUNTIF(AJ$11:AJ72,AJ72)-1)))</f>
        <v/>
      </c>
      <c r="AL72" s="29" t="str">
        <f t="shared" si="13"/>
        <v/>
      </c>
      <c r="AM72" s="8" t="str">
        <f t="shared" si="5"/>
        <v/>
      </c>
      <c r="AN72" s="8" t="str">
        <f t="shared" si="14"/>
        <v/>
      </c>
      <c r="AP72" s="38" t="str">
        <f>IF(L72="","",VLOOKUP($L72,classifications!$C:$E,3,FALSE))</f>
        <v>East of England</v>
      </c>
      <c r="AQ72" s="39" t="str">
        <f t="shared" si="15"/>
        <v/>
      </c>
      <c r="AR72" s="34" t="str">
        <f>IF(AQ72="","",IF(I$8="A",(RANK(AQ72,AQ$11:AQ$368,1)+COUNTIF(AQ$11:AQ72,AQ72)-1),(RANK(AQ72,AQ$11:AQ$368)+COUNTIF(AQ$11:AQ72,AQ72)-1)))</f>
        <v/>
      </c>
      <c r="AS72" s="29" t="str">
        <f t="shared" si="16"/>
        <v/>
      </c>
      <c r="AT72" s="34" t="str">
        <f t="shared" si="6"/>
        <v/>
      </c>
      <c r="AU72" s="39" t="str">
        <f t="shared" si="17"/>
        <v/>
      </c>
      <c r="AX72" s="21">
        <f>HLOOKUP($AX$9&amp;$AX$10,Data!$A$1:$ZZ$2000,(MATCH($C72,Data!$A$1:$A$2000,0)),FALSE)</f>
        <v>79.374804851569777</v>
      </c>
      <c r="AY72" s="103"/>
      <c r="AZ72" s="21"/>
    </row>
    <row r="73" spans="1:52">
      <c r="A73" s="56" t="str">
        <f>$D$1&amp;63</f>
        <v>SD63</v>
      </c>
      <c r="B73" s="57" t="str">
        <f>IF(ISERROR(VLOOKUP(A73,classifications!A:C,3,FALSE)),0,VLOOKUP(A73,classifications!A:C,3,FALSE))</f>
        <v>St Edmundsbury</v>
      </c>
      <c r="C73" s="8" t="s">
        <v>40</v>
      </c>
      <c r="D73" s="26" t="str">
        <f>VLOOKUP($C73,classifications!$C:$J,4,FALSE)</f>
        <v>SD</v>
      </c>
      <c r="E73" s="26">
        <f>VLOOKUP(C73,classifications!C:K,9,FALSE)</f>
        <v>0</v>
      </c>
      <c r="F73" s="36" t="str">
        <f t="shared" si="0"/>
        <v>-</v>
      </c>
      <c r="G73" s="71"/>
      <c r="H73" s="37" t="str">
        <f t="shared" si="1"/>
        <v>-</v>
      </c>
      <c r="I73" s="77" t="e">
        <f>IF(H73="","",IF($I$8="A",(RANK(H73,H$11:H$368,1)+COUNTIF(H$11:H73,H73)-1),(RANK(H73,H$11:H$368)+COUNTIF(H$11:H73,H73)-1)))</f>
        <v>#VALUE!</v>
      </c>
      <c r="J73" s="35"/>
      <c r="K73" s="28">
        <f t="shared" si="7"/>
        <v>63</v>
      </c>
      <c r="L73" s="36" t="str">
        <f t="shared" si="2"/>
        <v>Hart</v>
      </c>
      <c r="M73" s="102">
        <f t="shared" si="22"/>
        <v>82.701001066661945</v>
      </c>
      <c r="N73" s="101">
        <f t="shared" si="23"/>
        <v>82.701001066661945</v>
      </c>
      <c r="O73" s="94" t="str">
        <f t="shared" si="8"/>
        <v/>
      </c>
      <c r="P73" s="94">
        <f t="shared" si="18"/>
        <v>82.701001066661945</v>
      </c>
      <c r="Q73" s="94" t="str">
        <f t="shared" si="19"/>
        <v/>
      </c>
      <c r="R73" s="90" t="str">
        <f t="shared" si="20"/>
        <v/>
      </c>
      <c r="S73" s="37" t="str">
        <f t="shared" si="9"/>
        <v/>
      </c>
      <c r="T73" s="176">
        <f>IF(L73="","",VLOOKUP(L73,classifications!C:K,9,FALSE))</f>
        <v>0</v>
      </c>
      <c r="U73" s="183" t="str">
        <f t="shared" si="25"/>
        <v/>
      </c>
      <c r="V73" s="184" t="str">
        <f>IF(U73="","",IF($I$8="A",(RANK(U73,U$11:U$368)+COUNTIF(U$11:U73,U73)-1),(RANK(U73,U$11:U$368,1)+COUNTIF(U$11:U73,U73)-1)))</f>
        <v/>
      </c>
      <c r="W73" s="185"/>
      <c r="X73" s="38" t="str">
        <f>IF(L73="","",VLOOKUP($L73,classifications!$C:$J,6,FALSE))</f>
        <v>Urban with Significant Rural (rural including hub towns 26-49%)</v>
      </c>
      <c r="Y73" s="26" t="str">
        <f t="shared" si="3"/>
        <v/>
      </c>
      <c r="Z73" s="34" t="str">
        <f>IF(Y73="","",IF(I$8="A",(RANK(Y73,Y$11:Y$368,1)+COUNTIF(Y$11:Y73,Y73)-1),(RANK(Y73,Y$11:Y$368)+COUNTIF(Y$11:Y73,Y73)-1)))</f>
        <v/>
      </c>
      <c r="AA73" s="188" t="str">
        <f>IF(L73="","",VLOOKUP($L73,classifications!C:I,7,FALSE))</f>
        <v>Significant Rural</v>
      </c>
      <c r="AB73" s="184" t="str">
        <f t="shared" si="11"/>
        <v/>
      </c>
      <c r="AC73" s="184" t="str">
        <f>IF(AB73="","",IF($I$8="A",(RANK(AB73,AB$11:AB$368)+COUNTIF(AB$11:AB73,AB73)-1),(RANK(AB73,AB$11:AB$368,1)+COUNTIF(AB$11:AB73,AB73)-1)))</f>
        <v/>
      </c>
      <c r="AD73" s="184"/>
      <c r="AE73" s="28" t="str">
        <f t="shared" si="24"/>
        <v/>
      </c>
      <c r="AG73" s="96"/>
      <c r="AH73" s="29"/>
      <c r="AI73" s="38" t="str">
        <f>IF(L73="","",VLOOKUP($L73,classifications!$C:$J,8,FALSE))</f>
        <v>Hampshire</v>
      </c>
      <c r="AJ73" s="39" t="str">
        <f t="shared" si="4"/>
        <v/>
      </c>
      <c r="AK73" s="34" t="str">
        <f>IF(AJ73="","",IF(I$8="A",(RANK(AJ73,AJ$11:AJ$368,1)+COUNTIF(AJ$11:AJ73,AJ73)-1),(RANK(AJ73,AJ$11:AJ$368)+COUNTIF(AJ$11:AJ73,AJ73)-1)))</f>
        <v/>
      </c>
      <c r="AL73" s="29" t="str">
        <f t="shared" si="13"/>
        <v/>
      </c>
      <c r="AM73" s="8" t="str">
        <f t="shared" si="5"/>
        <v/>
      </c>
      <c r="AN73" s="8" t="str">
        <f t="shared" si="14"/>
        <v/>
      </c>
      <c r="AP73" s="38" t="str">
        <f>IF(L73="","",VLOOKUP($L73,classifications!$C:$E,3,FALSE))</f>
        <v>South East</v>
      </c>
      <c r="AQ73" s="39" t="str">
        <f t="shared" si="15"/>
        <v/>
      </c>
      <c r="AR73" s="34" t="str">
        <f>IF(AQ73="","",IF(I$8="A",(RANK(AQ73,AQ$11:AQ$368,1)+COUNTIF(AQ$11:AQ73,AQ73)-1),(RANK(AQ73,AQ$11:AQ$368)+COUNTIF(AQ$11:AQ73,AQ73)-1)))</f>
        <v/>
      </c>
      <c r="AS73" s="29" t="str">
        <f t="shared" si="16"/>
        <v/>
      </c>
      <c r="AT73" s="34" t="str">
        <f t="shared" si="6"/>
        <v/>
      </c>
      <c r="AU73" s="39" t="str">
        <f t="shared" si="17"/>
        <v/>
      </c>
      <c r="AX73" s="21" t="str">
        <f>HLOOKUP($AX$9&amp;$AX$10,Data!$A$1:$ZZ$2000,(MATCH($C73,Data!$A$1:$A$2000,0)),FALSE)</f>
        <v>-</v>
      </c>
      <c r="AY73" s="103"/>
      <c r="AZ73" s="21"/>
    </row>
    <row r="74" spans="1:52">
      <c r="A74" s="56" t="str">
        <f>$D$1&amp;64</f>
        <v>SD64</v>
      </c>
      <c r="B74" s="57" t="str">
        <f>IF(ISERROR(VLOOKUP(A74,classifications!A:C,3,FALSE)),0,VLOOKUP(A74,classifications!A:C,3,FALSE))</f>
        <v>Stafford</v>
      </c>
      <c r="C74" s="8" t="s">
        <v>369</v>
      </c>
      <c r="D74" s="26" t="str">
        <f>VLOOKUP($C74,classifications!$C:$J,4,FALSE)</f>
        <v>L</v>
      </c>
      <c r="E74" s="26">
        <f>VLOOKUP(C74,classifications!C:K,9,FALSE)</f>
        <v>0</v>
      </c>
      <c r="F74" s="36">
        <f t="shared" si="0"/>
        <v>90.14890778693217</v>
      </c>
      <c r="G74" s="71"/>
      <c r="H74" s="37" t="str">
        <f t="shared" si="1"/>
        <v/>
      </c>
      <c r="I74" s="77" t="str">
        <f>IF(H74="","",IF($I$8="A",(RANK(H74,H$11:H$368,1)+COUNTIF(H$11:H74,H74)-1),(RANK(H74,H$11:H$368)+COUNTIF(H$11:H74,H74)-1)))</f>
        <v/>
      </c>
      <c r="J74" s="35"/>
      <c r="K74" s="28">
        <f t="shared" si="7"/>
        <v>64</v>
      </c>
      <c r="L74" s="36" t="str">
        <f t="shared" si="2"/>
        <v>Worcester</v>
      </c>
      <c r="M74" s="102">
        <f t="shared" si="22"/>
        <v>82.624085134057736</v>
      </c>
      <c r="N74" s="101">
        <f t="shared" si="23"/>
        <v>82.624085134057736</v>
      </c>
      <c r="O74" s="94" t="str">
        <f t="shared" si="8"/>
        <v/>
      </c>
      <c r="P74" s="94">
        <f t="shared" si="18"/>
        <v>82.624085134057736</v>
      </c>
      <c r="Q74" s="94" t="str">
        <f t="shared" si="19"/>
        <v/>
      </c>
      <c r="R74" s="90" t="str">
        <f t="shared" si="20"/>
        <v/>
      </c>
      <c r="S74" s="37" t="str">
        <f t="shared" si="9"/>
        <v/>
      </c>
      <c r="T74" s="176">
        <f>IF(L74="","",VLOOKUP(L74,classifications!C:K,9,FALSE))</f>
        <v>0</v>
      </c>
      <c r="U74" s="183" t="str">
        <f t="shared" si="25"/>
        <v/>
      </c>
      <c r="V74" s="184" t="str">
        <f>IF(U74="","",IF($I$8="A",(RANK(U74,U$11:U$368)+COUNTIF(U$11:U74,U74)-1),(RANK(U74,U$11:U$368,1)+COUNTIF(U$11:U74,U74)-1)))</f>
        <v/>
      </c>
      <c r="W74" s="185"/>
      <c r="X74" s="38" t="str">
        <f>IF(L74="","",VLOOKUP($L74,classifications!$C:$J,6,FALSE))</f>
        <v>Urban with City and Town</v>
      </c>
      <c r="Y74" s="26" t="str">
        <f t="shared" si="3"/>
        <v/>
      </c>
      <c r="Z74" s="34" t="str">
        <f>IF(Y74="","",IF(I$8="A",(RANK(Y74,Y$11:Y$368,1)+COUNTIF(Y$11:Y74,Y74)-1),(RANK(Y74,Y$11:Y$368)+COUNTIF(Y$11:Y74,Y74)-1)))</f>
        <v/>
      </c>
      <c r="AA74" s="188" t="str">
        <f>IF(L74="","",VLOOKUP($L74,classifications!C:I,7,FALSE))</f>
        <v>Predominantly Urban</v>
      </c>
      <c r="AB74" s="184" t="str">
        <f t="shared" si="11"/>
        <v/>
      </c>
      <c r="AC74" s="184" t="str">
        <f>IF(AB74="","",IF($I$8="A",(RANK(AB74,AB$11:AB$368)+COUNTIF(AB$11:AB74,AB74)-1),(RANK(AB74,AB$11:AB$368,1)+COUNTIF(AB$11:AB74,AB74)-1)))</f>
        <v/>
      </c>
      <c r="AD74" s="184"/>
      <c r="AE74" s="28" t="str">
        <f t="shared" si="24"/>
        <v/>
      </c>
      <c r="AG74" s="96"/>
      <c r="AH74" s="29"/>
      <c r="AI74" s="38" t="str">
        <f>IF(L74="","",VLOOKUP($L74,classifications!$C:$J,8,FALSE))</f>
        <v>Worcestershire</v>
      </c>
      <c r="AJ74" s="39" t="str">
        <f t="shared" si="4"/>
        <v/>
      </c>
      <c r="AK74" s="34" t="str">
        <f>IF(AJ74="","",IF(I$8="A",(RANK(AJ74,AJ$11:AJ$368,1)+COUNTIF(AJ$11:AJ74,AJ74)-1),(RANK(AJ74,AJ$11:AJ$368)+COUNTIF(AJ$11:AJ74,AJ74)-1)))</f>
        <v/>
      </c>
      <c r="AL74" s="29" t="str">
        <f t="shared" si="13"/>
        <v/>
      </c>
      <c r="AM74" s="8" t="str">
        <f t="shared" si="5"/>
        <v/>
      </c>
      <c r="AN74" s="8" t="str">
        <f t="shared" si="14"/>
        <v/>
      </c>
      <c r="AP74" s="38" t="str">
        <f>IF(L74="","",VLOOKUP($L74,classifications!$C:$E,3,FALSE))</f>
        <v>West Midlands</v>
      </c>
      <c r="AQ74" s="39" t="str">
        <f t="shared" si="15"/>
        <v/>
      </c>
      <c r="AR74" s="34" t="str">
        <f>IF(AQ74="","",IF(I$8="A",(RANK(AQ74,AQ$11:AQ$368,1)+COUNTIF(AQ$11:AQ74,AQ74)-1),(RANK(AQ74,AQ$11:AQ$368)+COUNTIF(AQ$11:AQ74,AQ74)-1)))</f>
        <v/>
      </c>
      <c r="AS74" s="29" t="str">
        <f t="shared" si="16"/>
        <v/>
      </c>
      <c r="AT74" s="34" t="str">
        <f t="shared" si="6"/>
        <v/>
      </c>
      <c r="AU74" s="39" t="str">
        <f t="shared" si="17"/>
        <v/>
      </c>
      <c r="AX74" s="21">
        <f>HLOOKUP($AX$9&amp;$AX$10,Data!$A$1:$ZZ$2000,(MATCH($C74,Data!$A$1:$A$2000,0)),FALSE)</f>
        <v>90.14890778693217</v>
      </c>
      <c r="AY74" s="103"/>
      <c r="AZ74" s="21"/>
    </row>
    <row r="75" spans="1:52">
      <c r="A75" s="56" t="str">
        <f>$D$1&amp;65</f>
        <v>SD65</v>
      </c>
      <c r="B75" s="57" t="str">
        <f>IF(ISERROR(VLOOKUP(A75,classifications!A:C,3,FALSE)),0,VLOOKUP(A75,classifications!A:C,3,FALSE))</f>
        <v>Stratford-on-Avon</v>
      </c>
      <c r="C75" s="8" t="s">
        <v>41</v>
      </c>
      <c r="D75" s="26" t="str">
        <f>VLOOKUP($C75,classifications!$C:$J,4,FALSE)</f>
        <v>SD</v>
      </c>
      <c r="E75" s="26">
        <f>VLOOKUP(C75,classifications!C:K,9,FALSE)</f>
        <v>0</v>
      </c>
      <c r="F75" s="36">
        <f t="shared" ref="F75:F138" si="26">HLOOKUP($D$6,AX$10:ZX$368,ROW()-9,FALSE)</f>
        <v>85.935779844222566</v>
      </c>
      <c r="G75" s="71"/>
      <c r="H75" s="37">
        <f t="shared" ref="H75:H138" si="27">IF(D75=$D$1,HLOOKUP($D$6,$AX$10:$ZZ$368,ROW()-9,FALSE),"")</f>
        <v>85.935779844222566</v>
      </c>
      <c r="I75" s="77">
        <f>IF(H75="","",IF($I$8="A",(RANK(H75,H$11:H$368,1)+COUNTIF(H$11:H75,H75)-1),(RANK(H75,H$11:H$368)+COUNTIF(H$11:H75,H75)-1)))</f>
        <v>19</v>
      </c>
      <c r="J75" s="35"/>
      <c r="K75" s="28">
        <f t="shared" si="7"/>
        <v>65</v>
      </c>
      <c r="L75" s="36" t="str">
        <f t="shared" ref="L75:L138" si="28">IF(K75="","",INDEX(C$11:C$368,MATCH(K75,I$11:I$368,0)))</f>
        <v>Three Rivers</v>
      </c>
      <c r="M75" s="102">
        <f t="shared" si="22"/>
        <v>82.620404052100412</v>
      </c>
      <c r="N75" s="101">
        <f t="shared" si="23"/>
        <v>82.620404052100412</v>
      </c>
      <c r="O75" s="94" t="str">
        <f t="shared" ref="O75:O138" si="29">IF(I$8="A",IF(N75&gt;=$P$7,IF(N75&lt;=$O$10,N75,""),""),IF(N75&lt;=$P$7,IF(N75&gt;=$O$10,N75,""),""))</f>
        <v/>
      </c>
      <c r="P75" s="94">
        <f t="shared" si="18"/>
        <v>82.620404052100412</v>
      </c>
      <c r="Q75" s="94" t="str">
        <f t="shared" si="19"/>
        <v/>
      </c>
      <c r="R75" s="90" t="str">
        <f t="shared" si="20"/>
        <v/>
      </c>
      <c r="S75" s="37" t="str">
        <f t="shared" si="9"/>
        <v/>
      </c>
      <c r="T75" s="176">
        <f>IF(L75="","",VLOOKUP(L75,classifications!C:K,9,FALSE))</f>
        <v>0</v>
      </c>
      <c r="U75" s="183" t="str">
        <f t="shared" ref="U75:U138" si="30">IF(T75="Sparse",M75,"")</f>
        <v/>
      </c>
      <c r="V75" s="184" t="str">
        <f>IF(U75="","",IF($I$8="A",(RANK(U75,U$11:U$368)+COUNTIF(U$11:U75,U75)-1),(RANK(U75,U$11:U$368,1)+COUNTIF(U$11:U75,U75)-1)))</f>
        <v/>
      </c>
      <c r="W75" s="185"/>
      <c r="X75" s="38" t="str">
        <f>IF(L75="","",VLOOKUP($L75,classifications!$C:$J,6,FALSE))</f>
        <v>Urban with Major Conurbation</v>
      </c>
      <c r="Y75" s="26" t="str">
        <f t="shared" ref="Y75:Y138" si="31">IF($D$1="UA",IF(X75="Largely Rural (rural including hub towns 50-79%) ",M75,IF(X75="Mainly Rural (rural including hub towns &gt;=80%) ",M75,IF(X75="Urban with Significant Rural (rural including hub towns 26-49%)",M75,""))),IF($D$1="SD",IF(X75=$H$3,M75,"")))</f>
        <v/>
      </c>
      <c r="Z75" s="34" t="str">
        <f>IF(Y75="","",IF(I$8="A",(RANK(Y75,Y$11:Y$368,1)+COUNTIF(Y$11:Y75,Y75)-1),(RANK(Y75,Y$11:Y$368)+COUNTIF(Y$11:Y75,Y75)-1)))</f>
        <v/>
      </c>
      <c r="AA75" s="188" t="str">
        <f>IF(L75="","",VLOOKUP($L75,classifications!C:I,7,FALSE))</f>
        <v>Predominantly Urban</v>
      </c>
      <c r="AB75" s="184" t="str">
        <f t="shared" si="11"/>
        <v/>
      </c>
      <c r="AC75" s="184" t="str">
        <f>IF(AB75="","",IF($I$8="A",(RANK(AB75,AB$11:AB$368)+COUNTIF(AB$11:AB75,AB75)-1),(RANK(AB75,AB$11:AB$368,1)+COUNTIF(AB$11:AB75,AB75)-1)))</f>
        <v/>
      </c>
      <c r="AD75" s="184"/>
      <c r="AE75" s="28" t="str">
        <f t="shared" si="24"/>
        <v/>
      </c>
      <c r="AG75" s="96"/>
      <c r="AH75" s="29"/>
      <c r="AI75" s="38" t="str">
        <f>IF(L75="","",VLOOKUP($L75,classifications!$C:$J,8,FALSE))</f>
        <v>Hertfordshire</v>
      </c>
      <c r="AJ75" s="39" t="str">
        <f t="shared" ref="AJ75:AJ138" si="32">IF(AI75=$I$3,M75,"")</f>
        <v/>
      </c>
      <c r="AK75" s="34" t="str">
        <f>IF(AJ75="","",IF(I$8="A",(RANK(AJ75,AJ$11:AJ$368,1)+COUNTIF(AJ$11:AJ75,AJ75)-1),(RANK(AJ75,AJ$11:AJ$368)+COUNTIF(AJ$11:AJ75,AJ75)-1)))</f>
        <v/>
      </c>
      <c r="AL75" s="29" t="str">
        <f t="shared" si="13"/>
        <v/>
      </c>
      <c r="AM75" s="8" t="str">
        <f t="shared" ref="AM75:AM138" si="33">IF(ISNA(IF(AL75="","",INDEX(L$11:L$368,MATCH(AL75,AK$11:AK$368,0)))),"",(IF(AL75="","",INDEX(L$11:L$368,MATCH(AL75,AK$11:AK$368,0)))))</f>
        <v/>
      </c>
      <c r="AN75" s="8" t="str">
        <f t="shared" si="14"/>
        <v/>
      </c>
      <c r="AP75" s="38" t="str">
        <f>IF(L75="","",VLOOKUP($L75,classifications!$C:$E,3,FALSE))</f>
        <v>East of England</v>
      </c>
      <c r="AQ75" s="39" t="str">
        <f t="shared" si="15"/>
        <v/>
      </c>
      <c r="AR75" s="34" t="str">
        <f>IF(AQ75="","",IF(I$8="A",(RANK(AQ75,AQ$11:AQ$368,1)+COUNTIF(AQ$11:AQ75,AQ75)-1),(RANK(AQ75,AQ$11:AQ$368)+COUNTIF(AQ$11:AQ75,AQ75)-1)))</f>
        <v/>
      </c>
      <c r="AS75" s="29" t="str">
        <f t="shared" si="16"/>
        <v/>
      </c>
      <c r="AT75" s="34" t="str">
        <f t="shared" ref="AT75:AT138" si="34">IF(AS75="","",INDEX(L$11:L$368,MATCH(AS75,AR$11:AR$368,0)))</f>
        <v/>
      </c>
      <c r="AU75" s="39" t="str">
        <f t="shared" si="17"/>
        <v/>
      </c>
      <c r="AX75" s="21">
        <f>HLOOKUP($AX$9&amp;$AX$10,Data!$A$1:$ZZ$2000,(MATCH($C75,Data!$A$1:$A$2000,0)),FALSE)</f>
        <v>85.935779844222566</v>
      </c>
      <c r="AY75" s="103"/>
      <c r="AZ75" s="21"/>
    </row>
    <row r="76" spans="1:52">
      <c r="A76" s="56" t="str">
        <f>$D$1&amp;66</f>
        <v>SD66</v>
      </c>
      <c r="B76" s="57" t="str">
        <f>IF(ISERROR(VLOOKUP(A76,classifications!A:C,3,FALSE)),0,VLOOKUP(A76,classifications!A:C,3,FALSE))</f>
        <v>Stroud</v>
      </c>
      <c r="C76" s="8" t="s">
        <v>42</v>
      </c>
      <c r="D76" s="26" t="str">
        <f>VLOOKUP($C76,classifications!$C:$J,4,FALSE)</f>
        <v>SD</v>
      </c>
      <c r="E76" s="26" t="str">
        <f>VLOOKUP(C76,classifications!C:K,9,FALSE)</f>
        <v>Sparse</v>
      </c>
      <c r="F76" s="36">
        <f t="shared" si="26"/>
        <v>80.802168649499023</v>
      </c>
      <c r="G76" s="71"/>
      <c r="H76" s="37">
        <f t="shared" si="27"/>
        <v>80.802168649499023</v>
      </c>
      <c r="I76" s="77">
        <f>IF(H76="","",IF($I$8="A",(RANK(H76,H$11:H$368,1)+COUNTIF(H$11:H76,H76)-1),(RANK(H76,H$11:H$368)+COUNTIF(H$11:H76,H76)-1)))</f>
        <v>99</v>
      </c>
      <c r="J76" s="35"/>
      <c r="K76" s="28">
        <f t="shared" ref="K76:K139" si="35">IF(K75="","",IF(K75+1&gt;(COUNT(H$11:H$368)),"",K75+1))</f>
        <v>66</v>
      </c>
      <c r="L76" s="36" t="str">
        <f t="shared" si="28"/>
        <v>Richmondshire</v>
      </c>
      <c r="M76" s="102">
        <f t="shared" ref="M76:M139" si="36">IF(L76="","",IF(VLOOKUP(L76,C:D,2,FALSE)=$F$3,VLOOKUP(L76,C:H,6,FALSE),""))</f>
        <v>82.5506700380799</v>
      </c>
      <c r="N76" s="101">
        <f t="shared" ref="N76:N139" si="37">IF(L76="","",IF($H$8="%%",M76*100,M76))</f>
        <v>82.5506700380799</v>
      </c>
      <c r="O76" s="94" t="str">
        <f t="shared" si="29"/>
        <v/>
      </c>
      <c r="P76" s="94">
        <f t="shared" si="18"/>
        <v>82.5506700380799</v>
      </c>
      <c r="Q76" s="94" t="str">
        <f t="shared" si="19"/>
        <v/>
      </c>
      <c r="R76" s="90" t="str">
        <f t="shared" si="20"/>
        <v/>
      </c>
      <c r="S76" s="37" t="str">
        <f t="shared" ref="S76:S139" si="38">IF(L76=D$3,"u","")</f>
        <v/>
      </c>
      <c r="T76" s="176" t="str">
        <f>IF(L76="","",VLOOKUP(L76,classifications!C:K,9,FALSE))</f>
        <v>Sparse</v>
      </c>
      <c r="U76" s="183">
        <f t="shared" si="30"/>
        <v>82.5506700380799</v>
      </c>
      <c r="V76" s="184">
        <f>IF(U76="","",IF($I$8="A",(RANK(U76,U$11:U$368)+COUNTIF(U$11:U76,U76)-1),(RANK(U76,U$11:U$368,1)+COUNTIF(U$11:U76,U76)-1)))</f>
        <v>48</v>
      </c>
      <c r="W76" s="185"/>
      <c r="X76" s="38" t="str">
        <f>IF(L76="","",VLOOKUP($L76,classifications!$C:$J,6,FALSE))</f>
        <v xml:space="preserve">Mainly Rural (rural including hub towns &gt;=80%) </v>
      </c>
      <c r="Y76" s="26">
        <f t="shared" si="31"/>
        <v>82.5506700380799</v>
      </c>
      <c r="Z76" s="34">
        <f>IF(Y76="","",IF(I$8="A",(RANK(Y76,Y$11:Y$368,1)+COUNTIF(Y$11:Y76,Y76)-1),(RANK(Y76,Y$11:Y$368)+COUNTIF(Y$11:Y76,Y76)-1)))</f>
        <v>17</v>
      </c>
      <c r="AA76" s="188" t="str">
        <f>IF(L76="","",VLOOKUP($L76,classifications!C:I,7,FALSE))</f>
        <v>Predominantly Rural</v>
      </c>
      <c r="AB76" s="184">
        <f t="shared" ref="AB76:AB139" si="39">IF(AA76=$J$3,M76,"")</f>
        <v>82.5506700380799</v>
      </c>
      <c r="AC76" s="184">
        <f>IF(AB76="","",IF($I$8="A",(RANK(AB76,AB$11:AB$368)+COUNTIF(AB$11:AB76,AB76)-1),(RANK(AB76,AB$11:AB$368,1)+COUNTIF(AB$11:AB76,AB76)-1)))</f>
        <v>47</v>
      </c>
      <c r="AD76" s="184"/>
      <c r="AE76" s="28" t="str">
        <f t="shared" si="24"/>
        <v/>
      </c>
      <c r="AG76" s="96"/>
      <c r="AH76" s="29"/>
      <c r="AI76" s="38" t="str">
        <f>IF(L76="","",VLOOKUP($L76,classifications!$C:$J,8,FALSE))</f>
        <v>North Yorkshire</v>
      </c>
      <c r="AJ76" s="39" t="str">
        <f t="shared" si="32"/>
        <v/>
      </c>
      <c r="AK76" s="34" t="str">
        <f>IF(AJ76="","",IF(I$8="A",(RANK(AJ76,AJ$11:AJ$368,1)+COUNTIF(AJ$11:AJ76,AJ76)-1),(RANK(AJ76,AJ$11:AJ$368)+COUNTIF(AJ$11:AJ76,AJ76)-1)))</f>
        <v/>
      </c>
      <c r="AL76" s="29" t="str">
        <f t="shared" ref="AL76:AL139" si="40">IF(AL75="","",IF(AL75+1&gt;(COUNT(AJ$11:AJ$368)),"",AL75+1))</f>
        <v/>
      </c>
      <c r="AM76" s="8" t="str">
        <f t="shared" si="33"/>
        <v/>
      </c>
      <c r="AN76" s="8" t="str">
        <f t="shared" ref="AN76:AN139" si="41">(VLOOKUP(AM76,L:M,2,FALSE))</f>
        <v/>
      </c>
      <c r="AP76" s="38" t="str">
        <f>IF(L76="","",VLOOKUP($L76,classifications!$C:$E,3,FALSE))</f>
        <v>Yorkshire &amp; Humberside</v>
      </c>
      <c r="AQ76" s="39" t="str">
        <f t="shared" ref="AQ76:AQ139" si="42">IF(AP76=$G$3,$M76,"")</f>
        <v/>
      </c>
      <c r="AR76" s="34" t="str">
        <f>IF(AQ76="","",IF(I$8="A",(RANK(AQ76,AQ$11:AQ$368,1)+COUNTIF(AQ$11:AQ76,AQ76)-1),(RANK(AQ76,AQ$11:AQ$368)+COUNTIF(AQ$11:AQ76,AQ76)-1)))</f>
        <v/>
      </c>
      <c r="AS76" s="29" t="str">
        <f t="shared" ref="AS76:AS139" si="43">IF(AS75="","",IF(AS75+1&gt;(COUNT(AQ$11:AQ$368)),"",AS75+1))</f>
        <v/>
      </c>
      <c r="AT76" s="34" t="str">
        <f t="shared" si="34"/>
        <v/>
      </c>
      <c r="AU76" s="39" t="str">
        <f t="shared" ref="AU76:AU80" si="44">IF(AT76="","",VLOOKUP(AT76,L:M,2,FALSE))</f>
        <v/>
      </c>
      <c r="AX76" s="21">
        <f>HLOOKUP($AX$9&amp;$AX$10,Data!$A$1:$ZZ$2000,(MATCH($C76,Data!$A$1:$A$2000,0)),FALSE)</f>
        <v>80.802168649499023</v>
      </c>
      <c r="AY76" s="103"/>
      <c r="AZ76" s="21"/>
    </row>
    <row r="77" spans="1:52">
      <c r="A77" s="56" t="str">
        <f>$D$1&amp;67</f>
        <v>SD67</v>
      </c>
      <c r="B77" s="57" t="str">
        <f>IF(ISERROR(VLOOKUP(A77,classifications!A:C,3,FALSE)),0,VLOOKUP(A77,classifications!A:C,3,FALSE))</f>
        <v>Suffolk Coastal</v>
      </c>
      <c r="C77" s="8" t="s">
        <v>43</v>
      </c>
      <c r="D77" s="26" t="str">
        <f>VLOOKUP($C77,classifications!$C:$J,4,FALSE)</f>
        <v>SD</v>
      </c>
      <c r="E77" s="26">
        <f>VLOOKUP(C77,classifications!C:K,9,FALSE)</f>
        <v>0</v>
      </c>
      <c r="F77" s="36">
        <f t="shared" si="26"/>
        <v>73.347914819097085</v>
      </c>
      <c r="G77" s="71"/>
      <c r="H77" s="37">
        <f t="shared" si="27"/>
        <v>73.347914819097085</v>
      </c>
      <c r="I77" s="77">
        <f>IF(H77="","",IF($I$8="A",(RANK(H77,H$11:H$368,1)+COUNTIF(H$11:H77,H77)-1),(RANK(H77,H$11:H$368)+COUNTIF(H$11:H77,H77)-1)))</f>
        <v>187</v>
      </c>
      <c r="J77" s="35"/>
      <c r="K77" s="28">
        <f t="shared" si="35"/>
        <v>67</v>
      </c>
      <c r="L77" s="36" t="str">
        <f t="shared" si="28"/>
        <v>East Cambridgeshire</v>
      </c>
      <c r="M77" s="102">
        <f t="shared" si="36"/>
        <v>82.545700078353448</v>
      </c>
      <c r="N77" s="101">
        <f t="shared" si="37"/>
        <v>82.545700078353448</v>
      </c>
      <c r="O77" s="94" t="str">
        <f t="shared" si="29"/>
        <v/>
      </c>
      <c r="P77" s="94">
        <f t="shared" ref="P77:P140" si="45">IF(I$8="A",IF(N77&gt;$O$10,IF(N77&lt;=$P$10,N77,""),""),IF(N77&lt;$O$10,IF(N77&gt;=$P$10,N77,""),""))</f>
        <v>82.545700078353448</v>
      </c>
      <c r="Q77" s="94" t="str">
        <f t="shared" ref="Q77:Q140" si="46">IF(I$8="A",IF(N77&gt;$P$10,IF(N77&lt;=$Q$10,N77,""),""),IF(N77&lt;$P$10,IF(N77&gt;=$Q$10,N77,""),""))</f>
        <v/>
      </c>
      <c r="R77" s="90" t="str">
        <f t="shared" ref="R77:R140" si="47">IF(I$8="A",IF(N77&gt;$Q$10,N77,""),IF(N77&lt;$Q$10,N77,""))</f>
        <v/>
      </c>
      <c r="S77" s="37" t="str">
        <f t="shared" si="38"/>
        <v/>
      </c>
      <c r="T77" s="176" t="str">
        <f>IF(L77="","",VLOOKUP(L77,classifications!C:K,9,FALSE))</f>
        <v>Sparse</v>
      </c>
      <c r="U77" s="183">
        <f t="shared" si="30"/>
        <v>82.545700078353448</v>
      </c>
      <c r="V77" s="184">
        <f>IF(U77="","",IF($I$8="A",(RANK(U77,U$11:U$368)+COUNTIF(U$11:U77,U77)-1),(RANK(U77,U$11:U$368,1)+COUNTIF(U$11:U77,U77)-1)))</f>
        <v>47</v>
      </c>
      <c r="W77" s="185"/>
      <c r="X77" s="38" t="str">
        <f>IF(L77="","",VLOOKUP($L77,classifications!$C:$J,6,FALSE))</f>
        <v xml:space="preserve">Mainly Rural (rural including hub towns &gt;=80%) </v>
      </c>
      <c r="Y77" s="26">
        <f t="shared" si="31"/>
        <v>82.545700078353448</v>
      </c>
      <c r="Z77" s="34">
        <f>IF(Y77="","",IF(I$8="A",(RANK(Y77,Y$11:Y$368,1)+COUNTIF(Y$11:Y77,Y77)-1),(RANK(Y77,Y$11:Y$368)+COUNTIF(Y$11:Y77,Y77)-1)))</f>
        <v>18</v>
      </c>
      <c r="AA77" s="188" t="str">
        <f>IF(L77="","",VLOOKUP($L77,classifications!C:I,7,FALSE))</f>
        <v>Predominantly Rural</v>
      </c>
      <c r="AB77" s="184">
        <f t="shared" si="39"/>
        <v>82.545700078353448</v>
      </c>
      <c r="AC77" s="184">
        <f>IF(AB77="","",IF($I$8="A",(RANK(AB77,AB$11:AB$368)+COUNTIF(AB$11:AB77,AB77)-1),(RANK(AB77,AB$11:AB$368,1)+COUNTIF(AB$11:AB77,AB77)-1)))</f>
        <v>46</v>
      </c>
      <c r="AD77" s="184"/>
      <c r="AE77" s="28" t="str">
        <f t="shared" si="24"/>
        <v/>
      </c>
      <c r="AG77" s="96"/>
      <c r="AH77" s="29"/>
      <c r="AI77" s="38" t="str">
        <f>IF(L77="","",VLOOKUP($L77,classifications!$C:$J,8,FALSE))</f>
        <v>Cambridgeshire</v>
      </c>
      <c r="AJ77" s="39" t="str">
        <f t="shared" si="32"/>
        <v/>
      </c>
      <c r="AK77" s="34" t="str">
        <f>IF(AJ77="","",IF(I$8="A",(RANK(AJ77,AJ$11:AJ$368,1)+COUNTIF(AJ$11:AJ77,AJ77)-1),(RANK(AJ77,AJ$11:AJ$368)+COUNTIF(AJ$11:AJ77,AJ77)-1)))</f>
        <v/>
      </c>
      <c r="AL77" s="29" t="str">
        <f t="shared" si="40"/>
        <v/>
      </c>
      <c r="AM77" s="8" t="str">
        <f t="shared" si="33"/>
        <v/>
      </c>
      <c r="AN77" s="8" t="str">
        <f t="shared" si="41"/>
        <v/>
      </c>
      <c r="AP77" s="38" t="str">
        <f>IF(L77="","",VLOOKUP($L77,classifications!$C:$E,3,FALSE))</f>
        <v>East of England</v>
      </c>
      <c r="AQ77" s="39" t="str">
        <f t="shared" si="42"/>
        <v/>
      </c>
      <c r="AR77" s="34" t="str">
        <f>IF(AQ77="","",IF(I$8="A",(RANK(AQ77,AQ$11:AQ$368,1)+COUNTIF(AQ$11:AQ77,AQ77)-1),(RANK(AQ77,AQ$11:AQ$368)+COUNTIF(AQ$11:AQ77,AQ77)-1)))</f>
        <v/>
      </c>
      <c r="AS77" s="29" t="str">
        <f t="shared" si="43"/>
        <v/>
      </c>
      <c r="AT77" s="34" t="str">
        <f t="shared" si="34"/>
        <v/>
      </c>
      <c r="AU77" s="39" t="str">
        <f t="shared" si="44"/>
        <v/>
      </c>
      <c r="AX77" s="21">
        <f>HLOOKUP($AX$9&amp;$AX$10,Data!$A$1:$ZZ$2000,(MATCH($C77,Data!$A$1:$A$2000,0)),FALSE)</f>
        <v>73.347914819097085</v>
      </c>
      <c r="AY77" s="103"/>
      <c r="AZ77" s="21"/>
    </row>
    <row r="78" spans="1:52">
      <c r="A78" s="56" t="str">
        <f>$D$1&amp;68</f>
        <v>SD68</v>
      </c>
      <c r="B78" s="57" t="str">
        <f>IF(ISERROR(VLOOKUP(A78,classifications!A:C,3,FALSE)),0,VLOOKUP(A78,classifications!A:C,3,FALSE))</f>
        <v>Tandridge</v>
      </c>
      <c r="C78" s="8" t="s">
        <v>305</v>
      </c>
      <c r="D78" s="26" t="str">
        <f>VLOOKUP($C78,classifications!$C:$J,4,FALSE)</f>
        <v>UA</v>
      </c>
      <c r="E78" s="26" t="str">
        <f>VLOOKUP(C78,classifications!C:K,9,FALSE)</f>
        <v>Sparse</v>
      </c>
      <c r="F78" s="36">
        <f t="shared" si="26"/>
        <v>83.814483237821719</v>
      </c>
      <c r="G78" s="71"/>
      <c r="H78" s="37" t="str">
        <f t="shared" si="27"/>
        <v/>
      </c>
      <c r="I78" s="77" t="str">
        <f>IF(H78="","",IF($I$8="A",(RANK(H78,H$11:H$368,1)+COUNTIF(H$11:H78,H78)-1),(RANK(H78,H$11:H$368)+COUNTIF(H$11:H78,H78)-1)))</f>
        <v/>
      </c>
      <c r="J78" s="35"/>
      <c r="K78" s="28">
        <f t="shared" si="35"/>
        <v>68</v>
      </c>
      <c r="L78" s="36" t="str">
        <f t="shared" si="28"/>
        <v>Broxtowe</v>
      </c>
      <c r="M78" s="102">
        <f t="shared" si="36"/>
        <v>82.507883514142037</v>
      </c>
      <c r="N78" s="101">
        <f t="shared" si="37"/>
        <v>82.507883514142037</v>
      </c>
      <c r="O78" s="94" t="str">
        <f t="shared" si="29"/>
        <v/>
      </c>
      <c r="P78" s="94">
        <f t="shared" si="45"/>
        <v>82.507883514142037</v>
      </c>
      <c r="Q78" s="94" t="str">
        <f t="shared" si="46"/>
        <v/>
      </c>
      <c r="R78" s="90" t="str">
        <f t="shared" si="47"/>
        <v/>
      </c>
      <c r="S78" s="37" t="str">
        <f t="shared" si="38"/>
        <v/>
      </c>
      <c r="T78" s="176">
        <f>IF(L78="","",VLOOKUP(L78,classifications!C:K,9,FALSE))</f>
        <v>0</v>
      </c>
      <c r="U78" s="183" t="str">
        <f t="shared" si="30"/>
        <v/>
      </c>
      <c r="V78" s="184" t="str">
        <f>IF(U78="","",IF($I$8="A",(RANK(U78,U$11:U$368)+COUNTIF(U$11:U78,U78)-1),(RANK(U78,U$11:U$368,1)+COUNTIF(U$11:U78,U78)-1)))</f>
        <v/>
      </c>
      <c r="W78" s="185"/>
      <c r="X78" s="38" t="str">
        <f>IF(L78="","",VLOOKUP($L78,classifications!$C:$J,6,FALSE))</f>
        <v>Urban with Minor Conurbation</v>
      </c>
      <c r="Y78" s="26" t="str">
        <f t="shared" si="31"/>
        <v/>
      </c>
      <c r="Z78" s="34" t="str">
        <f>IF(Y78="","",IF(I$8="A",(RANK(Y78,Y$11:Y$368,1)+COUNTIF(Y$11:Y78,Y78)-1),(RANK(Y78,Y$11:Y$368)+COUNTIF(Y$11:Y78,Y78)-1)))</f>
        <v/>
      </c>
      <c r="AA78" s="188" t="str">
        <f>IF(L78="","",VLOOKUP($L78,classifications!C:I,7,FALSE))</f>
        <v>Predominantly Urban</v>
      </c>
      <c r="AB78" s="184" t="str">
        <f t="shared" si="39"/>
        <v/>
      </c>
      <c r="AC78" s="184" t="str">
        <f>IF(AB78="","",IF($I$8="A",(RANK(AB78,AB$11:AB$368)+COUNTIF(AB$11:AB78,AB78)-1),(RANK(AB78,AB$11:AB$368,1)+COUNTIF(AB$11:AB78,AB78)-1)))</f>
        <v/>
      </c>
      <c r="AD78" s="184"/>
      <c r="AE78" s="28" t="str">
        <f t="shared" si="24"/>
        <v/>
      </c>
      <c r="AG78" s="96"/>
      <c r="AH78" s="29"/>
      <c r="AI78" s="38" t="str">
        <f>IF(L78="","",VLOOKUP($L78,classifications!$C:$J,8,FALSE))</f>
        <v>Nottinghamshire</v>
      </c>
      <c r="AJ78" s="39" t="str">
        <f t="shared" si="32"/>
        <v/>
      </c>
      <c r="AK78" s="34" t="str">
        <f>IF(AJ78="","",IF(I$8="A",(RANK(AJ78,AJ$11:AJ$368,1)+COUNTIF(AJ$11:AJ78,AJ78)-1),(RANK(AJ78,AJ$11:AJ$368)+COUNTIF(AJ$11:AJ78,AJ78)-1)))</f>
        <v/>
      </c>
      <c r="AL78" s="29" t="str">
        <f t="shared" si="40"/>
        <v/>
      </c>
      <c r="AM78" s="8" t="str">
        <f t="shared" si="33"/>
        <v/>
      </c>
      <c r="AN78" s="8" t="str">
        <f t="shared" si="41"/>
        <v/>
      </c>
      <c r="AP78" s="38" t="str">
        <f>IF(L78="","",VLOOKUP($L78,classifications!$C:$E,3,FALSE))</f>
        <v>East Midlands</v>
      </c>
      <c r="AQ78" s="39" t="str">
        <f t="shared" si="42"/>
        <v/>
      </c>
      <c r="AR78" s="34" t="str">
        <f>IF(AQ78="","",IF(I$8="A",(RANK(AQ78,AQ$11:AQ$368,1)+COUNTIF(AQ$11:AQ78,AQ78)-1),(RANK(AQ78,AQ$11:AQ$368)+COUNTIF(AQ$11:AQ78,AQ78)-1)))</f>
        <v/>
      </c>
      <c r="AS78" s="29" t="str">
        <f t="shared" si="43"/>
        <v/>
      </c>
      <c r="AT78" s="34" t="str">
        <f t="shared" si="34"/>
        <v/>
      </c>
      <c r="AU78" s="39" t="str">
        <f t="shared" si="44"/>
        <v/>
      </c>
      <c r="AX78" s="21">
        <f>HLOOKUP($AX$9&amp;$AX$10,Data!$A$1:$ZZ$2000,(MATCH($C78,Data!$A$1:$A$2000,0)),FALSE)</f>
        <v>83.814483237821719</v>
      </c>
      <c r="AY78" s="103"/>
      <c r="AZ78" s="21"/>
    </row>
    <row r="79" spans="1:52">
      <c r="A79" s="56" t="str">
        <f>$D$1&amp;69</f>
        <v>SD69</v>
      </c>
      <c r="B79" s="57" t="str">
        <f>IF(ISERROR(VLOOKUP(A79,classifications!A:C,3,FALSE)),0,VLOOKUP(A79,classifications!A:C,3,FALSE))</f>
        <v>Taunton Deane</v>
      </c>
      <c r="C79" s="8" t="s">
        <v>44</v>
      </c>
      <c r="D79" s="26" t="str">
        <f>VLOOKUP($C79,classifications!$C:$J,4,FALSE)</f>
        <v>SD</v>
      </c>
      <c r="E79" s="26" t="str">
        <f>VLOOKUP(C79,classifications!C:K,9,FALSE)</f>
        <v>Sparse</v>
      </c>
      <c r="F79" s="36">
        <f t="shared" si="26"/>
        <v>86.859304329799087</v>
      </c>
      <c r="G79" s="71"/>
      <c r="H79" s="37">
        <f t="shared" si="27"/>
        <v>86.859304329799087</v>
      </c>
      <c r="I79" s="77">
        <f>IF(H79="","",IF($I$8="A",(RANK(H79,H$11:H$368,1)+COUNTIF(H$11:H79,H79)-1),(RANK(H79,H$11:H$368)+COUNTIF(H$11:H79,H79)-1)))</f>
        <v>10</v>
      </c>
      <c r="J79" s="35"/>
      <c r="K79" s="28">
        <f t="shared" si="35"/>
        <v>69</v>
      </c>
      <c r="L79" s="36" t="str">
        <f t="shared" si="28"/>
        <v>Hinckley &amp; Bosworth</v>
      </c>
      <c r="M79" s="102">
        <f t="shared" si="36"/>
        <v>82.402575319559759</v>
      </c>
      <c r="N79" s="101">
        <f t="shared" si="37"/>
        <v>82.402575319559759</v>
      </c>
      <c r="O79" s="94" t="str">
        <f t="shared" si="29"/>
        <v/>
      </c>
      <c r="P79" s="94">
        <f t="shared" si="45"/>
        <v>82.402575319559759</v>
      </c>
      <c r="Q79" s="94" t="str">
        <f t="shared" si="46"/>
        <v/>
      </c>
      <c r="R79" s="90" t="str">
        <f t="shared" si="47"/>
        <v/>
      </c>
      <c r="S79" s="37" t="str">
        <f t="shared" si="38"/>
        <v/>
      </c>
      <c r="T79" s="176">
        <f>IF(L79="","",VLOOKUP(L79,classifications!C:K,9,FALSE))</f>
        <v>0</v>
      </c>
      <c r="U79" s="183" t="str">
        <f t="shared" si="30"/>
        <v/>
      </c>
      <c r="V79" s="184" t="str">
        <f>IF(U79="","",IF($I$8="A",(RANK(U79,U$11:U$368)+COUNTIF(U$11:U79,U79)-1),(RANK(U79,U$11:U$368,1)+COUNTIF(U$11:U79,U79)-1)))</f>
        <v/>
      </c>
      <c r="W79" s="185"/>
      <c r="X79" s="38" t="str">
        <f>IF(L79="","",VLOOKUP($L79,classifications!$C:$J,6,FALSE))</f>
        <v xml:space="preserve">Largely Rural (rural including hub towns 50-79%) </v>
      </c>
      <c r="Y79" s="26" t="str">
        <f t="shared" si="31"/>
        <v/>
      </c>
      <c r="Z79" s="34" t="str">
        <f>IF(Y79="","",IF(I$8="A",(RANK(Y79,Y$11:Y$368,1)+COUNTIF(Y$11:Y79,Y79)-1),(RANK(Y79,Y$11:Y$368)+COUNTIF(Y$11:Y79,Y79)-1)))</f>
        <v/>
      </c>
      <c r="AA79" s="188" t="str">
        <f>IF(L79="","",VLOOKUP($L79,classifications!C:I,7,FALSE))</f>
        <v>Predominantly Rural</v>
      </c>
      <c r="AB79" s="184">
        <f t="shared" si="39"/>
        <v>82.402575319559759</v>
      </c>
      <c r="AC79" s="184">
        <f>IF(AB79="","",IF($I$8="A",(RANK(AB79,AB$11:AB$368)+COUNTIF(AB$11:AB79,AB79)-1),(RANK(AB79,AB$11:AB$368,1)+COUNTIF(AB$11:AB79,AB79)-1)))</f>
        <v>45</v>
      </c>
      <c r="AD79" s="184"/>
      <c r="AE79" s="28" t="str">
        <f t="shared" si="24"/>
        <v/>
      </c>
      <c r="AG79" s="96"/>
      <c r="AH79" s="29"/>
      <c r="AI79" s="38" t="str">
        <f>IF(L79="","",VLOOKUP($L79,classifications!$C:$J,8,FALSE))</f>
        <v>Leicestershire</v>
      </c>
      <c r="AJ79" s="39" t="str">
        <f t="shared" si="32"/>
        <v/>
      </c>
      <c r="AK79" s="34" t="str">
        <f>IF(AJ79="","",IF(I$8="A",(RANK(AJ79,AJ$11:AJ$368,1)+COUNTIF(AJ$11:AJ79,AJ79)-1),(RANK(AJ79,AJ$11:AJ$368)+COUNTIF(AJ$11:AJ79,AJ79)-1)))</f>
        <v/>
      </c>
      <c r="AL79" s="29" t="str">
        <f t="shared" si="40"/>
        <v/>
      </c>
      <c r="AM79" s="8" t="str">
        <f t="shared" si="33"/>
        <v/>
      </c>
      <c r="AN79" s="8" t="str">
        <f t="shared" si="41"/>
        <v/>
      </c>
      <c r="AP79" s="38" t="str">
        <f>IF(L79="","",VLOOKUP($L79,classifications!$C:$E,3,FALSE))</f>
        <v>East Midlands</v>
      </c>
      <c r="AQ79" s="39" t="str">
        <f t="shared" si="42"/>
        <v/>
      </c>
      <c r="AR79" s="34" t="str">
        <f>IF(AQ79="","",IF(I$8="A",(RANK(AQ79,AQ$11:AQ$368,1)+COUNTIF(AQ$11:AQ79,AQ79)-1),(RANK(AQ79,AQ$11:AQ$368)+COUNTIF(AQ$11:AQ79,AQ79)-1)))</f>
        <v/>
      </c>
      <c r="AS79" s="29" t="str">
        <f t="shared" si="43"/>
        <v/>
      </c>
      <c r="AT79" s="34" t="str">
        <f t="shared" si="34"/>
        <v/>
      </c>
      <c r="AU79" s="39" t="str">
        <f t="shared" si="44"/>
        <v/>
      </c>
      <c r="AX79" s="21">
        <f>HLOOKUP($AX$9&amp;$AX$10,Data!$A$1:$ZZ$2000,(MATCH($C79,Data!$A$1:$A$2000,0)),FALSE)</f>
        <v>86.859304329799087</v>
      </c>
      <c r="AY79" s="103"/>
      <c r="AZ79" s="21"/>
    </row>
    <row r="80" spans="1:52">
      <c r="A80" s="56" t="str">
        <f>$D$1&amp;70</f>
        <v>SD70</v>
      </c>
      <c r="B80" s="57" t="str">
        <f>IF(ISERROR(VLOOKUP(A80,classifications!A:C,3,FALSE)),0,VLOOKUP(A80,classifications!A:C,3,FALSE))</f>
        <v>Teignbridge</v>
      </c>
      <c r="C80" s="8" t="s">
        <v>228</v>
      </c>
      <c r="D80" s="26" t="str">
        <f>VLOOKUP($C80,classifications!$C:$J,4,FALSE)</f>
        <v>MD</v>
      </c>
      <c r="E80" s="26">
        <f>VLOOKUP(C80,classifications!C:K,9,FALSE)</f>
        <v>0</v>
      </c>
      <c r="F80" s="36">
        <f t="shared" si="26"/>
        <v>70.802903734952963</v>
      </c>
      <c r="G80" s="71"/>
      <c r="H80" s="37" t="str">
        <f t="shared" si="27"/>
        <v/>
      </c>
      <c r="I80" s="77" t="str">
        <f>IF(H80="","",IF($I$8="A",(RANK(H80,H$11:H$368,1)+COUNTIF(H$11:H80,H80)-1),(RANK(H80,H$11:H$368)+COUNTIF(H$11:H80,H80)-1)))</f>
        <v/>
      </c>
      <c r="J80" s="35"/>
      <c r="K80" s="28">
        <f t="shared" si="35"/>
        <v>70</v>
      </c>
      <c r="L80" s="36" t="str">
        <f t="shared" si="28"/>
        <v>Braintree</v>
      </c>
      <c r="M80" s="102">
        <f t="shared" si="36"/>
        <v>82.387796833472166</v>
      </c>
      <c r="N80" s="101">
        <f t="shared" si="37"/>
        <v>82.387796833472166</v>
      </c>
      <c r="O80" s="94" t="str">
        <f t="shared" si="29"/>
        <v/>
      </c>
      <c r="P80" s="94">
        <f t="shared" si="45"/>
        <v>82.387796833472166</v>
      </c>
      <c r="Q80" s="94" t="str">
        <f t="shared" si="46"/>
        <v/>
      </c>
      <c r="R80" s="90" t="str">
        <f t="shared" si="47"/>
        <v/>
      </c>
      <c r="S80" s="37" t="str">
        <f t="shared" si="38"/>
        <v/>
      </c>
      <c r="T80" s="176" t="str">
        <f>IF(L80="","",VLOOKUP(L80,classifications!C:K,9,FALSE))</f>
        <v>Sparse</v>
      </c>
      <c r="U80" s="183">
        <f t="shared" si="30"/>
        <v>82.387796833472166</v>
      </c>
      <c r="V80" s="184">
        <f>IF(U80="","",IF($I$8="A",(RANK(U80,U$11:U$368)+COUNTIF(U$11:U80,U80)-1),(RANK(U80,U$11:U$368,1)+COUNTIF(U$11:U80,U80)-1)))</f>
        <v>46</v>
      </c>
      <c r="W80" s="185"/>
      <c r="X80" s="38" t="str">
        <f>IF(L80="","",VLOOKUP($L80,classifications!$C:$J,6,FALSE))</f>
        <v xml:space="preserve">Largely Rural (rural including hub towns 50-79%) </v>
      </c>
      <c r="Y80" s="26" t="str">
        <f t="shared" si="31"/>
        <v/>
      </c>
      <c r="Z80" s="34" t="str">
        <f>IF(Y80="","",IF(I$8="A",(RANK(Y80,Y$11:Y$368,1)+COUNTIF(Y$11:Y80,Y80)-1),(RANK(Y80,Y$11:Y$368)+COUNTIF(Y$11:Y80,Y80)-1)))</f>
        <v/>
      </c>
      <c r="AA80" s="188" t="str">
        <f>IF(L80="","",VLOOKUP($L80,classifications!C:I,7,FALSE))</f>
        <v>Predominantly Rural</v>
      </c>
      <c r="AB80" s="184">
        <f t="shared" si="39"/>
        <v>82.387796833472166</v>
      </c>
      <c r="AC80" s="184">
        <f>IF(AB80="","",IF($I$8="A",(RANK(AB80,AB$11:AB$368)+COUNTIF(AB$11:AB80,AB80)-1),(RANK(AB80,AB$11:AB$368,1)+COUNTIF(AB$11:AB80,AB80)-1)))</f>
        <v>44</v>
      </c>
      <c r="AD80" s="184"/>
      <c r="AE80" s="28" t="str">
        <f t="shared" si="24"/>
        <v/>
      </c>
      <c r="AG80" s="96"/>
      <c r="AH80" s="29"/>
      <c r="AI80" s="38" t="str">
        <f>IF(L80="","",VLOOKUP($L80,classifications!$C:$J,8,FALSE))</f>
        <v>Essex</v>
      </c>
      <c r="AJ80" s="39" t="str">
        <f t="shared" si="32"/>
        <v/>
      </c>
      <c r="AK80" s="34" t="str">
        <f>IF(AJ80="","",IF(I$8="A",(RANK(AJ80,AJ$11:AJ$368,1)+COUNTIF(AJ$11:AJ80,AJ80)-1),(RANK(AJ80,AJ$11:AJ$368)+COUNTIF(AJ$11:AJ80,AJ80)-1)))</f>
        <v/>
      </c>
      <c r="AL80" s="29" t="str">
        <f t="shared" si="40"/>
        <v/>
      </c>
      <c r="AM80" s="8" t="str">
        <f t="shared" si="33"/>
        <v/>
      </c>
      <c r="AN80" s="8" t="str">
        <f t="shared" si="41"/>
        <v/>
      </c>
      <c r="AP80" s="38" t="str">
        <f>IF(L80="","",VLOOKUP($L80,classifications!$C:$E,3,FALSE))</f>
        <v>East of England</v>
      </c>
      <c r="AQ80" s="39" t="str">
        <f t="shared" si="42"/>
        <v/>
      </c>
      <c r="AR80" s="34" t="str">
        <f>IF(AQ80="","",IF(I$8="A",(RANK(AQ80,AQ$11:AQ$368,1)+COUNTIF(AQ$11:AQ80,AQ80)-1),(RANK(AQ80,AQ$11:AQ$368)+COUNTIF(AQ$11:AQ80,AQ80)-1)))</f>
        <v/>
      </c>
      <c r="AS80" s="29" t="str">
        <f t="shared" si="43"/>
        <v/>
      </c>
      <c r="AT80" s="34" t="str">
        <f t="shared" si="34"/>
        <v/>
      </c>
      <c r="AU80" s="39" t="str">
        <f t="shared" si="44"/>
        <v/>
      </c>
      <c r="AX80" s="21">
        <f>HLOOKUP($AX$9&amp;$AX$10,Data!$A$1:$ZZ$2000,(MATCH($C80,Data!$A$1:$A$2000,0)),FALSE)</f>
        <v>70.802903734952963</v>
      </c>
      <c r="AY80" s="103"/>
      <c r="AZ80" s="21"/>
    </row>
    <row r="81" spans="1:52">
      <c r="A81" s="56" t="str">
        <f>$D$1&amp;71</f>
        <v>SD71</v>
      </c>
      <c r="B81" s="57" t="str">
        <f>IF(ISERROR(VLOOKUP(A81,classifications!A:C,3,FALSE)),0,VLOOKUP(A81,classifications!A:C,3,FALSE))</f>
        <v>Tewkesbury</v>
      </c>
      <c r="C81" s="8" t="s">
        <v>45</v>
      </c>
      <c r="D81" s="26" t="str">
        <f>VLOOKUP($C81,classifications!$C:$J,4,FALSE)</f>
        <v>SD</v>
      </c>
      <c r="E81" s="26" t="str">
        <f>VLOOKUP(C81,classifications!C:K,9,FALSE)</f>
        <v>Sparse</v>
      </c>
      <c r="F81" s="36">
        <f t="shared" si="26"/>
        <v>81.02170787711259</v>
      </c>
      <c r="G81" s="71"/>
      <c r="H81" s="37">
        <f t="shared" si="27"/>
        <v>81.02170787711259</v>
      </c>
      <c r="I81" s="77">
        <f>IF(H81="","",IF($I$8="A",(RANK(H81,H$11:H$368,1)+COUNTIF(H$11:H81,H81)-1),(RANK(H81,H$11:H$368)+COUNTIF(H$11:H81,H81)-1)))</f>
        <v>96</v>
      </c>
      <c r="J81" s="35"/>
      <c r="K81" s="28">
        <f t="shared" si="35"/>
        <v>71</v>
      </c>
      <c r="L81" s="36" t="str">
        <f t="shared" si="28"/>
        <v>Uttlesford</v>
      </c>
      <c r="M81" s="102">
        <f t="shared" si="36"/>
        <v>82.360675429974577</v>
      </c>
      <c r="N81" s="101">
        <f t="shared" si="37"/>
        <v>82.360675429974577</v>
      </c>
      <c r="O81" s="94" t="str">
        <f t="shared" si="29"/>
        <v/>
      </c>
      <c r="P81" s="94">
        <f t="shared" si="45"/>
        <v>82.360675429974577</v>
      </c>
      <c r="Q81" s="94" t="str">
        <f t="shared" si="46"/>
        <v/>
      </c>
      <c r="R81" s="90" t="str">
        <f t="shared" si="47"/>
        <v/>
      </c>
      <c r="S81" s="37" t="str">
        <f t="shared" si="38"/>
        <v/>
      </c>
      <c r="T81" s="176" t="str">
        <f>IF(L81="","",VLOOKUP(L81,classifications!C:K,9,FALSE))</f>
        <v>Sparse</v>
      </c>
      <c r="U81" s="183">
        <f t="shared" si="30"/>
        <v>82.360675429974577</v>
      </c>
      <c r="V81" s="184">
        <f>IF(U81="","",IF($I$8="A",(RANK(U81,U$11:U$368)+COUNTIF(U$11:U81,U81)-1),(RANK(U81,U$11:U$368,1)+COUNTIF(U$11:U81,U81)-1)))</f>
        <v>45</v>
      </c>
      <c r="W81" s="185"/>
      <c r="X81" s="38" t="str">
        <f>IF(L81="","",VLOOKUP($L81,classifications!$C:$J,6,FALSE))</f>
        <v xml:space="preserve">Mainly Rural (rural including hub towns &gt;=80%) </v>
      </c>
      <c r="Y81" s="26">
        <f t="shared" si="31"/>
        <v>82.360675429974577</v>
      </c>
      <c r="Z81" s="34">
        <f>IF(Y81="","",IF(I$8="A",(RANK(Y81,Y$11:Y$368,1)+COUNTIF(Y$11:Y81,Y81)-1),(RANK(Y81,Y$11:Y$368)+COUNTIF(Y$11:Y81,Y81)-1)))</f>
        <v>19</v>
      </c>
      <c r="AA81" s="188" t="str">
        <f>IF(L81="","",VLOOKUP($L81,classifications!C:I,7,FALSE))</f>
        <v>Predominantly Rural</v>
      </c>
      <c r="AB81" s="184">
        <f t="shared" si="39"/>
        <v>82.360675429974577</v>
      </c>
      <c r="AC81" s="184">
        <f>IF(AB81="","",IF($I$8="A",(RANK(AB81,AB$11:AB$368)+COUNTIF(AB$11:AB81,AB81)-1),(RANK(AB81,AB$11:AB$368,1)+COUNTIF(AB$11:AB81,AB81)-1)))</f>
        <v>43</v>
      </c>
      <c r="AD81" s="184"/>
      <c r="AE81" s="28" t="str">
        <f t="shared" si="24"/>
        <v/>
      </c>
      <c r="AG81" s="96"/>
      <c r="AH81" s="29"/>
      <c r="AI81" s="38" t="str">
        <f>IF(L81="","",VLOOKUP($L81,classifications!$C:$J,8,FALSE))</f>
        <v>Essex</v>
      </c>
      <c r="AJ81" s="39" t="str">
        <f t="shared" si="32"/>
        <v/>
      </c>
      <c r="AK81" s="34" t="str">
        <f>IF(AJ81="","",IF(I$8="A",(RANK(AJ81,AJ$11:AJ$368,1)+COUNTIF(AJ$11:AJ81,AJ81)-1),(RANK(AJ81,AJ$11:AJ$368)+COUNTIF(AJ$11:AJ81,AJ81)-1)))</f>
        <v/>
      </c>
      <c r="AL81" s="29" t="str">
        <f t="shared" si="40"/>
        <v/>
      </c>
      <c r="AM81" s="8" t="str">
        <f t="shared" si="33"/>
        <v/>
      </c>
      <c r="AN81" s="8" t="str">
        <f t="shared" si="41"/>
        <v/>
      </c>
      <c r="AP81" s="38" t="str">
        <f>IF(L81="","",VLOOKUP($L81,classifications!$C:$E,3,FALSE))</f>
        <v>East of England</v>
      </c>
      <c r="AQ81" s="39" t="str">
        <f t="shared" si="42"/>
        <v/>
      </c>
      <c r="AR81" s="34" t="str">
        <f>IF(AQ81="","",IF(I$8="A",(RANK(AQ81,AQ$11:AQ$368,1)+COUNTIF(AQ$11:AQ81,AQ81)-1),(RANK(AQ81,AQ$11:AQ$368)+COUNTIF(AQ$11:AQ81,AQ81)-1)))</f>
        <v/>
      </c>
      <c r="AS81" s="29" t="str">
        <f t="shared" si="43"/>
        <v/>
      </c>
      <c r="AT81" s="34" t="str">
        <f t="shared" si="34"/>
        <v/>
      </c>
      <c r="AU81" s="39" t="str">
        <f>IF(AT81="","",VLOOKUP(AT81,L:M,2,FALSE))</f>
        <v/>
      </c>
      <c r="AX81" s="21">
        <f>HLOOKUP($AX$9&amp;$AX$10,Data!$A$1:$ZZ$2000,(MATCH($C81,Data!$A$1:$A$2000,0)),FALSE)</f>
        <v>81.02170787711259</v>
      </c>
      <c r="AY81" s="103"/>
      <c r="AZ81" s="21"/>
    </row>
    <row r="82" spans="1:52">
      <c r="A82" s="56" t="str">
        <f>$D$1&amp;72</f>
        <v>SD72</v>
      </c>
      <c r="B82" s="57" t="str">
        <f>IF(ISERROR(VLOOKUP(A82,classifications!A:C,3,FALSE)),0,VLOOKUP(A82,classifications!A:C,3,FALSE))</f>
        <v>Torridge</v>
      </c>
      <c r="C82" s="8" t="s">
        <v>46</v>
      </c>
      <c r="D82" s="26" t="str">
        <f>VLOOKUP($C82,classifications!$C:$J,4,FALSE)</f>
        <v>SD</v>
      </c>
      <c r="E82" s="26">
        <f>VLOOKUP(C82,classifications!C:K,9,FALSE)</f>
        <v>0</v>
      </c>
      <c r="F82" s="36">
        <f t="shared" si="26"/>
        <v>72.492816346787393</v>
      </c>
      <c r="G82" s="71"/>
      <c r="H82" s="37">
        <f t="shared" si="27"/>
        <v>72.492816346787393</v>
      </c>
      <c r="I82" s="77">
        <f>IF(H82="","",IF($I$8="A",(RANK(H82,H$11:H$368,1)+COUNTIF(H$11:H82,H82)-1),(RANK(H82,H$11:H$368)+COUNTIF(H$11:H82,H82)-1)))</f>
        <v>189</v>
      </c>
      <c r="J82" s="35"/>
      <c r="K82" s="28">
        <f t="shared" si="35"/>
        <v>72</v>
      </c>
      <c r="L82" s="36" t="str">
        <f t="shared" si="28"/>
        <v>New Forest</v>
      </c>
      <c r="M82" s="102">
        <f t="shared" si="36"/>
        <v>82.335363809376105</v>
      </c>
      <c r="N82" s="101">
        <f t="shared" si="37"/>
        <v>82.335363809376105</v>
      </c>
      <c r="O82" s="94" t="str">
        <f t="shared" si="29"/>
        <v/>
      </c>
      <c r="P82" s="94">
        <f t="shared" si="45"/>
        <v>82.335363809376105</v>
      </c>
      <c r="Q82" s="94" t="str">
        <f t="shared" si="46"/>
        <v/>
      </c>
      <c r="R82" s="90" t="str">
        <f t="shared" si="47"/>
        <v/>
      </c>
      <c r="S82" s="37" t="str">
        <f t="shared" si="38"/>
        <v/>
      </c>
      <c r="T82" s="176" t="str">
        <f>IF(L82="","",VLOOKUP(L82,classifications!C:K,9,FALSE))</f>
        <v>Sparse</v>
      </c>
      <c r="U82" s="183">
        <f t="shared" si="30"/>
        <v>82.335363809376105</v>
      </c>
      <c r="V82" s="184">
        <f>IF(U82="","",IF($I$8="A",(RANK(U82,U$11:U$368)+COUNTIF(U$11:U82,U82)-1),(RANK(U82,U$11:U$368,1)+COUNTIF(U$11:U82,U82)-1)))</f>
        <v>44</v>
      </c>
      <c r="W82" s="185"/>
      <c r="X82" s="38" t="str">
        <f>IF(L82="","",VLOOKUP($L82,classifications!$C:$J,6,FALSE))</f>
        <v>Urban with Significant Rural (rural including hub towns 26-49%)</v>
      </c>
      <c r="Y82" s="26" t="str">
        <f t="shared" si="31"/>
        <v/>
      </c>
      <c r="Z82" s="34" t="str">
        <f>IF(Y82="","",IF(I$8="A",(RANK(Y82,Y$11:Y$368,1)+COUNTIF(Y$11:Y82,Y82)-1),(RANK(Y82,Y$11:Y$368)+COUNTIF(Y$11:Y82,Y82)-1)))</f>
        <v/>
      </c>
      <c r="AA82" s="188" t="str">
        <f>IF(L82="","",VLOOKUP($L82,classifications!C:I,7,FALSE))</f>
        <v>Significant Rural</v>
      </c>
      <c r="AB82" s="184" t="str">
        <f t="shared" si="39"/>
        <v/>
      </c>
      <c r="AC82" s="184" t="str">
        <f>IF(AB82="","",IF($I$8="A",(RANK(AB82,AB$11:AB$368)+COUNTIF(AB$11:AB82,AB82)-1),(RANK(AB82,AB$11:AB$368,1)+COUNTIF(AB$11:AB82,AB82)-1)))</f>
        <v/>
      </c>
      <c r="AD82" s="184"/>
      <c r="AE82" s="28" t="str">
        <f t="shared" si="24"/>
        <v/>
      </c>
      <c r="AG82" s="96"/>
      <c r="AH82" s="29"/>
      <c r="AI82" s="38" t="str">
        <f>IF(L82="","",VLOOKUP($L82,classifications!$C:$J,8,FALSE))</f>
        <v>Hampshire</v>
      </c>
      <c r="AJ82" s="39" t="str">
        <f t="shared" si="32"/>
        <v/>
      </c>
      <c r="AK82" s="34" t="str">
        <f>IF(AJ82="","",IF(I$8="A",(RANK(AJ82,AJ$11:AJ$368,1)+COUNTIF(AJ$11:AJ82,AJ82)-1),(RANK(AJ82,AJ$11:AJ$368)+COUNTIF(AJ$11:AJ82,AJ82)-1)))</f>
        <v/>
      </c>
      <c r="AL82" s="29" t="str">
        <f t="shared" si="40"/>
        <v/>
      </c>
      <c r="AM82" s="8" t="str">
        <f t="shared" si="33"/>
        <v/>
      </c>
      <c r="AN82" s="8" t="str">
        <f t="shared" si="41"/>
        <v/>
      </c>
      <c r="AP82" s="38" t="str">
        <f>IF(L82="","",VLOOKUP($L82,classifications!$C:$E,3,FALSE))</f>
        <v>South East</v>
      </c>
      <c r="AQ82" s="39" t="str">
        <f t="shared" si="42"/>
        <v/>
      </c>
      <c r="AR82" s="34" t="str">
        <f>IF(AQ82="","",IF(I$8="A",(RANK(AQ82,AQ$11:AQ$368,1)+COUNTIF(AQ$11:AQ82,AQ82)-1),(RANK(AQ82,AQ$11:AQ$368)+COUNTIF(AQ$11:AQ82,AQ82)-1)))</f>
        <v/>
      </c>
      <c r="AS82" s="29" t="str">
        <f t="shared" si="43"/>
        <v/>
      </c>
      <c r="AT82" s="34" t="str">
        <f t="shared" si="34"/>
        <v/>
      </c>
      <c r="AU82" s="39" t="str">
        <f t="shared" ref="AU82:AU145" si="48">IF(AT82="","",VLOOKUP(AT82,L:M,2,FALSE))</f>
        <v/>
      </c>
      <c r="AX82" s="21">
        <f>HLOOKUP($AX$9&amp;$AX$10,Data!$A$1:$ZZ$2000,(MATCH($C82,Data!$A$1:$A$2000,0)),FALSE)</f>
        <v>72.492816346787393</v>
      </c>
      <c r="AY82" s="103"/>
      <c r="AZ82" s="21"/>
    </row>
    <row r="83" spans="1:52">
      <c r="A83" s="56" t="str">
        <f>$D$1&amp;73</f>
        <v>SD73</v>
      </c>
      <c r="B83" s="57" t="str">
        <f>IF(ISERROR(VLOOKUP(A83,classifications!A:C,3,FALSE)),0,VLOOKUP(A83,classifications!A:C,3,FALSE))</f>
        <v>Tunbridge Wells</v>
      </c>
      <c r="C83" s="8" t="s">
        <v>201</v>
      </c>
      <c r="D83" s="26" t="str">
        <f>VLOOKUP($C83,classifications!$C:$J,4,FALSE)</f>
        <v>L</v>
      </c>
      <c r="E83" s="26">
        <f>VLOOKUP(C83,classifications!C:K,9,FALSE)</f>
        <v>0</v>
      </c>
      <c r="F83" s="36">
        <f t="shared" si="26"/>
        <v>73.52554324109137</v>
      </c>
      <c r="G83" s="71"/>
      <c r="H83" s="37" t="str">
        <f t="shared" si="27"/>
        <v/>
      </c>
      <c r="I83" s="77" t="str">
        <f>IF(H83="","",IF($I$8="A",(RANK(H83,H$11:H$368,1)+COUNTIF(H$11:H83,H83)-1),(RANK(H83,H$11:H$368)+COUNTIF(H$11:H83,H83)-1)))</f>
        <v/>
      </c>
      <c r="J83" s="35"/>
      <c r="K83" s="28">
        <f t="shared" si="35"/>
        <v>73</v>
      </c>
      <c r="L83" s="36" t="str">
        <f t="shared" si="28"/>
        <v>Reigate &amp; Banstead</v>
      </c>
      <c r="M83" s="102">
        <f t="shared" si="36"/>
        <v>82.319682741807654</v>
      </c>
      <c r="N83" s="101">
        <f t="shared" si="37"/>
        <v>82.319682741807654</v>
      </c>
      <c r="O83" s="94" t="str">
        <f t="shared" si="29"/>
        <v/>
      </c>
      <c r="P83" s="94">
        <f t="shared" si="45"/>
        <v>82.319682741807654</v>
      </c>
      <c r="Q83" s="94" t="str">
        <f t="shared" si="46"/>
        <v/>
      </c>
      <c r="R83" s="90" t="str">
        <f t="shared" si="47"/>
        <v/>
      </c>
      <c r="S83" s="37" t="str">
        <f t="shared" si="38"/>
        <v/>
      </c>
      <c r="T83" s="176">
        <f>IF(L83="","",VLOOKUP(L83,classifications!C:K,9,FALSE))</f>
        <v>0</v>
      </c>
      <c r="U83" s="183" t="str">
        <f t="shared" si="30"/>
        <v/>
      </c>
      <c r="V83" s="184" t="str">
        <f>IF(U83="","",IF($I$8="A",(RANK(U83,U$11:U$368)+COUNTIF(U$11:U83,U83)-1),(RANK(U83,U$11:U$368,1)+COUNTIF(U$11:U83,U83)-1)))</f>
        <v/>
      </c>
      <c r="W83" s="185"/>
      <c r="X83" s="38" t="str">
        <f>IF(L83="","",VLOOKUP($L83,classifications!$C:$J,6,FALSE))</f>
        <v>Urban with City and Town</v>
      </c>
      <c r="Y83" s="26" t="str">
        <f t="shared" si="31"/>
        <v/>
      </c>
      <c r="Z83" s="34" t="str">
        <f>IF(Y83="","",IF(I$8="A",(RANK(Y83,Y$11:Y$368,1)+COUNTIF(Y$11:Y83,Y83)-1),(RANK(Y83,Y$11:Y$368)+COUNTIF(Y$11:Y83,Y83)-1)))</f>
        <v/>
      </c>
      <c r="AA83" s="188" t="str">
        <f>IF(L83="","",VLOOKUP($L83,classifications!C:I,7,FALSE))</f>
        <v>Predominantly Urban</v>
      </c>
      <c r="AB83" s="184" t="str">
        <f t="shared" si="39"/>
        <v/>
      </c>
      <c r="AC83" s="184" t="str">
        <f>IF(AB83="","",IF($I$8="A",(RANK(AB83,AB$11:AB$368)+COUNTIF(AB$11:AB83,AB83)-1),(RANK(AB83,AB$11:AB$368,1)+COUNTIF(AB$11:AB83,AB83)-1)))</f>
        <v/>
      </c>
      <c r="AD83" s="184"/>
      <c r="AE83" s="28" t="str">
        <f t="shared" si="24"/>
        <v/>
      </c>
      <c r="AG83" s="96"/>
      <c r="AH83" s="29"/>
      <c r="AI83" s="38" t="str">
        <f>IF(L83="","",VLOOKUP($L83,classifications!$C:$J,8,FALSE))</f>
        <v>Surrey</v>
      </c>
      <c r="AJ83" s="39" t="str">
        <f t="shared" si="32"/>
        <v/>
      </c>
      <c r="AK83" s="34" t="str">
        <f>IF(AJ83="","",IF(I$8="A",(RANK(AJ83,AJ$11:AJ$368,1)+COUNTIF(AJ$11:AJ83,AJ83)-1),(RANK(AJ83,AJ$11:AJ$368)+COUNTIF(AJ$11:AJ83,AJ83)-1)))</f>
        <v/>
      </c>
      <c r="AL83" s="29" t="str">
        <f t="shared" si="40"/>
        <v/>
      </c>
      <c r="AM83" s="8" t="str">
        <f t="shared" si="33"/>
        <v/>
      </c>
      <c r="AN83" s="8" t="str">
        <f t="shared" si="41"/>
        <v/>
      </c>
      <c r="AP83" s="38" t="str">
        <f>IF(L83="","",VLOOKUP($L83,classifications!$C:$E,3,FALSE))</f>
        <v>South East</v>
      </c>
      <c r="AQ83" s="39" t="str">
        <f t="shared" si="42"/>
        <v/>
      </c>
      <c r="AR83" s="34" t="str">
        <f>IF(AQ83="","",IF(I$8="A",(RANK(AQ83,AQ$11:AQ$368,1)+COUNTIF(AQ$11:AQ83,AQ83)-1),(RANK(AQ83,AQ$11:AQ$368)+COUNTIF(AQ$11:AQ83,AQ83)-1)))</f>
        <v/>
      </c>
      <c r="AS83" s="29" t="str">
        <f t="shared" si="43"/>
        <v/>
      </c>
      <c r="AT83" s="34" t="str">
        <f t="shared" si="34"/>
        <v/>
      </c>
      <c r="AU83" s="39" t="str">
        <f t="shared" si="48"/>
        <v/>
      </c>
      <c r="AX83" s="21">
        <f>HLOOKUP($AX$9&amp;$AX$10,Data!$A$1:$ZZ$2000,(MATCH($C83,Data!$A$1:$A$2000,0)),FALSE)</f>
        <v>73.52554324109137</v>
      </c>
      <c r="AY83" s="103"/>
      <c r="AZ83" s="21"/>
    </row>
    <row r="84" spans="1:52">
      <c r="A84" s="56" t="str">
        <f>$D$1&amp;74</f>
        <v>SD74</v>
      </c>
      <c r="B84" s="57" t="str">
        <f>IF(ISERROR(VLOOKUP(A84,classifications!A:C,3,FALSE)),0,VLOOKUP(A84,classifications!A:C,3,FALSE))</f>
        <v>Uttlesford</v>
      </c>
      <c r="C84" s="8" t="s">
        <v>306</v>
      </c>
      <c r="D84" s="26" t="str">
        <f>VLOOKUP($C84,classifications!$C:$J,4,FALSE)</f>
        <v>SC</v>
      </c>
      <c r="E84" s="26" t="str">
        <f>VLOOKUP(C84,classifications!C:K,9,FALSE)</f>
        <v>Sparse</v>
      </c>
      <c r="F84" s="36">
        <f t="shared" si="26"/>
        <v>81.644720455556069</v>
      </c>
      <c r="G84" s="71"/>
      <c r="H84" s="37" t="str">
        <f t="shared" si="27"/>
        <v/>
      </c>
      <c r="I84" s="77" t="str">
        <f>IF(H84="","",IF($I$8="A",(RANK(H84,H$11:H$368,1)+COUNTIF(H$11:H84,H84)-1),(RANK(H84,H$11:H$368)+COUNTIF(H$11:H84,H84)-1)))</f>
        <v/>
      </c>
      <c r="J84" s="35"/>
      <c r="K84" s="28">
        <f t="shared" si="35"/>
        <v>74</v>
      </c>
      <c r="L84" s="36" t="str">
        <f t="shared" si="28"/>
        <v>West Suffolk</v>
      </c>
      <c r="M84" s="102">
        <f t="shared" si="36"/>
        <v>82.281951366995557</v>
      </c>
      <c r="N84" s="101">
        <f t="shared" si="37"/>
        <v>82.281951366995557</v>
      </c>
      <c r="O84" s="94" t="str">
        <f t="shared" si="29"/>
        <v/>
      </c>
      <c r="P84" s="94">
        <f t="shared" si="45"/>
        <v>82.281951366995557</v>
      </c>
      <c r="Q84" s="94" t="str">
        <f t="shared" si="46"/>
        <v/>
      </c>
      <c r="R84" s="90" t="str">
        <f t="shared" si="47"/>
        <v/>
      </c>
      <c r="S84" s="37" t="str">
        <f t="shared" si="38"/>
        <v/>
      </c>
      <c r="T84" s="176" t="str">
        <f>IF(L84="","",VLOOKUP(L84,classifications!C:K,9,FALSE))</f>
        <v>Sparse</v>
      </c>
      <c r="U84" s="183">
        <f t="shared" si="30"/>
        <v>82.281951366995557</v>
      </c>
      <c r="V84" s="184">
        <f>IF(U84="","",IF($I$8="A",(RANK(U84,U$11:U$368)+COUNTIF(U$11:U84,U84)-1),(RANK(U84,U$11:U$368,1)+COUNTIF(U$11:U84,U84)-1)))</f>
        <v>43</v>
      </c>
      <c r="W84" s="185"/>
      <c r="X84" s="38" t="str">
        <f>IF(L84="","",VLOOKUP($L84,classifications!$C:$J,6,FALSE))</f>
        <v xml:space="preserve">Predominantly Rural </v>
      </c>
      <c r="Y84" s="26" t="str">
        <f t="shared" si="31"/>
        <v/>
      </c>
      <c r="Z84" s="34" t="str">
        <f>IF(Y84="","",IF(I$8="A",(RANK(Y84,Y$11:Y$368,1)+COUNTIF(Y$11:Y84,Y84)-1),(RANK(Y84,Y$11:Y$368)+COUNTIF(Y$11:Y84,Y84)-1)))</f>
        <v/>
      </c>
      <c r="AA84" s="188" t="str">
        <f>IF(L84="","",VLOOKUP($L84,classifications!C:I,7,FALSE))</f>
        <v>Predominantly Rural</v>
      </c>
      <c r="AB84" s="184">
        <f t="shared" si="39"/>
        <v>82.281951366995557</v>
      </c>
      <c r="AC84" s="184">
        <f>IF(AB84="","",IF($I$8="A",(RANK(AB84,AB$11:AB$368)+COUNTIF(AB$11:AB84,AB84)-1),(RANK(AB84,AB$11:AB$368,1)+COUNTIF(AB$11:AB84,AB84)-1)))</f>
        <v>42</v>
      </c>
      <c r="AD84" s="184"/>
      <c r="AE84" s="28" t="str">
        <f t="shared" si="24"/>
        <v/>
      </c>
      <c r="AG84" s="96"/>
      <c r="AH84" s="29"/>
      <c r="AI84" s="38" t="str">
        <f>IF(L84="","",VLOOKUP($L84,classifications!$C:$J,8,FALSE))</f>
        <v>Suffolk</v>
      </c>
      <c r="AJ84" s="39" t="str">
        <f t="shared" si="32"/>
        <v/>
      </c>
      <c r="AK84" s="34" t="str">
        <f>IF(AJ84="","",IF(I$8="A",(RANK(AJ84,AJ$11:AJ$368,1)+COUNTIF(AJ$11:AJ84,AJ84)-1),(RANK(AJ84,AJ$11:AJ$368)+COUNTIF(AJ$11:AJ84,AJ84)-1)))</f>
        <v/>
      </c>
      <c r="AL84" s="29" t="str">
        <f t="shared" si="40"/>
        <v/>
      </c>
      <c r="AM84" s="8" t="str">
        <f t="shared" si="33"/>
        <v/>
      </c>
      <c r="AN84" s="8" t="str">
        <f t="shared" si="41"/>
        <v/>
      </c>
      <c r="AP84" s="38" t="str">
        <f>IF(L84="","",VLOOKUP($L84,classifications!$C:$E,3,FALSE))</f>
        <v>East of England</v>
      </c>
      <c r="AQ84" s="39" t="str">
        <f t="shared" si="42"/>
        <v/>
      </c>
      <c r="AR84" s="34" t="str">
        <f>IF(AQ84="","",IF(I$8="A",(RANK(AQ84,AQ$11:AQ$368,1)+COUNTIF(AQ$11:AQ84,AQ84)-1),(RANK(AQ84,AQ$11:AQ$368)+COUNTIF(AQ$11:AQ84,AQ84)-1)))</f>
        <v/>
      </c>
      <c r="AS84" s="29" t="str">
        <f t="shared" si="43"/>
        <v/>
      </c>
      <c r="AT84" s="34" t="str">
        <f t="shared" si="34"/>
        <v/>
      </c>
      <c r="AU84" s="39" t="str">
        <f t="shared" si="48"/>
        <v/>
      </c>
      <c r="AX84" s="21">
        <f>HLOOKUP($AX$9&amp;$AX$10,Data!$A$1:$ZZ$2000,(MATCH($C84,Data!$A$1:$A$2000,0)),FALSE)</f>
        <v>81.644720455556069</v>
      </c>
      <c r="AY84" s="103"/>
      <c r="AZ84" s="21"/>
    </row>
    <row r="85" spans="1:52">
      <c r="A85" s="56" t="str">
        <f>$D$1&amp;75</f>
        <v>SD75</v>
      </c>
      <c r="B85" s="57" t="str">
        <f>IF(ISERROR(VLOOKUP(A85,classifications!A:C,3,FALSE)),0,VLOOKUP(A85,classifications!A:C,3,FALSE))</f>
        <v>Vale of White Horse</v>
      </c>
      <c r="C85" s="8" t="s">
        <v>47</v>
      </c>
      <c r="D85" s="26" t="str">
        <f>VLOOKUP($C85,classifications!$C:$J,4,FALSE)</f>
        <v>SD</v>
      </c>
      <c r="E85" s="26">
        <f>VLOOKUP(C85,classifications!C:K,9,FALSE)</f>
        <v>0</v>
      </c>
      <c r="F85" s="36">
        <f t="shared" si="26"/>
        <v>83.013741593227948</v>
      </c>
      <c r="G85" s="71"/>
      <c r="H85" s="37">
        <f t="shared" si="27"/>
        <v>83.013741593227948</v>
      </c>
      <c r="I85" s="77">
        <f>IF(H85="","",IF($I$8="A",(RANK(H85,H$11:H$368,1)+COUNTIF(H$11:H85,H85)-1),(RANK(H85,H$11:H$368)+COUNTIF(H$11:H85,H85)-1)))</f>
        <v>59</v>
      </c>
      <c r="J85" s="35"/>
      <c r="K85" s="28">
        <f t="shared" si="35"/>
        <v>75</v>
      </c>
      <c r="L85" s="36" t="str">
        <f t="shared" si="28"/>
        <v>Rother</v>
      </c>
      <c r="M85" s="102">
        <f t="shared" si="36"/>
        <v>82.24698005383091</v>
      </c>
      <c r="N85" s="101">
        <f t="shared" si="37"/>
        <v>82.24698005383091</v>
      </c>
      <c r="O85" s="94" t="str">
        <f t="shared" si="29"/>
        <v/>
      </c>
      <c r="P85" s="94">
        <f t="shared" si="45"/>
        <v>82.24698005383091</v>
      </c>
      <c r="Q85" s="94" t="str">
        <f t="shared" si="46"/>
        <v/>
      </c>
      <c r="R85" s="90" t="str">
        <f t="shared" si="47"/>
        <v/>
      </c>
      <c r="S85" s="37" t="str">
        <f t="shared" si="38"/>
        <v/>
      </c>
      <c r="T85" s="176" t="str">
        <f>IF(L85="","",VLOOKUP(L85,classifications!C:K,9,FALSE))</f>
        <v>Sparse</v>
      </c>
      <c r="U85" s="183">
        <f t="shared" si="30"/>
        <v>82.24698005383091</v>
      </c>
      <c r="V85" s="184">
        <f>IF(U85="","",IF($I$8="A",(RANK(U85,U$11:U$368)+COUNTIF(U$11:U85,U85)-1),(RANK(U85,U$11:U$368,1)+COUNTIF(U$11:U85,U85)-1)))</f>
        <v>42</v>
      </c>
      <c r="W85" s="185"/>
      <c r="X85" s="38" t="str">
        <f>IF(L85="","",VLOOKUP($L85,classifications!$C:$J,6,FALSE))</f>
        <v xml:space="preserve">Largely Rural (rural including hub towns 50-79%) </v>
      </c>
      <c r="Y85" s="26" t="str">
        <f t="shared" si="31"/>
        <v/>
      </c>
      <c r="Z85" s="34" t="str">
        <f>IF(Y85="","",IF(I$8="A",(RANK(Y85,Y$11:Y$368,1)+COUNTIF(Y$11:Y85,Y85)-1),(RANK(Y85,Y$11:Y$368)+COUNTIF(Y$11:Y85,Y85)-1)))</f>
        <v/>
      </c>
      <c r="AA85" s="188" t="str">
        <f>IF(L85="","",VLOOKUP($L85,classifications!C:I,7,FALSE))</f>
        <v>Predominantly Rural</v>
      </c>
      <c r="AB85" s="184">
        <f t="shared" si="39"/>
        <v>82.24698005383091</v>
      </c>
      <c r="AC85" s="184">
        <f>IF(AB85="","",IF($I$8="A",(RANK(AB85,AB$11:AB$368)+COUNTIF(AB$11:AB85,AB85)-1),(RANK(AB85,AB$11:AB$368,1)+COUNTIF(AB$11:AB85,AB85)-1)))</f>
        <v>41</v>
      </c>
      <c r="AD85" s="184"/>
      <c r="AE85" s="28" t="str">
        <f t="shared" si="24"/>
        <v/>
      </c>
      <c r="AG85" s="96"/>
      <c r="AH85" s="29"/>
      <c r="AI85" s="38" t="str">
        <f>IF(L85="","",VLOOKUP($L85,classifications!$C:$J,8,FALSE))</f>
        <v>East Sussex</v>
      </c>
      <c r="AJ85" s="39" t="str">
        <f t="shared" si="32"/>
        <v/>
      </c>
      <c r="AK85" s="34" t="str">
        <f>IF(AJ85="","",IF(I$8="A",(RANK(AJ85,AJ$11:AJ$368,1)+COUNTIF(AJ$11:AJ85,AJ85)-1),(RANK(AJ85,AJ$11:AJ$368)+COUNTIF(AJ$11:AJ85,AJ85)-1)))</f>
        <v/>
      </c>
      <c r="AL85" s="29" t="str">
        <f t="shared" si="40"/>
        <v/>
      </c>
      <c r="AM85" s="8" t="str">
        <f t="shared" si="33"/>
        <v/>
      </c>
      <c r="AN85" s="8" t="str">
        <f t="shared" si="41"/>
        <v/>
      </c>
      <c r="AP85" s="38" t="str">
        <f>IF(L85="","",VLOOKUP($L85,classifications!$C:$E,3,FALSE))</f>
        <v>South East</v>
      </c>
      <c r="AQ85" s="39" t="str">
        <f t="shared" si="42"/>
        <v/>
      </c>
      <c r="AR85" s="34" t="str">
        <f>IF(AQ85="","",IF(I$8="A",(RANK(AQ85,AQ$11:AQ$368,1)+COUNTIF(AQ$11:AQ85,AQ85)-1),(RANK(AQ85,AQ$11:AQ$368)+COUNTIF(AQ$11:AQ85,AQ85)-1)))</f>
        <v/>
      </c>
      <c r="AS85" s="29" t="str">
        <f t="shared" si="43"/>
        <v/>
      </c>
      <c r="AT85" s="34" t="str">
        <f t="shared" si="34"/>
        <v/>
      </c>
      <c r="AU85" s="39" t="str">
        <f t="shared" si="48"/>
        <v/>
      </c>
      <c r="AX85" s="21">
        <f>HLOOKUP($AX$9&amp;$AX$10,Data!$A$1:$ZZ$2000,(MATCH($C85,Data!$A$1:$A$2000,0)),FALSE)</f>
        <v>83.013741593227948</v>
      </c>
      <c r="AY85" s="103"/>
      <c r="AZ85" s="21"/>
    </row>
    <row r="86" spans="1:52">
      <c r="A86" s="56" t="str">
        <f>$D$1&amp;76</f>
        <v>SD76</v>
      </c>
      <c r="B86" s="57" t="str">
        <f>IF(ISERROR(VLOOKUP(A86,classifications!A:C,3,FALSE)),0,VLOOKUP(A86,classifications!A:C,3,FALSE))</f>
        <v>Waveney</v>
      </c>
      <c r="C86" s="8" t="s">
        <v>264</v>
      </c>
      <c r="D86" s="26" t="str">
        <f>VLOOKUP($C86,classifications!$C:$J,4,FALSE)</f>
        <v>UA</v>
      </c>
      <c r="E86" s="26">
        <f>VLOOKUP(C86,classifications!C:K,9,FALSE)</f>
        <v>0</v>
      </c>
      <c r="F86" s="36">
        <f t="shared" si="26"/>
        <v>85.167822935906187</v>
      </c>
      <c r="G86" s="71"/>
      <c r="H86" s="37" t="str">
        <f t="shared" si="27"/>
        <v/>
      </c>
      <c r="I86" s="77" t="str">
        <f>IF(H86="","",IF($I$8="A",(RANK(H86,H$11:H$368,1)+COUNTIF(H$11:H86,H86)-1),(RANK(H86,H$11:H$368)+COUNTIF(H$11:H86,H86)-1)))</f>
        <v/>
      </c>
      <c r="J86" s="35"/>
      <c r="K86" s="28">
        <f t="shared" si="35"/>
        <v>76</v>
      </c>
      <c r="L86" s="36" t="str">
        <f t="shared" si="28"/>
        <v>Dover</v>
      </c>
      <c r="M86" s="102">
        <f t="shared" si="36"/>
        <v>82.037877068464695</v>
      </c>
      <c r="N86" s="101">
        <f t="shared" si="37"/>
        <v>82.037877068464695</v>
      </c>
      <c r="O86" s="94" t="str">
        <f t="shared" si="29"/>
        <v/>
      </c>
      <c r="P86" s="94">
        <f t="shared" si="45"/>
        <v>82.037877068464695</v>
      </c>
      <c r="Q86" s="94" t="str">
        <f t="shared" si="46"/>
        <v/>
      </c>
      <c r="R86" s="90" t="str">
        <f t="shared" si="47"/>
        <v/>
      </c>
      <c r="S86" s="37" t="str">
        <f t="shared" si="38"/>
        <v/>
      </c>
      <c r="T86" s="176">
        <f>IF(L86="","",VLOOKUP(L86,classifications!C:K,9,FALSE))</f>
        <v>0</v>
      </c>
      <c r="U86" s="183" t="str">
        <f t="shared" si="30"/>
        <v/>
      </c>
      <c r="V86" s="184" t="str">
        <f>IF(U86="","",IF($I$8="A",(RANK(U86,U$11:U$368)+COUNTIF(U$11:U86,U86)-1),(RANK(U86,U$11:U$368,1)+COUNTIF(U$11:U86,U86)-1)))</f>
        <v/>
      </c>
      <c r="W86" s="185"/>
      <c r="X86" s="38" t="str">
        <f>IF(L86="","",VLOOKUP($L86,classifications!$C:$J,6,FALSE))</f>
        <v>Urban with Significant Rural (rural including hub towns 26-49%)</v>
      </c>
      <c r="Y86" s="26" t="str">
        <f t="shared" si="31"/>
        <v/>
      </c>
      <c r="Z86" s="34" t="str">
        <f>IF(Y86="","",IF(I$8="A",(RANK(Y86,Y$11:Y$368,1)+COUNTIF(Y$11:Y86,Y86)-1),(RANK(Y86,Y$11:Y$368)+COUNTIF(Y$11:Y86,Y86)-1)))</f>
        <v/>
      </c>
      <c r="AA86" s="188" t="str">
        <f>IF(L86="","",VLOOKUP($L86,classifications!C:I,7,FALSE))</f>
        <v>Significant Rural</v>
      </c>
      <c r="AB86" s="184" t="str">
        <f t="shared" si="39"/>
        <v/>
      </c>
      <c r="AC86" s="184" t="str">
        <f>IF(AB86="","",IF($I$8="A",(RANK(AB86,AB$11:AB$368)+COUNTIF(AB$11:AB86,AB86)-1),(RANK(AB86,AB$11:AB$368,1)+COUNTIF(AB$11:AB86,AB86)-1)))</f>
        <v/>
      </c>
      <c r="AD86" s="184"/>
      <c r="AE86" s="28" t="str">
        <f t="shared" si="24"/>
        <v/>
      </c>
      <c r="AG86" s="96"/>
      <c r="AH86" s="29"/>
      <c r="AI86" s="38" t="str">
        <f>IF(L86="","",VLOOKUP($L86,classifications!$C:$J,8,FALSE))</f>
        <v>Kent</v>
      </c>
      <c r="AJ86" s="39" t="str">
        <f t="shared" si="32"/>
        <v/>
      </c>
      <c r="AK86" s="34" t="str">
        <f>IF(AJ86="","",IF(I$8="A",(RANK(AJ86,AJ$11:AJ$368,1)+COUNTIF(AJ$11:AJ86,AJ86)-1),(RANK(AJ86,AJ$11:AJ$368)+COUNTIF(AJ$11:AJ86,AJ86)-1)))</f>
        <v/>
      </c>
      <c r="AL86" s="29" t="str">
        <f t="shared" si="40"/>
        <v/>
      </c>
      <c r="AM86" s="8" t="str">
        <f t="shared" si="33"/>
        <v/>
      </c>
      <c r="AN86" s="8" t="str">
        <f t="shared" si="41"/>
        <v/>
      </c>
      <c r="AP86" s="38" t="str">
        <f>IF(L86="","",VLOOKUP($L86,classifications!$C:$E,3,FALSE))</f>
        <v>South East</v>
      </c>
      <c r="AQ86" s="39" t="str">
        <f t="shared" si="42"/>
        <v/>
      </c>
      <c r="AR86" s="34" t="str">
        <f>IF(AQ86="","",IF(I$8="A",(RANK(AQ86,AQ$11:AQ$368,1)+COUNTIF(AQ$11:AQ86,AQ86)-1),(RANK(AQ86,AQ$11:AQ$368)+COUNTIF(AQ$11:AQ86,AQ86)-1)))</f>
        <v/>
      </c>
      <c r="AS86" s="29" t="str">
        <f t="shared" si="43"/>
        <v/>
      </c>
      <c r="AT86" s="34" t="str">
        <f t="shared" si="34"/>
        <v/>
      </c>
      <c r="AU86" s="39" t="str">
        <f t="shared" si="48"/>
        <v/>
      </c>
      <c r="AX86" s="21">
        <f>HLOOKUP($AX$9&amp;$AX$10,Data!$A$1:$ZZ$2000,(MATCH($C86,Data!$A$1:$A$2000,0)),FALSE)</f>
        <v>85.167822935906187</v>
      </c>
      <c r="AY86" s="103"/>
      <c r="AZ86" s="21"/>
    </row>
    <row r="87" spans="1:52">
      <c r="A87" s="56" t="str">
        <f>$D$1&amp;77</f>
        <v>SD77</v>
      </c>
      <c r="B87" s="57" t="str">
        <f>IF(ISERROR(VLOOKUP(A87,classifications!A:C,3,FALSE)),0,VLOOKUP(A87,classifications!A:C,3,FALSE))</f>
        <v>Wealden</v>
      </c>
      <c r="C87" s="8" t="s">
        <v>48</v>
      </c>
      <c r="D87" s="26" t="str">
        <f>VLOOKUP($C87,classifications!$C:$J,4,FALSE)</f>
        <v>SD</v>
      </c>
      <c r="E87" s="26">
        <f>VLOOKUP(C87,classifications!C:K,9,FALSE)</f>
        <v>0</v>
      </c>
      <c r="F87" s="36">
        <f t="shared" si="26"/>
        <v>81.981863208624958</v>
      </c>
      <c r="G87" s="71"/>
      <c r="H87" s="37">
        <f t="shared" si="27"/>
        <v>81.981863208624958</v>
      </c>
      <c r="I87" s="77">
        <f>IF(H87="","",IF($I$8="A",(RANK(H87,H$11:H$368,1)+COUNTIF(H$11:H87,H87)-1),(RANK(H87,H$11:H$368)+COUNTIF(H$11:H87,H87)-1)))</f>
        <v>78</v>
      </c>
      <c r="J87" s="35"/>
      <c r="K87" s="28">
        <f t="shared" si="35"/>
        <v>77</v>
      </c>
      <c r="L87" s="36" t="str">
        <f t="shared" si="28"/>
        <v>Thanet</v>
      </c>
      <c r="M87" s="102">
        <f t="shared" si="36"/>
        <v>82.007260096217237</v>
      </c>
      <c r="N87" s="101">
        <f t="shared" si="37"/>
        <v>82.007260096217237</v>
      </c>
      <c r="O87" s="94" t="str">
        <f t="shared" si="29"/>
        <v/>
      </c>
      <c r="P87" s="94">
        <f t="shared" si="45"/>
        <v>82.007260096217237</v>
      </c>
      <c r="Q87" s="94" t="str">
        <f t="shared" si="46"/>
        <v/>
      </c>
      <c r="R87" s="90" t="str">
        <f t="shared" si="47"/>
        <v/>
      </c>
      <c r="S87" s="37" t="str">
        <f t="shared" si="38"/>
        <v/>
      </c>
      <c r="T87" s="176">
        <f>IF(L87="","",VLOOKUP(L87,classifications!C:K,9,FALSE))</f>
        <v>0</v>
      </c>
      <c r="U87" s="183" t="str">
        <f t="shared" si="30"/>
        <v/>
      </c>
      <c r="V87" s="184" t="str">
        <f>IF(U87="","",IF($I$8="A",(RANK(U87,U$11:U$368)+COUNTIF(U$11:U87,U87)-1),(RANK(U87,U$11:U$368,1)+COUNTIF(U$11:U87,U87)-1)))</f>
        <v/>
      </c>
      <c r="W87" s="185"/>
      <c r="X87" s="38" t="str">
        <f>IF(L87="","",VLOOKUP($L87,classifications!$C:$J,6,FALSE))</f>
        <v>Urban with City and Town</v>
      </c>
      <c r="Y87" s="26" t="str">
        <f t="shared" si="31"/>
        <v/>
      </c>
      <c r="Z87" s="34" t="str">
        <f>IF(Y87="","",IF(I$8="A",(RANK(Y87,Y$11:Y$368,1)+COUNTIF(Y$11:Y87,Y87)-1),(RANK(Y87,Y$11:Y$368)+COUNTIF(Y$11:Y87,Y87)-1)))</f>
        <v/>
      </c>
      <c r="AA87" s="188" t="str">
        <f>IF(L87="","",VLOOKUP($L87,classifications!C:I,7,FALSE))</f>
        <v>Predominantly Urban</v>
      </c>
      <c r="AB87" s="184" t="str">
        <f t="shared" si="39"/>
        <v/>
      </c>
      <c r="AC87" s="184" t="str">
        <f>IF(AB87="","",IF($I$8="A",(RANK(AB87,AB$11:AB$368)+COUNTIF(AB$11:AB87,AB87)-1),(RANK(AB87,AB$11:AB$368,1)+COUNTIF(AB$11:AB87,AB87)-1)))</f>
        <v/>
      </c>
      <c r="AD87" s="184"/>
      <c r="AE87" s="28" t="str">
        <f t="shared" si="24"/>
        <v/>
      </c>
      <c r="AG87" s="96"/>
      <c r="AH87" s="29"/>
      <c r="AI87" s="38" t="str">
        <f>IF(L87="","",VLOOKUP($L87,classifications!$C:$J,8,FALSE))</f>
        <v>Kent</v>
      </c>
      <c r="AJ87" s="39" t="str">
        <f t="shared" si="32"/>
        <v/>
      </c>
      <c r="AK87" s="34" t="str">
        <f>IF(AJ87="","",IF(I$8="A",(RANK(AJ87,AJ$11:AJ$368,1)+COUNTIF(AJ$11:AJ87,AJ87)-1),(RANK(AJ87,AJ$11:AJ$368)+COUNTIF(AJ$11:AJ87,AJ87)-1)))</f>
        <v/>
      </c>
      <c r="AL87" s="29" t="str">
        <f t="shared" si="40"/>
        <v/>
      </c>
      <c r="AM87" s="8" t="str">
        <f t="shared" si="33"/>
        <v/>
      </c>
      <c r="AN87" s="8" t="str">
        <f t="shared" si="41"/>
        <v/>
      </c>
      <c r="AP87" s="38" t="str">
        <f>IF(L87="","",VLOOKUP($L87,classifications!$C:$E,3,FALSE))</f>
        <v>South East</v>
      </c>
      <c r="AQ87" s="39" t="str">
        <f t="shared" si="42"/>
        <v/>
      </c>
      <c r="AR87" s="34" t="str">
        <f>IF(AQ87="","",IF(I$8="A",(RANK(AQ87,AQ$11:AQ$368,1)+COUNTIF(AQ$11:AQ87,AQ87)-1),(RANK(AQ87,AQ$11:AQ$368)+COUNTIF(AQ$11:AQ87,AQ87)-1)))</f>
        <v/>
      </c>
      <c r="AS87" s="29" t="str">
        <f t="shared" si="43"/>
        <v/>
      </c>
      <c r="AT87" s="34" t="str">
        <f t="shared" si="34"/>
        <v/>
      </c>
      <c r="AU87" s="39" t="str">
        <f t="shared" si="48"/>
        <v/>
      </c>
      <c r="AX87" s="21">
        <f>HLOOKUP($AX$9&amp;$AX$10,Data!$A$1:$ZZ$2000,(MATCH($C87,Data!$A$1:$A$2000,0)),FALSE)</f>
        <v>81.981863208624958</v>
      </c>
      <c r="AY87" s="103"/>
      <c r="AZ87" s="21"/>
    </row>
    <row r="88" spans="1:52">
      <c r="A88" s="56" t="str">
        <f>$D$1&amp;78</f>
        <v>SD78</v>
      </c>
      <c r="B88" s="57" t="str">
        <f>IF(ISERROR(VLOOKUP(A88,classifications!A:C,3,FALSE)),0,VLOOKUP(A88,classifications!A:C,3,FALSE))</f>
        <v>West Devon</v>
      </c>
      <c r="C88" s="8" t="s">
        <v>49</v>
      </c>
      <c r="D88" s="26" t="str">
        <f>VLOOKUP($C88,classifications!$C:$J,4,FALSE)</f>
        <v>SD</v>
      </c>
      <c r="E88" s="26" t="str">
        <f>VLOOKUP(C88,classifications!C:K,9,FALSE)</f>
        <v>Sparse</v>
      </c>
      <c r="F88" s="36">
        <f t="shared" si="26"/>
        <v>78.593721958095685</v>
      </c>
      <c r="G88" s="71"/>
      <c r="H88" s="37">
        <f t="shared" si="27"/>
        <v>78.593721958095685</v>
      </c>
      <c r="I88" s="77">
        <f>IF(H88="","",IF($I$8="A",(RANK(H88,H$11:H$368,1)+COUNTIF(H$11:H88,H88)-1),(RANK(H88,H$11:H$368)+COUNTIF(H$11:H88,H88)-1)))</f>
        <v>147</v>
      </c>
      <c r="J88" s="35"/>
      <c r="K88" s="28">
        <f t="shared" si="35"/>
        <v>78</v>
      </c>
      <c r="L88" s="36" t="str">
        <f t="shared" si="28"/>
        <v>Dartford</v>
      </c>
      <c r="M88" s="102">
        <f t="shared" si="36"/>
        <v>81.981863208624958</v>
      </c>
      <c r="N88" s="101">
        <f t="shared" si="37"/>
        <v>81.981863208624958</v>
      </c>
      <c r="O88" s="94" t="str">
        <f t="shared" si="29"/>
        <v/>
      </c>
      <c r="P88" s="94">
        <f t="shared" si="45"/>
        <v>81.981863208624958</v>
      </c>
      <c r="Q88" s="94" t="str">
        <f t="shared" si="46"/>
        <v/>
      </c>
      <c r="R88" s="90" t="str">
        <f t="shared" si="47"/>
        <v/>
      </c>
      <c r="S88" s="37" t="str">
        <f t="shared" si="38"/>
        <v/>
      </c>
      <c r="T88" s="176">
        <f>IF(L88="","",VLOOKUP(L88,classifications!C:K,9,FALSE))</f>
        <v>0</v>
      </c>
      <c r="U88" s="183" t="str">
        <f t="shared" si="30"/>
        <v/>
      </c>
      <c r="V88" s="184" t="str">
        <f>IF(U88="","",IF($I$8="A",(RANK(U88,U$11:U$368)+COUNTIF(U$11:U88,U88)-1),(RANK(U88,U$11:U$368,1)+COUNTIF(U$11:U88,U88)-1)))</f>
        <v/>
      </c>
      <c r="W88" s="185"/>
      <c r="X88" s="38" t="str">
        <f>IF(L88="","",VLOOKUP($L88,classifications!$C:$J,6,FALSE))</f>
        <v>Urban with Major Conurbation</v>
      </c>
      <c r="Y88" s="26" t="str">
        <f t="shared" si="31"/>
        <v/>
      </c>
      <c r="Z88" s="34" t="str">
        <f>IF(Y88="","",IF(I$8="A",(RANK(Y88,Y$11:Y$368,1)+COUNTIF(Y$11:Y88,Y88)-1),(RANK(Y88,Y$11:Y$368)+COUNTIF(Y$11:Y88,Y88)-1)))</f>
        <v/>
      </c>
      <c r="AA88" s="188" t="str">
        <f>IF(L88="","",VLOOKUP($L88,classifications!C:I,7,FALSE))</f>
        <v>Predominantly Urban</v>
      </c>
      <c r="AB88" s="184" t="str">
        <f t="shared" si="39"/>
        <v/>
      </c>
      <c r="AC88" s="184" t="str">
        <f>IF(AB88="","",IF($I$8="A",(RANK(AB88,AB$11:AB$368)+COUNTIF(AB$11:AB88,AB88)-1),(RANK(AB88,AB$11:AB$368,1)+COUNTIF(AB$11:AB88,AB88)-1)))</f>
        <v/>
      </c>
      <c r="AD88" s="184"/>
      <c r="AE88" s="28" t="str">
        <f t="shared" si="24"/>
        <v/>
      </c>
      <c r="AG88" s="96"/>
      <c r="AH88" s="29"/>
      <c r="AI88" s="38" t="str">
        <f>IF(L88="","",VLOOKUP($L88,classifications!$C:$J,8,FALSE))</f>
        <v>Kent</v>
      </c>
      <c r="AJ88" s="39" t="str">
        <f t="shared" si="32"/>
        <v/>
      </c>
      <c r="AK88" s="34" t="str">
        <f>IF(AJ88="","",IF(I$8="A",(RANK(AJ88,AJ$11:AJ$368,1)+COUNTIF(AJ$11:AJ88,AJ88)-1),(RANK(AJ88,AJ$11:AJ$368)+COUNTIF(AJ$11:AJ88,AJ88)-1)))</f>
        <v/>
      </c>
      <c r="AL88" s="29" t="str">
        <f t="shared" si="40"/>
        <v/>
      </c>
      <c r="AM88" s="8" t="str">
        <f t="shared" si="33"/>
        <v/>
      </c>
      <c r="AN88" s="8" t="str">
        <f t="shared" si="41"/>
        <v/>
      </c>
      <c r="AP88" s="38" t="str">
        <f>IF(L88="","",VLOOKUP($L88,classifications!$C:$E,3,FALSE))</f>
        <v>South East</v>
      </c>
      <c r="AQ88" s="39" t="str">
        <f t="shared" si="42"/>
        <v/>
      </c>
      <c r="AR88" s="34" t="str">
        <f>IF(AQ88="","",IF(I$8="A",(RANK(AQ88,AQ$11:AQ$368,1)+COUNTIF(AQ$11:AQ88,AQ88)-1),(RANK(AQ88,AQ$11:AQ$368)+COUNTIF(AQ$11:AQ88,AQ88)-1)))</f>
        <v/>
      </c>
      <c r="AS88" s="29" t="str">
        <f t="shared" si="43"/>
        <v/>
      </c>
      <c r="AT88" s="34" t="str">
        <f t="shared" si="34"/>
        <v/>
      </c>
      <c r="AU88" s="39" t="str">
        <f t="shared" si="48"/>
        <v/>
      </c>
      <c r="AX88" s="21">
        <f>HLOOKUP($AX$9&amp;$AX$10,Data!$A$1:$ZZ$2000,(MATCH($C88,Data!$A$1:$A$2000,0)),FALSE)</f>
        <v>78.593721958095685</v>
      </c>
      <c r="AY88" s="103"/>
      <c r="AZ88" s="21"/>
    </row>
    <row r="89" spans="1:52">
      <c r="A89" s="56" t="str">
        <f>$D$1&amp;79</f>
        <v>SD79</v>
      </c>
      <c r="B89" s="57" t="str">
        <f>IF(ISERROR(VLOOKUP(A89,classifications!A:C,3,FALSE)),0,VLOOKUP(A89,classifications!A:C,3,FALSE))</f>
        <v>West Lindsey</v>
      </c>
      <c r="C89" s="8" t="s">
        <v>265</v>
      </c>
      <c r="D89" s="26" t="str">
        <f>VLOOKUP($C89,classifications!$C:$J,4,FALSE)</f>
        <v>UA</v>
      </c>
      <c r="E89" s="26">
        <f>VLOOKUP(C89,classifications!C:K,9,FALSE)</f>
        <v>0</v>
      </c>
      <c r="F89" s="36">
        <f t="shared" si="26"/>
        <v>76.657297757635362</v>
      </c>
      <c r="G89" s="71"/>
      <c r="H89" s="37" t="str">
        <f t="shared" si="27"/>
        <v/>
      </c>
      <c r="I89" s="77" t="str">
        <f>IF(H89="","",IF($I$8="A",(RANK(H89,H$11:H$368,1)+COUNTIF(H$11:H89,H89)-1),(RANK(H89,H$11:H$368)+COUNTIF(H$11:H89,H89)-1)))</f>
        <v/>
      </c>
      <c r="J89" s="35"/>
      <c r="K89" s="28">
        <f t="shared" si="35"/>
        <v>79</v>
      </c>
      <c r="L89" s="36" t="str">
        <f t="shared" si="28"/>
        <v>Eastleigh</v>
      </c>
      <c r="M89" s="102">
        <f t="shared" si="36"/>
        <v>81.958114409887827</v>
      </c>
      <c r="N89" s="101">
        <f t="shared" si="37"/>
        <v>81.958114409887827</v>
      </c>
      <c r="O89" s="94" t="str">
        <f t="shared" si="29"/>
        <v/>
      </c>
      <c r="P89" s="94">
        <f t="shared" si="45"/>
        <v>81.958114409887827</v>
      </c>
      <c r="Q89" s="94" t="str">
        <f t="shared" si="46"/>
        <v/>
      </c>
      <c r="R89" s="90" t="str">
        <f t="shared" si="47"/>
        <v/>
      </c>
      <c r="S89" s="37" t="str">
        <f t="shared" si="38"/>
        <v/>
      </c>
      <c r="T89" s="176">
        <f>IF(L89="","",VLOOKUP(L89,classifications!C:K,9,FALSE))</f>
        <v>0</v>
      </c>
      <c r="U89" s="183" t="str">
        <f t="shared" si="30"/>
        <v/>
      </c>
      <c r="V89" s="184" t="str">
        <f>IF(U89="","",IF($I$8="A",(RANK(U89,U$11:U$368)+COUNTIF(U$11:U89,U89)-1),(RANK(U89,U$11:U$368,1)+COUNTIF(U$11:U89,U89)-1)))</f>
        <v/>
      </c>
      <c r="W89" s="185"/>
      <c r="X89" s="38" t="str">
        <f>IF(L89="","",VLOOKUP($L89,classifications!$C:$J,6,FALSE))</f>
        <v>Urban with City and Town</v>
      </c>
      <c r="Y89" s="26" t="str">
        <f t="shared" si="31"/>
        <v/>
      </c>
      <c r="Z89" s="34" t="str">
        <f>IF(Y89="","",IF(I$8="A",(RANK(Y89,Y$11:Y$368,1)+COUNTIF(Y$11:Y89,Y89)-1),(RANK(Y89,Y$11:Y$368)+COUNTIF(Y$11:Y89,Y89)-1)))</f>
        <v/>
      </c>
      <c r="AA89" s="188" t="str">
        <f>IF(L89="","",VLOOKUP($L89,classifications!C:I,7,FALSE))</f>
        <v>Predominantly Urban</v>
      </c>
      <c r="AB89" s="184" t="str">
        <f t="shared" si="39"/>
        <v/>
      </c>
      <c r="AC89" s="184" t="str">
        <f>IF(AB89="","",IF($I$8="A",(RANK(AB89,AB$11:AB$368)+COUNTIF(AB$11:AB89,AB89)-1),(RANK(AB89,AB$11:AB$368,1)+COUNTIF(AB$11:AB89,AB89)-1)))</f>
        <v/>
      </c>
      <c r="AD89" s="184"/>
      <c r="AE89" s="28" t="str">
        <f t="shared" si="24"/>
        <v/>
      </c>
      <c r="AG89" s="96"/>
      <c r="AH89" s="29"/>
      <c r="AI89" s="38" t="str">
        <f>IF(L89="","",VLOOKUP($L89,classifications!$C:$J,8,FALSE))</f>
        <v>Hampshire</v>
      </c>
      <c r="AJ89" s="39" t="str">
        <f t="shared" si="32"/>
        <v/>
      </c>
      <c r="AK89" s="34" t="str">
        <f>IF(AJ89="","",IF(I$8="A",(RANK(AJ89,AJ$11:AJ$368,1)+COUNTIF(AJ$11:AJ89,AJ89)-1),(RANK(AJ89,AJ$11:AJ$368)+COUNTIF(AJ$11:AJ89,AJ89)-1)))</f>
        <v/>
      </c>
      <c r="AL89" s="29" t="str">
        <f t="shared" si="40"/>
        <v/>
      </c>
      <c r="AM89" s="8" t="str">
        <f t="shared" si="33"/>
        <v/>
      </c>
      <c r="AN89" s="8" t="str">
        <f t="shared" si="41"/>
        <v/>
      </c>
      <c r="AP89" s="38" t="str">
        <f>IF(L89="","",VLOOKUP($L89,classifications!$C:$E,3,FALSE))</f>
        <v>South East</v>
      </c>
      <c r="AQ89" s="39" t="str">
        <f t="shared" si="42"/>
        <v/>
      </c>
      <c r="AR89" s="34" t="str">
        <f>IF(AQ89="","",IF(I$8="A",(RANK(AQ89,AQ$11:AQ$368,1)+COUNTIF(AQ$11:AQ89,AQ89)-1),(RANK(AQ89,AQ$11:AQ$368)+COUNTIF(AQ$11:AQ89,AQ89)-1)))</f>
        <v/>
      </c>
      <c r="AS89" s="29" t="str">
        <f t="shared" si="43"/>
        <v/>
      </c>
      <c r="AT89" s="34" t="str">
        <f t="shared" si="34"/>
        <v/>
      </c>
      <c r="AU89" s="39" t="str">
        <f t="shared" si="48"/>
        <v/>
      </c>
      <c r="AX89" s="21">
        <f>HLOOKUP($AX$9&amp;$AX$10,Data!$A$1:$ZZ$2000,(MATCH($C89,Data!$A$1:$A$2000,0)),FALSE)</f>
        <v>76.657297757635362</v>
      </c>
      <c r="AY89" s="103"/>
      <c r="AZ89" s="21"/>
    </row>
    <row r="90" spans="1:52">
      <c r="A90" s="56" t="str">
        <f>$D$1&amp;80</f>
        <v>SD80</v>
      </c>
      <c r="B90" s="57" t="str">
        <f>IF(ISERROR(VLOOKUP(A90,classifications!A:C,3,FALSE)),0,VLOOKUP(A90,classifications!A:C,3,FALSE))</f>
        <v>West Oxfordshire</v>
      </c>
      <c r="C90" s="8" t="s">
        <v>307</v>
      </c>
      <c r="D90" s="26" t="str">
        <f>VLOOKUP($C90,classifications!$C:$J,4,FALSE)</f>
        <v>SC</v>
      </c>
      <c r="E90" s="26" t="str">
        <f>VLOOKUP(C90,classifications!C:K,9,FALSE)</f>
        <v>Sparse</v>
      </c>
      <c r="F90" s="36">
        <f t="shared" si="26"/>
        <v>80.232823513374115</v>
      </c>
      <c r="G90" s="71"/>
      <c r="H90" s="37" t="str">
        <f t="shared" si="27"/>
        <v/>
      </c>
      <c r="I90" s="77" t="str">
        <f>IF(H90="","",IF($I$8="A",(RANK(H90,H$11:H$368,1)+COUNTIF(H$11:H90,H90)-1),(RANK(H90,H$11:H$368)+COUNTIF(H$11:H90,H90)-1)))</f>
        <v/>
      </c>
      <c r="J90" s="35"/>
      <c r="K90" s="28">
        <f t="shared" si="35"/>
        <v>80</v>
      </c>
      <c r="L90" s="36" t="str">
        <f t="shared" si="28"/>
        <v>Epping Forest</v>
      </c>
      <c r="M90" s="102">
        <f t="shared" si="36"/>
        <v>81.927842885542788</v>
      </c>
      <c r="N90" s="101">
        <f t="shared" si="37"/>
        <v>81.927842885542788</v>
      </c>
      <c r="O90" s="94" t="str">
        <f t="shared" si="29"/>
        <v/>
      </c>
      <c r="P90" s="94">
        <f t="shared" si="45"/>
        <v>81.927842885542788</v>
      </c>
      <c r="Q90" s="94" t="str">
        <f t="shared" si="46"/>
        <v/>
      </c>
      <c r="R90" s="90" t="str">
        <f t="shared" si="47"/>
        <v/>
      </c>
      <c r="S90" s="37" t="str">
        <f t="shared" si="38"/>
        <v/>
      </c>
      <c r="T90" s="176">
        <f>IF(L90="","",VLOOKUP(L90,classifications!C:K,9,FALSE))</f>
        <v>0</v>
      </c>
      <c r="U90" s="183" t="str">
        <f t="shared" si="30"/>
        <v/>
      </c>
      <c r="V90" s="184" t="str">
        <f>IF(U90="","",IF($I$8="A",(RANK(U90,U$11:U$368)+COUNTIF(U$11:U90,U90)-1),(RANK(U90,U$11:U$368,1)+COUNTIF(U$11:U90,U90)-1)))</f>
        <v/>
      </c>
      <c r="W90" s="185"/>
      <c r="X90" s="38" t="str">
        <f>IF(L90="","",VLOOKUP($L90,classifications!$C:$J,6,FALSE))</f>
        <v>Urban with Significant Rural (rural including hub towns 26-49%)</v>
      </c>
      <c r="Y90" s="26" t="str">
        <f t="shared" si="31"/>
        <v/>
      </c>
      <c r="Z90" s="34" t="str">
        <f>IF(Y90="","",IF(I$8="A",(RANK(Y90,Y$11:Y$368,1)+COUNTIF(Y$11:Y90,Y90)-1),(RANK(Y90,Y$11:Y$368)+COUNTIF(Y$11:Y90,Y90)-1)))</f>
        <v/>
      </c>
      <c r="AA90" s="188" t="str">
        <f>IF(L90="","",VLOOKUP($L90,classifications!C:I,7,FALSE))</f>
        <v>Significant Rural</v>
      </c>
      <c r="AB90" s="184" t="str">
        <f t="shared" si="39"/>
        <v/>
      </c>
      <c r="AC90" s="184" t="str">
        <f>IF(AB90="","",IF($I$8="A",(RANK(AB90,AB$11:AB$368)+COUNTIF(AB$11:AB90,AB90)-1),(RANK(AB90,AB$11:AB$368,1)+COUNTIF(AB$11:AB90,AB90)-1)))</f>
        <v/>
      </c>
      <c r="AD90" s="184"/>
      <c r="AE90" s="28" t="str">
        <f t="shared" si="24"/>
        <v/>
      </c>
      <c r="AG90" s="96"/>
      <c r="AH90" s="29"/>
      <c r="AI90" s="38" t="str">
        <f>IF(L90="","",VLOOKUP($L90,classifications!$C:$J,8,FALSE))</f>
        <v>Essex</v>
      </c>
      <c r="AJ90" s="39" t="str">
        <f t="shared" si="32"/>
        <v/>
      </c>
      <c r="AK90" s="34" t="str">
        <f>IF(AJ90="","",IF(I$8="A",(RANK(AJ90,AJ$11:AJ$368,1)+COUNTIF(AJ$11:AJ90,AJ90)-1),(RANK(AJ90,AJ$11:AJ$368)+COUNTIF(AJ$11:AJ90,AJ90)-1)))</f>
        <v/>
      </c>
      <c r="AL90" s="29" t="str">
        <f t="shared" si="40"/>
        <v/>
      </c>
      <c r="AM90" s="8" t="str">
        <f t="shared" si="33"/>
        <v/>
      </c>
      <c r="AN90" s="8" t="str">
        <f t="shared" si="41"/>
        <v/>
      </c>
      <c r="AP90" s="38" t="str">
        <f>IF(L90="","",VLOOKUP($L90,classifications!$C:$E,3,FALSE))</f>
        <v>East of England</v>
      </c>
      <c r="AQ90" s="39" t="str">
        <f t="shared" si="42"/>
        <v/>
      </c>
      <c r="AR90" s="34" t="str">
        <f>IF(AQ90="","",IF(I$8="A",(RANK(AQ90,AQ$11:AQ$368,1)+COUNTIF(AQ$11:AQ90,AQ90)-1),(RANK(AQ90,AQ$11:AQ$368)+COUNTIF(AQ$11:AQ90,AQ90)-1)))</f>
        <v/>
      </c>
      <c r="AS90" s="29" t="str">
        <f t="shared" si="43"/>
        <v/>
      </c>
      <c r="AT90" s="34" t="str">
        <f t="shared" si="34"/>
        <v/>
      </c>
      <c r="AU90" s="39" t="str">
        <f t="shared" si="48"/>
        <v/>
      </c>
      <c r="AX90" s="21">
        <f>HLOOKUP($AX$9&amp;$AX$10,Data!$A$1:$ZZ$2000,(MATCH($C90,Data!$A$1:$A$2000,0)),FALSE)</f>
        <v>80.232823513374115</v>
      </c>
      <c r="AY90" s="103"/>
      <c r="AZ90" s="21"/>
    </row>
    <row r="91" spans="1:52">
      <c r="A91" s="56" t="str">
        <f>$D$1&amp;81</f>
        <v>SD81</v>
      </c>
      <c r="B91" s="57" t="str">
        <f>IF(ISERROR(VLOOKUP(A91,classifications!A:C,3,FALSE)),0,VLOOKUP(A91,classifications!A:C,3,FALSE))</f>
        <v>West Somerset</v>
      </c>
      <c r="C91" s="8" t="s">
        <v>50</v>
      </c>
      <c r="D91" s="26" t="str">
        <f>VLOOKUP($C91,classifications!$C:$J,4,FALSE)</f>
        <v>SD</v>
      </c>
      <c r="E91" s="26" t="str">
        <f>VLOOKUP(C91,classifications!C:K,9,FALSE)</f>
        <v>Sparse</v>
      </c>
      <c r="F91" s="36">
        <f t="shared" si="26"/>
        <v>85.843279685738466</v>
      </c>
      <c r="G91" s="71"/>
      <c r="H91" s="37">
        <f t="shared" si="27"/>
        <v>85.843279685738466</v>
      </c>
      <c r="I91" s="77">
        <f>IF(H91="","",IF($I$8="A",(RANK(H91,H$11:H$368,1)+COUNTIF(H$11:H91,H91)-1),(RANK(H91,H$11:H$368)+COUNTIF(H$11:H91,H91)-1)))</f>
        <v>22</v>
      </c>
      <c r="J91" s="35"/>
      <c r="K91" s="28">
        <f t="shared" si="35"/>
        <v>81</v>
      </c>
      <c r="L91" s="36" t="str">
        <f t="shared" si="28"/>
        <v>Wychavon</v>
      </c>
      <c r="M91" s="102">
        <f t="shared" si="36"/>
        <v>81.876495715951663</v>
      </c>
      <c r="N91" s="101">
        <f t="shared" si="37"/>
        <v>81.876495715951663</v>
      </c>
      <c r="O91" s="94" t="str">
        <f t="shared" si="29"/>
        <v/>
      </c>
      <c r="P91" s="94">
        <f t="shared" si="45"/>
        <v>81.876495715951663</v>
      </c>
      <c r="Q91" s="94" t="str">
        <f t="shared" si="46"/>
        <v/>
      </c>
      <c r="R91" s="90" t="str">
        <f t="shared" si="47"/>
        <v/>
      </c>
      <c r="S91" s="37" t="str">
        <f t="shared" si="38"/>
        <v/>
      </c>
      <c r="T91" s="176" t="str">
        <f>IF(L91="","",VLOOKUP(L91,classifications!C:K,9,FALSE))</f>
        <v>Sparse</v>
      </c>
      <c r="U91" s="183">
        <f t="shared" si="30"/>
        <v>81.876495715951663</v>
      </c>
      <c r="V91" s="184">
        <f>IF(U91="","",IF($I$8="A",(RANK(U91,U$11:U$368)+COUNTIF(U$11:U91,U91)-1),(RANK(U91,U$11:U$368,1)+COUNTIF(U$11:U91,U91)-1)))</f>
        <v>41</v>
      </c>
      <c r="W91" s="185"/>
      <c r="X91" s="38" t="str">
        <f>IF(L91="","",VLOOKUP($L91,classifications!$C:$J,6,FALSE))</f>
        <v xml:space="preserve">Mainly Rural (rural including hub towns &gt;=80%) </v>
      </c>
      <c r="Y91" s="26">
        <f t="shared" si="31"/>
        <v>81.876495715951663</v>
      </c>
      <c r="Z91" s="34">
        <f>IF(Y91="","",IF(I$8="A",(RANK(Y91,Y$11:Y$368,1)+COUNTIF(Y$11:Y91,Y91)-1),(RANK(Y91,Y$11:Y$368)+COUNTIF(Y$11:Y91,Y91)-1)))</f>
        <v>20</v>
      </c>
      <c r="AA91" s="188" t="str">
        <f>IF(L91="","",VLOOKUP($L91,classifications!C:I,7,FALSE))</f>
        <v>Predominantly Rural</v>
      </c>
      <c r="AB91" s="184">
        <f t="shared" si="39"/>
        <v>81.876495715951663</v>
      </c>
      <c r="AC91" s="184">
        <f>IF(AB91="","",IF($I$8="A",(RANK(AB91,AB$11:AB$368)+COUNTIF(AB$11:AB91,AB91)-1),(RANK(AB91,AB$11:AB$368,1)+COUNTIF(AB$11:AB91,AB91)-1)))</f>
        <v>40</v>
      </c>
      <c r="AD91" s="184"/>
      <c r="AE91" s="28" t="str">
        <f t="shared" si="24"/>
        <v/>
      </c>
      <c r="AG91" s="96"/>
      <c r="AH91" s="29"/>
      <c r="AI91" s="38" t="str">
        <f>IF(L91="","",VLOOKUP($L91,classifications!$C:$J,8,FALSE))</f>
        <v>Worcestershire</v>
      </c>
      <c r="AJ91" s="39" t="str">
        <f t="shared" si="32"/>
        <v/>
      </c>
      <c r="AK91" s="34" t="str">
        <f>IF(AJ91="","",IF(I$8="A",(RANK(AJ91,AJ$11:AJ$368,1)+COUNTIF(AJ$11:AJ91,AJ91)-1),(RANK(AJ91,AJ$11:AJ$368)+COUNTIF(AJ$11:AJ91,AJ91)-1)))</f>
        <v/>
      </c>
      <c r="AL91" s="29" t="str">
        <f t="shared" si="40"/>
        <v/>
      </c>
      <c r="AM91" s="8" t="str">
        <f t="shared" si="33"/>
        <v/>
      </c>
      <c r="AN91" s="8" t="str">
        <f t="shared" si="41"/>
        <v/>
      </c>
      <c r="AP91" s="38" t="str">
        <f>IF(L91="","",VLOOKUP($L91,classifications!$C:$E,3,FALSE))</f>
        <v>West Midlands</v>
      </c>
      <c r="AQ91" s="39" t="str">
        <f t="shared" si="42"/>
        <v/>
      </c>
      <c r="AR91" s="34" t="str">
        <f>IF(AQ91="","",IF(I$8="A",(RANK(AQ91,AQ$11:AQ$368,1)+COUNTIF(AQ$11:AQ91,AQ91)-1),(RANK(AQ91,AQ$11:AQ$368)+COUNTIF(AQ$11:AQ91,AQ91)-1)))</f>
        <v/>
      </c>
      <c r="AS91" s="29" t="str">
        <f t="shared" si="43"/>
        <v/>
      </c>
      <c r="AT91" s="34" t="str">
        <f t="shared" si="34"/>
        <v/>
      </c>
      <c r="AU91" s="39" t="str">
        <f t="shared" si="48"/>
        <v/>
      </c>
      <c r="AX91" s="21">
        <f>HLOOKUP($AX$9&amp;$AX$10,Data!$A$1:$ZZ$2000,(MATCH($C91,Data!$A$1:$A$2000,0)),FALSE)</f>
        <v>85.843279685738466</v>
      </c>
      <c r="AY91" s="103"/>
      <c r="AZ91" s="21"/>
    </row>
    <row r="92" spans="1:52">
      <c r="A92" s="56" t="str">
        <f>$D$1&amp;82</f>
        <v>SD82</v>
      </c>
      <c r="B92" s="57" t="str">
        <f>IF(ISERROR(VLOOKUP(A92,classifications!A:C,3,FALSE)),0,VLOOKUP(A92,classifications!A:C,3,FALSE))</f>
        <v>West Suffolk</v>
      </c>
      <c r="C92" s="8" t="s">
        <v>308</v>
      </c>
      <c r="D92" s="26" t="str">
        <f>VLOOKUP($C92,classifications!$C:$J,4,FALSE)</f>
        <v>SC</v>
      </c>
      <c r="E92" s="26" t="str">
        <f>VLOOKUP(C92,classifications!C:K,9,FALSE)</f>
        <v>Sparse</v>
      </c>
      <c r="F92" s="36">
        <f t="shared" si="26"/>
        <v>84.445711528806413</v>
      </c>
      <c r="G92" s="71"/>
      <c r="H92" s="37" t="str">
        <f t="shared" si="27"/>
        <v/>
      </c>
      <c r="I92" s="77" t="str">
        <f>IF(H92="","",IF($I$8="A",(RANK(H92,H$11:H$368,1)+COUNTIF(H$11:H92,H92)-1),(RANK(H92,H$11:H$368)+COUNTIF(H$11:H92,H92)-1)))</f>
        <v/>
      </c>
      <c r="J92" s="35"/>
      <c r="K92" s="28">
        <f t="shared" si="35"/>
        <v>82</v>
      </c>
      <c r="L92" s="36" t="str">
        <f t="shared" si="28"/>
        <v>Barrow-in-Furness</v>
      </c>
      <c r="M92" s="102">
        <f t="shared" si="36"/>
        <v>81.833029922135211</v>
      </c>
      <c r="N92" s="101">
        <f t="shared" si="37"/>
        <v>81.833029922135211</v>
      </c>
      <c r="O92" s="94" t="str">
        <f t="shared" si="29"/>
        <v/>
      </c>
      <c r="P92" s="94">
        <f t="shared" si="45"/>
        <v>81.833029922135211</v>
      </c>
      <c r="Q92" s="94" t="str">
        <f t="shared" si="46"/>
        <v/>
      </c>
      <c r="R92" s="90" t="str">
        <f t="shared" si="47"/>
        <v/>
      </c>
      <c r="S92" s="37" t="str">
        <f t="shared" si="38"/>
        <v/>
      </c>
      <c r="T92" s="176">
        <f>IF(L92="","",VLOOKUP(L92,classifications!C:K,9,FALSE))</f>
        <v>0</v>
      </c>
      <c r="U92" s="183" t="str">
        <f t="shared" si="30"/>
        <v/>
      </c>
      <c r="V92" s="184" t="str">
        <f>IF(U92="","",IF($I$8="A",(RANK(U92,U$11:U$368)+COUNTIF(U$11:U92,U92)-1),(RANK(U92,U$11:U$368,1)+COUNTIF(U$11:U92,U92)-1)))</f>
        <v/>
      </c>
      <c r="W92" s="185"/>
      <c r="X92" s="38" t="str">
        <f>IF(L92="","",VLOOKUP($L92,classifications!$C:$J,6,FALSE))</f>
        <v>Urban with Significant Rural (rural including hub towns 26-49%)</v>
      </c>
      <c r="Y92" s="26" t="str">
        <f t="shared" si="31"/>
        <v/>
      </c>
      <c r="Z92" s="34" t="str">
        <f>IF(Y92="","",IF(I$8="A",(RANK(Y92,Y$11:Y$368,1)+COUNTIF(Y$11:Y92,Y92)-1),(RANK(Y92,Y$11:Y$368)+COUNTIF(Y$11:Y92,Y92)-1)))</f>
        <v/>
      </c>
      <c r="AA92" s="188" t="str">
        <f>IF(L92="","",VLOOKUP($L92,classifications!C:I,7,FALSE))</f>
        <v>Significant Rural</v>
      </c>
      <c r="AB92" s="184" t="str">
        <f t="shared" si="39"/>
        <v/>
      </c>
      <c r="AC92" s="184" t="str">
        <f>IF(AB92="","",IF($I$8="A",(RANK(AB92,AB$11:AB$368)+COUNTIF(AB$11:AB92,AB92)-1),(RANK(AB92,AB$11:AB$368,1)+COUNTIF(AB$11:AB92,AB92)-1)))</f>
        <v/>
      </c>
      <c r="AD92" s="184"/>
      <c r="AE92" s="28" t="str">
        <f t="shared" si="24"/>
        <v/>
      </c>
      <c r="AG92" s="96"/>
      <c r="AH92" s="29"/>
      <c r="AI92" s="38" t="str">
        <f>IF(L92="","",VLOOKUP($L92,classifications!$C:$J,8,FALSE))</f>
        <v>Cumbria</v>
      </c>
      <c r="AJ92" s="39">
        <f t="shared" si="32"/>
        <v>81.833029922135211</v>
      </c>
      <c r="AK92" s="34">
        <f>IF(AJ92="","",IF(I$8="A",(RANK(AJ92,AJ$11:AJ$368,1)+COUNTIF(AJ$11:AJ92,AJ92)-1),(RANK(AJ92,AJ$11:AJ$368)+COUNTIF(AJ$11:AJ92,AJ92)-1)))</f>
        <v>3</v>
      </c>
      <c r="AL92" s="29" t="str">
        <f t="shared" si="40"/>
        <v/>
      </c>
      <c r="AM92" s="8" t="str">
        <f t="shared" si="33"/>
        <v/>
      </c>
      <c r="AN92" s="8" t="str">
        <f t="shared" si="41"/>
        <v/>
      </c>
      <c r="AP92" s="38" t="str">
        <f>IF(L92="","",VLOOKUP($L92,classifications!$C:$E,3,FALSE))</f>
        <v>North West</v>
      </c>
      <c r="AQ92" s="39">
        <f t="shared" si="42"/>
        <v>81.833029922135211</v>
      </c>
      <c r="AR92" s="34">
        <f>IF(AQ92="","",IF(I$8="A",(RANK(AQ92,AQ$11:AQ$368,1)+COUNTIF(AQ$11:AQ92,AQ92)-1),(RANK(AQ92,AQ$11:AQ$368)+COUNTIF(AQ$11:AQ92,AQ92)-1)))</f>
        <v>5</v>
      </c>
      <c r="AS92" s="29" t="str">
        <f t="shared" si="43"/>
        <v/>
      </c>
      <c r="AT92" s="34" t="str">
        <f t="shared" si="34"/>
        <v/>
      </c>
      <c r="AU92" s="39" t="str">
        <f t="shared" si="48"/>
        <v/>
      </c>
      <c r="AX92" s="21">
        <f>HLOOKUP($AX$9&amp;$AX$10,Data!$A$1:$ZZ$2000,(MATCH($C92,Data!$A$1:$A$2000,0)),FALSE)</f>
        <v>84.445711528806413</v>
      </c>
      <c r="AY92" s="103"/>
      <c r="AZ92" s="21"/>
    </row>
    <row r="93" spans="1:52">
      <c r="A93" s="56" t="str">
        <f>$D$1&amp;83</f>
        <v>SD83</v>
      </c>
      <c r="B93" s="57" t="str">
        <f>IF(ISERROR(VLOOKUP(A93,classifications!A:C,3,FALSE)),0,VLOOKUP(A93,classifications!A:C,3,FALSE))</f>
        <v>Wychavon</v>
      </c>
      <c r="C93" s="8" t="s">
        <v>229</v>
      </c>
      <c r="D93" s="26" t="str">
        <f>VLOOKUP($C93,classifications!$C:$J,4,FALSE)</f>
        <v>MD</v>
      </c>
      <c r="E93" s="26">
        <f>VLOOKUP(C93,classifications!C:K,9,FALSE)</f>
        <v>0</v>
      </c>
      <c r="F93" s="36">
        <f t="shared" si="26"/>
        <v>76.735281483078737</v>
      </c>
      <c r="G93" s="71"/>
      <c r="H93" s="37" t="str">
        <f t="shared" si="27"/>
        <v/>
      </c>
      <c r="I93" s="77" t="str">
        <f>IF(H93="","",IF($I$8="A",(RANK(H93,H$11:H$368,1)+COUNTIF(H$11:H93,H93)-1),(RANK(H93,H$11:H$368)+COUNTIF(H$11:H93,H93)-1)))</f>
        <v/>
      </c>
      <c r="J93" s="35"/>
      <c r="K93" s="28">
        <f t="shared" si="35"/>
        <v>83</v>
      </c>
      <c r="L93" s="36" t="str">
        <f t="shared" si="28"/>
        <v>South Somerset</v>
      </c>
      <c r="M93" s="102">
        <f t="shared" si="36"/>
        <v>81.794245862792948</v>
      </c>
      <c r="N93" s="101">
        <f t="shared" si="37"/>
        <v>81.794245862792948</v>
      </c>
      <c r="O93" s="94" t="str">
        <f t="shared" si="29"/>
        <v/>
      </c>
      <c r="P93" s="94">
        <f t="shared" si="45"/>
        <v>81.794245862792948</v>
      </c>
      <c r="Q93" s="94" t="str">
        <f t="shared" si="46"/>
        <v/>
      </c>
      <c r="R93" s="90" t="str">
        <f t="shared" si="47"/>
        <v/>
      </c>
      <c r="S93" s="37" t="str">
        <f t="shared" si="38"/>
        <v/>
      </c>
      <c r="T93" s="176" t="str">
        <f>IF(L93="","",VLOOKUP(L93,classifications!C:K,9,FALSE))</f>
        <v>Sparse</v>
      </c>
      <c r="U93" s="183">
        <f t="shared" si="30"/>
        <v>81.794245862792948</v>
      </c>
      <c r="V93" s="184">
        <f>IF(U93="","",IF($I$8="A",(RANK(U93,U$11:U$368)+COUNTIF(U$11:U93,U93)-1),(RANK(U93,U$11:U$368,1)+COUNTIF(U$11:U93,U93)-1)))</f>
        <v>40</v>
      </c>
      <c r="W93" s="185"/>
      <c r="X93" s="38" t="str">
        <f>IF(L93="","",VLOOKUP($L93,classifications!$C:$J,6,FALSE))</f>
        <v xml:space="preserve">Largely Rural (rural including hub towns 50-79%) </v>
      </c>
      <c r="Y93" s="26" t="str">
        <f t="shared" si="31"/>
        <v/>
      </c>
      <c r="Z93" s="34" t="str">
        <f>IF(Y93="","",IF(I$8="A",(RANK(Y93,Y$11:Y$368,1)+COUNTIF(Y$11:Y93,Y93)-1),(RANK(Y93,Y$11:Y$368)+COUNTIF(Y$11:Y93,Y93)-1)))</f>
        <v/>
      </c>
      <c r="AA93" s="188" t="str">
        <f>IF(L93="","",VLOOKUP($L93,classifications!C:I,7,FALSE))</f>
        <v>Predominantly Rural</v>
      </c>
      <c r="AB93" s="184">
        <f t="shared" si="39"/>
        <v>81.794245862792948</v>
      </c>
      <c r="AC93" s="184">
        <f>IF(AB93="","",IF($I$8="A",(RANK(AB93,AB$11:AB$368)+COUNTIF(AB$11:AB93,AB93)-1),(RANK(AB93,AB$11:AB$368,1)+COUNTIF(AB$11:AB93,AB93)-1)))</f>
        <v>39</v>
      </c>
      <c r="AD93" s="184"/>
      <c r="AE93" s="28" t="str">
        <f t="shared" si="24"/>
        <v/>
      </c>
      <c r="AG93" s="96"/>
      <c r="AH93" s="29"/>
      <c r="AI93" s="38" t="str">
        <f>IF(L93="","",VLOOKUP($L93,classifications!$C:$J,8,FALSE))</f>
        <v>Somerset</v>
      </c>
      <c r="AJ93" s="39" t="str">
        <f t="shared" si="32"/>
        <v/>
      </c>
      <c r="AK93" s="34" t="str">
        <f>IF(AJ93="","",IF(I$8="A",(RANK(AJ93,AJ$11:AJ$368,1)+COUNTIF(AJ$11:AJ93,AJ93)-1),(RANK(AJ93,AJ$11:AJ$368)+COUNTIF(AJ$11:AJ93,AJ93)-1)))</f>
        <v/>
      </c>
      <c r="AL93" s="29" t="str">
        <f t="shared" si="40"/>
        <v/>
      </c>
      <c r="AM93" s="8" t="str">
        <f t="shared" si="33"/>
        <v/>
      </c>
      <c r="AN93" s="8" t="str">
        <f t="shared" si="41"/>
        <v/>
      </c>
      <c r="AP93" s="38" t="str">
        <f>IF(L93="","",VLOOKUP($L93,classifications!$C:$E,3,FALSE))</f>
        <v>South West</v>
      </c>
      <c r="AQ93" s="39" t="str">
        <f t="shared" si="42"/>
        <v/>
      </c>
      <c r="AR93" s="34" t="str">
        <f>IF(AQ93="","",IF(I$8="A",(RANK(AQ93,AQ$11:AQ$368,1)+COUNTIF(AQ$11:AQ93,AQ93)-1),(RANK(AQ93,AQ$11:AQ$368)+COUNTIF(AQ$11:AQ93,AQ93)-1)))</f>
        <v/>
      </c>
      <c r="AS93" s="29" t="str">
        <f t="shared" si="43"/>
        <v/>
      </c>
      <c r="AT93" s="34" t="str">
        <f t="shared" si="34"/>
        <v/>
      </c>
      <c r="AU93" s="39" t="str">
        <f t="shared" si="48"/>
        <v/>
      </c>
      <c r="AX93" s="21">
        <f>HLOOKUP($AX$9&amp;$AX$10,Data!$A$1:$ZZ$2000,(MATCH($C93,Data!$A$1:$A$2000,0)),FALSE)</f>
        <v>76.735281483078737</v>
      </c>
      <c r="AY93" s="103"/>
      <c r="AZ93" s="21"/>
    </row>
    <row r="94" spans="1:52">
      <c r="A94" s="56" t="str">
        <f>$D$1&amp;84</f>
        <v>SD84</v>
      </c>
      <c r="B94" s="57">
        <f>IF(ISERROR(VLOOKUP(A94,classifications!A:C,3,FALSE)),0,VLOOKUP(A94,classifications!A:C,3,FALSE))</f>
        <v>0</v>
      </c>
      <c r="C94" s="8" t="s">
        <v>309</v>
      </c>
      <c r="D94" s="26" t="str">
        <f>VLOOKUP($C94,classifications!$C:$J,4,FALSE)</f>
        <v>SC</v>
      </c>
      <c r="E94" s="26">
        <f>VLOOKUP(C94,classifications!C:K,9,FALSE)</f>
        <v>0</v>
      </c>
      <c r="F94" s="36" t="str">
        <f t="shared" si="26"/>
        <v>-</v>
      </c>
      <c r="G94" s="71"/>
      <c r="H94" s="37" t="str">
        <f t="shared" si="27"/>
        <v/>
      </c>
      <c r="I94" s="77" t="str">
        <f>IF(H94="","",IF($I$8="A",(RANK(H94,H$11:H$368,1)+COUNTIF(H$11:H94,H94)-1),(RANK(H94,H$11:H$368)+COUNTIF(H$11:H94,H94)-1)))</f>
        <v/>
      </c>
      <c r="J94" s="35"/>
      <c r="K94" s="28">
        <f t="shared" si="35"/>
        <v>84</v>
      </c>
      <c r="L94" s="36" t="str">
        <f t="shared" si="28"/>
        <v>Surrey Heath</v>
      </c>
      <c r="M94" s="102">
        <f t="shared" si="36"/>
        <v>81.746156529307754</v>
      </c>
      <c r="N94" s="101">
        <f t="shared" si="37"/>
        <v>81.746156529307754</v>
      </c>
      <c r="O94" s="94" t="str">
        <f t="shared" si="29"/>
        <v/>
      </c>
      <c r="P94" s="94">
        <f t="shared" si="45"/>
        <v>81.746156529307754</v>
      </c>
      <c r="Q94" s="94" t="str">
        <f t="shared" si="46"/>
        <v/>
      </c>
      <c r="R94" s="90" t="str">
        <f t="shared" si="47"/>
        <v/>
      </c>
      <c r="S94" s="37" t="str">
        <f t="shared" si="38"/>
        <v/>
      </c>
      <c r="T94" s="176">
        <f>IF(L94="","",VLOOKUP(L94,classifications!C:K,9,FALSE))</f>
        <v>0</v>
      </c>
      <c r="U94" s="183" t="str">
        <f t="shared" si="30"/>
        <v/>
      </c>
      <c r="V94" s="184" t="str">
        <f>IF(U94="","",IF($I$8="A",(RANK(U94,U$11:U$368)+COUNTIF(U$11:U94,U94)-1),(RANK(U94,U$11:U$368,1)+COUNTIF(U$11:U94,U94)-1)))</f>
        <v/>
      </c>
      <c r="W94" s="185"/>
      <c r="X94" s="38" t="str">
        <f>IF(L94="","",VLOOKUP($L94,classifications!$C:$J,6,FALSE))</f>
        <v>Urban with City and Town</v>
      </c>
      <c r="Y94" s="26" t="str">
        <f t="shared" si="31"/>
        <v/>
      </c>
      <c r="Z94" s="34" t="str">
        <f>IF(Y94="","",IF(I$8="A",(RANK(Y94,Y$11:Y$368,1)+COUNTIF(Y$11:Y94,Y94)-1),(RANK(Y94,Y$11:Y$368)+COUNTIF(Y$11:Y94,Y94)-1)))</f>
        <v/>
      </c>
      <c r="AA94" s="188" t="str">
        <f>IF(L94="","",VLOOKUP($L94,classifications!C:I,7,FALSE))</f>
        <v>Predominantly Urban</v>
      </c>
      <c r="AB94" s="184" t="str">
        <f t="shared" si="39"/>
        <v/>
      </c>
      <c r="AC94" s="184" t="str">
        <f>IF(AB94="","",IF($I$8="A",(RANK(AB94,AB$11:AB$368)+COUNTIF(AB$11:AB94,AB94)-1),(RANK(AB94,AB$11:AB$368,1)+COUNTIF(AB$11:AB94,AB94)-1)))</f>
        <v/>
      </c>
      <c r="AD94" s="184"/>
      <c r="AE94" s="28" t="str">
        <f t="shared" si="24"/>
        <v/>
      </c>
      <c r="AG94" s="96"/>
      <c r="AH94" s="29"/>
      <c r="AI94" s="38" t="str">
        <f>IF(L94="","",VLOOKUP($L94,classifications!$C:$J,8,FALSE))</f>
        <v>Surrey</v>
      </c>
      <c r="AJ94" s="39" t="str">
        <f t="shared" si="32"/>
        <v/>
      </c>
      <c r="AK94" s="34" t="str">
        <f>IF(AJ94="","",IF(I$8="A",(RANK(AJ94,AJ$11:AJ$368,1)+COUNTIF(AJ$11:AJ94,AJ94)-1),(RANK(AJ94,AJ$11:AJ$368)+COUNTIF(AJ$11:AJ94,AJ94)-1)))</f>
        <v/>
      </c>
      <c r="AL94" s="29" t="str">
        <f t="shared" si="40"/>
        <v/>
      </c>
      <c r="AM94" s="8" t="str">
        <f t="shared" si="33"/>
        <v/>
      </c>
      <c r="AN94" s="8" t="str">
        <f t="shared" si="41"/>
        <v/>
      </c>
      <c r="AP94" s="38" t="str">
        <f>IF(L94="","",VLOOKUP($L94,classifications!$C:$E,3,FALSE))</f>
        <v>South East</v>
      </c>
      <c r="AQ94" s="39" t="str">
        <f t="shared" si="42"/>
        <v/>
      </c>
      <c r="AR94" s="34" t="str">
        <f>IF(AQ94="","",IF(I$8="A",(RANK(AQ94,AQ$11:AQ$368,1)+COUNTIF(AQ$11:AQ94,AQ94)-1),(RANK(AQ94,AQ$11:AQ$368)+COUNTIF(AQ$11:AQ94,AQ94)-1)))</f>
        <v/>
      </c>
      <c r="AS94" s="29" t="str">
        <f t="shared" si="43"/>
        <v/>
      </c>
      <c r="AT94" s="34" t="str">
        <f t="shared" si="34"/>
        <v/>
      </c>
      <c r="AU94" s="39" t="str">
        <f t="shared" si="48"/>
        <v/>
      </c>
      <c r="AX94" s="21" t="str">
        <f>HLOOKUP($AX$9&amp;$AX$10,Data!$A$1:$ZZ$2000,(MATCH($C94,Data!$A$1:$A$2000,0)),FALSE)</f>
        <v>-</v>
      </c>
      <c r="AY94" s="103"/>
      <c r="AZ94" s="21"/>
    </row>
    <row r="95" spans="1:52">
      <c r="A95" s="56" t="str">
        <f>$D$1&amp;85</f>
        <v>SD85</v>
      </c>
      <c r="B95" s="57">
        <f>IF(ISERROR(VLOOKUP(A95,classifications!A:C,3,FALSE)),0,VLOOKUP(A95,classifications!A:C,3,FALSE))</f>
        <v>0</v>
      </c>
      <c r="C95" s="8" t="s">
        <v>907</v>
      </c>
      <c r="D95" s="26" t="str">
        <f>VLOOKUP($C95,classifications!$C:$J,4,FALSE)</f>
        <v>UA</v>
      </c>
      <c r="E95" s="26">
        <f>VLOOKUP(C95,classifications!C:K,9,FALSE)</f>
        <v>0</v>
      </c>
      <c r="F95" s="36">
        <f t="shared" si="26"/>
        <v>83.247437355084955</v>
      </c>
      <c r="G95" s="71"/>
      <c r="H95" s="37" t="str">
        <f t="shared" si="27"/>
        <v/>
      </c>
      <c r="I95" s="77" t="str">
        <f>IF(H95="","",IF($I$8="A",(RANK(H95,H$11:H$368,1)+COUNTIF(H$11:H95,H95)-1),(RANK(H95,H$11:H$368)+COUNTIF(H$11:H95,H95)-1)))</f>
        <v/>
      </c>
      <c r="J95" s="35"/>
      <c r="K95" s="28">
        <f t="shared" si="35"/>
        <v>85</v>
      </c>
      <c r="L95" s="36" t="str">
        <f t="shared" si="28"/>
        <v>South Norfolk</v>
      </c>
      <c r="M95" s="102">
        <f t="shared" si="36"/>
        <v>81.740853917601498</v>
      </c>
      <c r="N95" s="101">
        <f t="shared" si="37"/>
        <v>81.740853917601498</v>
      </c>
      <c r="O95" s="94" t="str">
        <f t="shared" si="29"/>
        <v/>
      </c>
      <c r="P95" s="94">
        <f t="shared" si="45"/>
        <v>81.740853917601498</v>
      </c>
      <c r="Q95" s="94" t="str">
        <f t="shared" si="46"/>
        <v/>
      </c>
      <c r="R95" s="90" t="str">
        <f t="shared" si="47"/>
        <v/>
      </c>
      <c r="S95" s="37" t="str">
        <f t="shared" si="38"/>
        <v/>
      </c>
      <c r="T95" s="176" t="str">
        <f>IF(L95="","",VLOOKUP(L95,classifications!C:K,9,FALSE))</f>
        <v>Sparse</v>
      </c>
      <c r="U95" s="183">
        <f t="shared" si="30"/>
        <v>81.740853917601498</v>
      </c>
      <c r="V95" s="184">
        <f>IF(U95="","",IF($I$8="A",(RANK(U95,U$11:U$368)+COUNTIF(U$11:U95,U95)-1),(RANK(U95,U$11:U$368,1)+COUNTIF(U$11:U95,U95)-1)))</f>
        <v>39</v>
      </c>
      <c r="W95" s="185"/>
      <c r="X95" s="38" t="str">
        <f>IF(L95="","",VLOOKUP($L95,classifications!$C:$J,6,FALSE))</f>
        <v xml:space="preserve">Mainly Rural (rural including hub towns &gt;=80%) </v>
      </c>
      <c r="Y95" s="26">
        <f t="shared" si="31"/>
        <v>81.740853917601498</v>
      </c>
      <c r="Z95" s="34">
        <f>IF(Y95="","",IF(I$8="A",(RANK(Y95,Y$11:Y$368,1)+COUNTIF(Y$11:Y95,Y95)-1),(RANK(Y95,Y$11:Y$368)+COUNTIF(Y$11:Y95,Y95)-1)))</f>
        <v>21</v>
      </c>
      <c r="AA95" s="188" t="str">
        <f>IF(L95="","",VLOOKUP($L95,classifications!C:I,7,FALSE))</f>
        <v>Predominantly Rural</v>
      </c>
      <c r="AB95" s="184">
        <f t="shared" si="39"/>
        <v>81.740853917601498</v>
      </c>
      <c r="AC95" s="184">
        <f>IF(AB95="","",IF($I$8="A",(RANK(AB95,AB$11:AB$368)+COUNTIF(AB$11:AB95,AB95)-1),(RANK(AB95,AB$11:AB$368,1)+COUNTIF(AB$11:AB95,AB95)-1)))</f>
        <v>38</v>
      </c>
      <c r="AD95" s="184"/>
      <c r="AE95" s="28" t="str">
        <f t="shared" si="24"/>
        <v/>
      </c>
      <c r="AG95" s="96"/>
      <c r="AH95" s="29"/>
      <c r="AI95" s="38" t="str">
        <f>IF(L95="","",VLOOKUP($L95,classifications!$C:$J,8,FALSE))</f>
        <v>Norfolk</v>
      </c>
      <c r="AJ95" s="39" t="str">
        <f t="shared" si="32"/>
        <v/>
      </c>
      <c r="AK95" s="34" t="str">
        <f>IF(AJ95="","",IF(I$8="A",(RANK(AJ95,AJ$11:AJ$368,1)+COUNTIF(AJ$11:AJ95,AJ95)-1),(RANK(AJ95,AJ$11:AJ$368)+COUNTIF(AJ$11:AJ95,AJ95)-1)))</f>
        <v/>
      </c>
      <c r="AL95" s="29" t="str">
        <f t="shared" si="40"/>
        <v/>
      </c>
      <c r="AM95" s="8" t="str">
        <f t="shared" si="33"/>
        <v/>
      </c>
      <c r="AN95" s="8" t="str">
        <f t="shared" si="41"/>
        <v/>
      </c>
      <c r="AP95" s="38" t="str">
        <f>IF(L95="","",VLOOKUP($L95,classifications!$C:$E,3,FALSE))</f>
        <v>East of England</v>
      </c>
      <c r="AQ95" s="39" t="str">
        <f t="shared" si="42"/>
        <v/>
      </c>
      <c r="AR95" s="34" t="str">
        <f>IF(AQ95="","",IF(I$8="A",(RANK(AQ95,AQ$11:AQ$368,1)+COUNTIF(AQ$11:AQ95,AQ95)-1),(RANK(AQ95,AQ$11:AQ$368)+COUNTIF(AQ$11:AQ95,AQ95)-1)))</f>
        <v/>
      </c>
      <c r="AS95" s="29" t="str">
        <f t="shared" si="43"/>
        <v/>
      </c>
      <c r="AT95" s="34" t="str">
        <f t="shared" si="34"/>
        <v/>
      </c>
      <c r="AU95" s="39" t="str">
        <f t="shared" si="48"/>
        <v/>
      </c>
      <c r="AX95" s="21">
        <f>HLOOKUP($AX$9&amp;$AX$10,Data!$A$1:$ZZ$2000,(MATCH($C95,Data!$A$1:$A$2000,0)),FALSE)</f>
        <v>83.247437355084955</v>
      </c>
      <c r="AY95" s="103"/>
      <c r="AZ95" s="21"/>
    </row>
    <row r="96" spans="1:52">
      <c r="A96" s="56" t="str">
        <f>$D$1&amp;86</f>
        <v>SD86</v>
      </c>
      <c r="B96" s="57">
        <f>IF(ISERROR(VLOOKUP(A96,classifications!A:C,3,FALSE)),0,VLOOKUP(A96,classifications!A:C,3,FALSE))</f>
        <v>0</v>
      </c>
      <c r="C96" s="8" t="s">
        <v>51</v>
      </c>
      <c r="D96" s="26" t="str">
        <f>VLOOKUP($C96,classifications!$C:$J,4,FALSE)</f>
        <v>SD</v>
      </c>
      <c r="E96" s="26">
        <f>VLOOKUP(C96,classifications!C:K,9,FALSE)</f>
        <v>0</v>
      </c>
      <c r="F96" s="36">
        <f t="shared" si="26"/>
        <v>82.037877068464695</v>
      </c>
      <c r="G96" s="71"/>
      <c r="H96" s="37">
        <f t="shared" si="27"/>
        <v>82.037877068464695</v>
      </c>
      <c r="I96" s="77">
        <f>IF(H96="","",IF($I$8="A",(RANK(H96,H$11:H$368,1)+COUNTIF(H$11:H96,H96)-1),(RANK(H96,H$11:H$368)+COUNTIF(H$11:H96,H96)-1)))</f>
        <v>76</v>
      </c>
      <c r="J96" s="35"/>
      <c r="K96" s="28">
        <f t="shared" si="35"/>
        <v>86</v>
      </c>
      <c r="L96" s="36" t="str">
        <f t="shared" si="28"/>
        <v>Wyre Forest</v>
      </c>
      <c r="M96" s="102">
        <f t="shared" si="36"/>
        <v>81.719020609499452</v>
      </c>
      <c r="N96" s="101">
        <f t="shared" si="37"/>
        <v>81.719020609499452</v>
      </c>
      <c r="O96" s="94" t="str">
        <f t="shared" si="29"/>
        <v/>
      </c>
      <c r="P96" s="94">
        <f t="shared" si="45"/>
        <v>81.719020609499452</v>
      </c>
      <c r="Q96" s="94" t="str">
        <f t="shared" si="46"/>
        <v/>
      </c>
      <c r="R96" s="90" t="str">
        <f t="shared" si="47"/>
        <v/>
      </c>
      <c r="S96" s="37" t="str">
        <f t="shared" si="38"/>
        <v/>
      </c>
      <c r="T96" s="176">
        <f>IF(L96="","",VLOOKUP(L96,classifications!C:K,9,FALSE))</f>
        <v>0</v>
      </c>
      <c r="U96" s="183" t="str">
        <f t="shared" si="30"/>
        <v/>
      </c>
      <c r="V96" s="184" t="str">
        <f>IF(U96="","",IF($I$8="A",(RANK(U96,U$11:U$368)+COUNTIF(U$11:U96,U96)-1),(RANK(U96,U$11:U$368,1)+COUNTIF(U$11:U96,U96)-1)))</f>
        <v/>
      </c>
      <c r="W96" s="185"/>
      <c r="X96" s="38" t="str">
        <f>IF(L96="","",VLOOKUP($L96,classifications!$C:$J,6,FALSE))</f>
        <v>Urban with Significant Rural (rural including hub towns 26-49%)</v>
      </c>
      <c r="Y96" s="26" t="str">
        <f t="shared" si="31"/>
        <v/>
      </c>
      <c r="Z96" s="34" t="str">
        <f>IF(Y96="","",IF(I$8="A",(RANK(Y96,Y$11:Y$368,1)+COUNTIF(Y$11:Y96,Y96)-1),(RANK(Y96,Y$11:Y$368)+COUNTIF(Y$11:Y96,Y96)-1)))</f>
        <v/>
      </c>
      <c r="AA96" s="188" t="str">
        <f>IF(L96="","",VLOOKUP($L96,classifications!C:I,7,FALSE))</f>
        <v>Significant Rural</v>
      </c>
      <c r="AB96" s="184" t="str">
        <f t="shared" si="39"/>
        <v/>
      </c>
      <c r="AC96" s="184" t="str">
        <f>IF(AB96="","",IF($I$8="A",(RANK(AB96,AB$11:AB$368)+COUNTIF(AB$11:AB96,AB96)-1),(RANK(AB96,AB$11:AB$368,1)+COUNTIF(AB$11:AB96,AB96)-1)))</f>
        <v/>
      </c>
      <c r="AD96" s="184"/>
      <c r="AE96" s="28" t="str">
        <f t="shared" si="24"/>
        <v/>
      </c>
      <c r="AG96" s="96"/>
      <c r="AH96" s="29"/>
      <c r="AI96" s="38" t="str">
        <f>IF(L96="","",VLOOKUP($L96,classifications!$C:$J,8,FALSE))</f>
        <v>Worcestershire</v>
      </c>
      <c r="AJ96" s="39" t="str">
        <f t="shared" si="32"/>
        <v/>
      </c>
      <c r="AK96" s="34" t="str">
        <f>IF(AJ96="","",IF(I$8="A",(RANK(AJ96,AJ$11:AJ$368,1)+COUNTIF(AJ$11:AJ96,AJ96)-1),(RANK(AJ96,AJ$11:AJ$368)+COUNTIF(AJ$11:AJ96,AJ96)-1)))</f>
        <v/>
      </c>
      <c r="AL96" s="29" t="str">
        <f t="shared" si="40"/>
        <v/>
      </c>
      <c r="AM96" s="8" t="str">
        <f t="shared" si="33"/>
        <v/>
      </c>
      <c r="AN96" s="8" t="str">
        <f t="shared" si="41"/>
        <v/>
      </c>
      <c r="AP96" s="38" t="str">
        <f>IF(L96="","",VLOOKUP($L96,classifications!$C:$E,3,FALSE))</f>
        <v>West Midlands</v>
      </c>
      <c r="AQ96" s="39" t="str">
        <f t="shared" si="42"/>
        <v/>
      </c>
      <c r="AR96" s="34" t="str">
        <f>IF(AQ96="","",IF(I$8="A",(RANK(AQ96,AQ$11:AQ$368,1)+COUNTIF(AQ$11:AQ96,AQ96)-1),(RANK(AQ96,AQ$11:AQ$368)+COUNTIF(AQ$11:AQ96,AQ96)-1)))</f>
        <v/>
      </c>
      <c r="AS96" s="29" t="str">
        <f t="shared" si="43"/>
        <v/>
      </c>
      <c r="AT96" s="34" t="str">
        <f t="shared" si="34"/>
        <v/>
      </c>
      <c r="AU96" s="39" t="str">
        <f t="shared" si="48"/>
        <v/>
      </c>
      <c r="AX96" s="21">
        <f>HLOOKUP($AX$9&amp;$AX$10,Data!$A$1:$ZZ$2000,(MATCH($C96,Data!$A$1:$A$2000,0)),FALSE)</f>
        <v>82.037877068464695</v>
      </c>
      <c r="AY96" s="103"/>
      <c r="AZ96" s="21"/>
    </row>
    <row r="97" spans="1:52">
      <c r="A97" s="56" t="str">
        <f>$D$1&amp;87</f>
        <v>SD87</v>
      </c>
      <c r="B97" s="57">
        <f>IF(ISERROR(VLOOKUP(A97,classifications!A:C,3,FALSE)),0,VLOOKUP(A97,classifications!A:C,3,FALSE))</f>
        <v>0</v>
      </c>
      <c r="C97" s="8" t="s">
        <v>266</v>
      </c>
      <c r="D97" s="26" t="str">
        <f>VLOOKUP($C97,classifications!$C:$J,4,FALSE)</f>
        <v>UA</v>
      </c>
      <c r="E97" s="26" t="str">
        <f>VLOOKUP(C97,classifications!C:K,9,FALSE)</f>
        <v>Sparse</v>
      </c>
      <c r="F97" s="36">
        <f t="shared" si="26"/>
        <v>77.753327388114386</v>
      </c>
      <c r="G97" s="71"/>
      <c r="H97" s="37" t="str">
        <f t="shared" si="27"/>
        <v/>
      </c>
      <c r="I97" s="77" t="str">
        <f>IF(H97="","",IF($I$8="A",(RANK(H97,H$11:H$368,1)+COUNTIF(H$11:H97,H97)-1),(RANK(H97,H$11:H$368)+COUNTIF(H$11:H97,H97)-1)))</f>
        <v/>
      </c>
      <c r="J97" s="35"/>
      <c r="K97" s="28">
        <f t="shared" si="35"/>
        <v>87</v>
      </c>
      <c r="L97" s="36" t="str">
        <f t="shared" si="28"/>
        <v>Fareham</v>
      </c>
      <c r="M97" s="102">
        <f t="shared" si="36"/>
        <v>81.456419870507062</v>
      </c>
      <c r="N97" s="101">
        <f t="shared" si="37"/>
        <v>81.456419870507062</v>
      </c>
      <c r="O97" s="94" t="str">
        <f t="shared" si="29"/>
        <v/>
      </c>
      <c r="P97" s="94">
        <f t="shared" si="45"/>
        <v>81.456419870507062</v>
      </c>
      <c r="Q97" s="94" t="str">
        <f t="shared" si="46"/>
        <v/>
      </c>
      <c r="R97" s="90" t="str">
        <f t="shared" si="47"/>
        <v/>
      </c>
      <c r="S97" s="37" t="str">
        <f t="shared" si="38"/>
        <v/>
      </c>
      <c r="T97" s="176">
        <f>IF(L97="","",VLOOKUP(L97,classifications!C:K,9,FALSE))</f>
        <v>0</v>
      </c>
      <c r="U97" s="183" t="str">
        <f t="shared" si="30"/>
        <v/>
      </c>
      <c r="V97" s="184" t="str">
        <f>IF(U97="","",IF($I$8="A",(RANK(U97,U$11:U$368)+COUNTIF(U$11:U97,U97)-1),(RANK(U97,U$11:U$368,1)+COUNTIF(U$11:U97,U97)-1)))</f>
        <v/>
      </c>
      <c r="W97" s="185"/>
      <c r="X97" s="38" t="str">
        <f>IF(L97="","",VLOOKUP($L97,classifications!$C:$J,6,FALSE))</f>
        <v>Urban with City and Town</v>
      </c>
      <c r="Y97" s="26" t="str">
        <f t="shared" si="31"/>
        <v/>
      </c>
      <c r="Z97" s="34" t="str">
        <f>IF(Y97="","",IF(I$8="A",(RANK(Y97,Y$11:Y$368,1)+COUNTIF(Y$11:Y97,Y97)-1),(RANK(Y97,Y$11:Y$368)+COUNTIF(Y$11:Y97,Y97)-1)))</f>
        <v/>
      </c>
      <c r="AA97" s="188" t="str">
        <f>IF(L97="","",VLOOKUP($L97,classifications!C:I,7,FALSE))</f>
        <v>Predominantly Urban</v>
      </c>
      <c r="AB97" s="184" t="str">
        <f t="shared" si="39"/>
        <v/>
      </c>
      <c r="AC97" s="184" t="str">
        <f>IF(AB97="","",IF($I$8="A",(RANK(AB97,AB$11:AB$368)+COUNTIF(AB$11:AB97,AB97)-1),(RANK(AB97,AB$11:AB$368,1)+COUNTIF(AB$11:AB97,AB97)-1)))</f>
        <v/>
      </c>
      <c r="AD97" s="184"/>
      <c r="AE97" s="28" t="str">
        <f t="shared" si="24"/>
        <v/>
      </c>
      <c r="AG97" s="96"/>
      <c r="AH97" s="29"/>
      <c r="AI97" s="38" t="str">
        <f>IF(L97="","",VLOOKUP($L97,classifications!$C:$J,8,FALSE))</f>
        <v>Hampshire</v>
      </c>
      <c r="AJ97" s="39" t="str">
        <f t="shared" si="32"/>
        <v/>
      </c>
      <c r="AK97" s="34" t="str">
        <f>IF(AJ97="","",IF(I$8="A",(RANK(AJ97,AJ$11:AJ$368,1)+COUNTIF(AJ$11:AJ97,AJ97)-1),(RANK(AJ97,AJ$11:AJ$368)+COUNTIF(AJ$11:AJ97,AJ97)-1)))</f>
        <v/>
      </c>
      <c r="AL97" s="29" t="str">
        <f t="shared" si="40"/>
        <v/>
      </c>
      <c r="AM97" s="8" t="str">
        <f t="shared" si="33"/>
        <v/>
      </c>
      <c r="AN97" s="8" t="str">
        <f t="shared" si="41"/>
        <v/>
      </c>
      <c r="AP97" s="38" t="str">
        <f>IF(L97="","",VLOOKUP($L97,classifications!$C:$E,3,FALSE))</f>
        <v>South East</v>
      </c>
      <c r="AQ97" s="39" t="str">
        <f t="shared" si="42"/>
        <v/>
      </c>
      <c r="AR97" s="34" t="str">
        <f>IF(AQ97="","",IF(I$8="A",(RANK(AQ97,AQ$11:AQ$368,1)+COUNTIF(AQ$11:AQ97,AQ97)-1),(RANK(AQ97,AQ$11:AQ$368)+COUNTIF(AQ$11:AQ97,AQ97)-1)))</f>
        <v/>
      </c>
      <c r="AS97" s="29" t="str">
        <f t="shared" si="43"/>
        <v/>
      </c>
      <c r="AT97" s="34" t="str">
        <f t="shared" si="34"/>
        <v/>
      </c>
      <c r="AU97" s="39" t="str">
        <f t="shared" si="48"/>
        <v/>
      </c>
      <c r="AX97" s="21">
        <f>HLOOKUP($AX$9&amp;$AX$10,Data!$A$1:$ZZ$2000,(MATCH($C97,Data!$A$1:$A$2000,0)),FALSE)</f>
        <v>77.753327388114386</v>
      </c>
      <c r="AY97" s="103"/>
      <c r="AZ97" s="21"/>
    </row>
    <row r="98" spans="1:52">
      <c r="A98" s="56" t="str">
        <f>$D$1&amp;88</f>
        <v>SD88</v>
      </c>
      <c r="B98" s="57">
        <f>IF(ISERROR(VLOOKUP(A98,classifications!A:C,3,FALSE)),0,VLOOKUP(A98,classifications!A:C,3,FALSE))</f>
        <v>0</v>
      </c>
      <c r="C98" s="8" t="s">
        <v>230</v>
      </c>
      <c r="D98" s="26" t="str">
        <f>VLOOKUP($C98,classifications!$C:$J,4,FALSE)</f>
        <v>MD</v>
      </c>
      <c r="E98" s="26">
        <f>VLOOKUP(C98,classifications!C:K,9,FALSE)</f>
        <v>0</v>
      </c>
      <c r="F98" s="36">
        <f t="shared" si="26"/>
        <v>70.37103986899173</v>
      </c>
      <c r="G98" s="71"/>
      <c r="H98" s="37" t="str">
        <f t="shared" si="27"/>
        <v/>
      </c>
      <c r="I98" s="77" t="str">
        <f>IF(H98="","",IF($I$8="A",(RANK(H98,H$11:H$368,1)+COUNTIF(H$11:H98,H98)-1),(RANK(H98,H$11:H$368)+COUNTIF(H$11:H98,H98)-1)))</f>
        <v/>
      </c>
      <c r="J98" s="35"/>
      <c r="K98" s="28">
        <f t="shared" si="35"/>
        <v>88</v>
      </c>
      <c r="L98" s="36" t="str">
        <f t="shared" si="28"/>
        <v>Castle Point</v>
      </c>
      <c r="M98" s="102">
        <f t="shared" si="36"/>
        <v>81.417583763416488</v>
      </c>
      <c r="N98" s="101">
        <f t="shared" si="37"/>
        <v>81.417583763416488</v>
      </c>
      <c r="O98" s="94" t="str">
        <f t="shared" si="29"/>
        <v/>
      </c>
      <c r="P98" s="94">
        <f t="shared" si="45"/>
        <v>81.417583763416488</v>
      </c>
      <c r="Q98" s="94" t="str">
        <f t="shared" si="46"/>
        <v/>
      </c>
      <c r="R98" s="90" t="str">
        <f t="shared" si="47"/>
        <v/>
      </c>
      <c r="S98" s="37" t="str">
        <f t="shared" si="38"/>
        <v/>
      </c>
      <c r="T98" s="176">
        <f>IF(L98="","",VLOOKUP(L98,classifications!C:K,9,FALSE))</f>
        <v>0</v>
      </c>
      <c r="U98" s="183" t="str">
        <f t="shared" si="30"/>
        <v/>
      </c>
      <c r="V98" s="184" t="str">
        <f>IF(U98="","",IF($I$8="A",(RANK(U98,U$11:U$368)+COUNTIF(U$11:U98,U98)-1),(RANK(U98,U$11:U$368,1)+COUNTIF(U$11:U98,U98)-1)))</f>
        <v/>
      </c>
      <c r="W98" s="185"/>
      <c r="X98" s="38" t="str">
        <f>IF(L98="","",VLOOKUP($L98,classifications!$C:$J,6,FALSE))</f>
        <v>Urban with City and Town</v>
      </c>
      <c r="Y98" s="26" t="str">
        <f t="shared" si="31"/>
        <v/>
      </c>
      <c r="Z98" s="34" t="str">
        <f>IF(Y98="","",IF(I$8="A",(RANK(Y98,Y$11:Y$368,1)+COUNTIF(Y$11:Y98,Y98)-1),(RANK(Y98,Y$11:Y$368)+COUNTIF(Y$11:Y98,Y98)-1)))</f>
        <v/>
      </c>
      <c r="AA98" s="188" t="str">
        <f>IF(L98="","",VLOOKUP($L98,classifications!C:I,7,FALSE))</f>
        <v>Predominantly Urban</v>
      </c>
      <c r="AB98" s="184" t="str">
        <f t="shared" si="39"/>
        <v/>
      </c>
      <c r="AC98" s="184" t="str">
        <f>IF(AB98="","",IF($I$8="A",(RANK(AB98,AB$11:AB$368)+COUNTIF(AB$11:AB98,AB98)-1),(RANK(AB98,AB$11:AB$368,1)+COUNTIF(AB$11:AB98,AB98)-1)))</f>
        <v/>
      </c>
      <c r="AD98" s="184"/>
      <c r="AE98" s="28" t="str">
        <f t="shared" si="24"/>
        <v/>
      </c>
      <c r="AG98" s="96"/>
      <c r="AH98" s="29"/>
      <c r="AI98" s="38" t="str">
        <f>IF(L98="","",VLOOKUP($L98,classifications!$C:$J,8,FALSE))</f>
        <v>Essex</v>
      </c>
      <c r="AJ98" s="39" t="str">
        <f t="shared" si="32"/>
        <v/>
      </c>
      <c r="AK98" s="34" t="str">
        <f>IF(AJ98="","",IF(I$8="A",(RANK(AJ98,AJ$11:AJ$368,1)+COUNTIF(AJ$11:AJ98,AJ98)-1),(RANK(AJ98,AJ$11:AJ$368)+COUNTIF(AJ$11:AJ98,AJ98)-1)))</f>
        <v/>
      </c>
      <c r="AL98" s="29" t="str">
        <f t="shared" si="40"/>
        <v/>
      </c>
      <c r="AM98" s="8" t="str">
        <f t="shared" si="33"/>
        <v/>
      </c>
      <c r="AN98" s="8" t="str">
        <f t="shared" si="41"/>
        <v/>
      </c>
      <c r="AP98" s="38" t="str">
        <f>IF(L98="","",VLOOKUP($L98,classifications!$C:$E,3,FALSE))</f>
        <v>East of England</v>
      </c>
      <c r="AQ98" s="39" t="str">
        <f t="shared" si="42"/>
        <v/>
      </c>
      <c r="AR98" s="34" t="str">
        <f>IF(AQ98="","",IF(I$8="A",(RANK(AQ98,AQ$11:AQ$368,1)+COUNTIF(AQ$11:AQ98,AQ98)-1),(RANK(AQ98,AQ$11:AQ$368)+COUNTIF(AQ$11:AQ98,AQ98)-1)))</f>
        <v/>
      </c>
      <c r="AS98" s="29" t="str">
        <f t="shared" si="43"/>
        <v/>
      </c>
      <c r="AT98" s="34" t="str">
        <f t="shared" si="34"/>
        <v/>
      </c>
      <c r="AU98" s="39" t="str">
        <f t="shared" si="48"/>
        <v/>
      </c>
      <c r="AX98" s="21">
        <f>HLOOKUP($AX$9&amp;$AX$10,Data!$A$1:$ZZ$2000,(MATCH($C98,Data!$A$1:$A$2000,0)),FALSE)</f>
        <v>70.37103986899173</v>
      </c>
      <c r="AY98" s="103"/>
      <c r="AZ98" s="21"/>
    </row>
    <row r="99" spans="1:52">
      <c r="A99" s="56" t="str">
        <f>$D$1&amp;89</f>
        <v>SD89</v>
      </c>
      <c r="B99" s="57">
        <f>IF(ISERROR(VLOOKUP(A99,classifications!A:C,3,FALSE)),0,VLOOKUP(A99,classifications!A:C,3,FALSE))</f>
        <v>0</v>
      </c>
      <c r="C99" s="8" t="s">
        <v>202</v>
      </c>
      <c r="D99" s="26" t="str">
        <f>VLOOKUP($C99,classifications!$C:$J,4,FALSE)</f>
        <v>L</v>
      </c>
      <c r="E99" s="26">
        <f>VLOOKUP(C99,classifications!C:K,9,FALSE)</f>
        <v>0</v>
      </c>
      <c r="F99" s="36">
        <f t="shared" si="26"/>
        <v>75.813402248914315</v>
      </c>
      <c r="G99" s="71"/>
      <c r="H99" s="37" t="str">
        <f t="shared" si="27"/>
        <v/>
      </c>
      <c r="I99" s="77" t="str">
        <f>IF(H99="","",IF($I$8="A",(RANK(H99,H$11:H$368,1)+COUNTIF(H$11:H99,H99)-1),(RANK(H99,H$11:H$368)+COUNTIF(H$11:H99,H99)-1)))</f>
        <v/>
      </c>
      <c r="J99" s="35"/>
      <c r="K99" s="28">
        <f t="shared" si="35"/>
        <v>89</v>
      </c>
      <c r="L99" s="36" t="str">
        <f t="shared" si="28"/>
        <v>South Ribble</v>
      </c>
      <c r="M99" s="102">
        <f t="shared" si="36"/>
        <v>81.405018315126512</v>
      </c>
      <c r="N99" s="101">
        <f t="shared" si="37"/>
        <v>81.405018315126512</v>
      </c>
      <c r="O99" s="94" t="str">
        <f t="shared" si="29"/>
        <v/>
      </c>
      <c r="P99" s="94">
        <f t="shared" si="45"/>
        <v>81.405018315126512</v>
      </c>
      <c r="Q99" s="94" t="str">
        <f t="shared" si="46"/>
        <v/>
      </c>
      <c r="R99" s="90" t="str">
        <f t="shared" si="47"/>
        <v/>
      </c>
      <c r="S99" s="37" t="str">
        <f t="shared" si="38"/>
        <v/>
      </c>
      <c r="T99" s="176">
        <f>IF(L99="","",VLOOKUP(L99,classifications!C:K,9,FALSE))</f>
        <v>0</v>
      </c>
      <c r="U99" s="183" t="str">
        <f t="shared" si="30"/>
        <v/>
      </c>
      <c r="V99" s="184" t="str">
        <f>IF(U99="","",IF($I$8="A",(RANK(U99,U$11:U$368)+COUNTIF(U$11:U99,U99)-1),(RANK(U99,U$11:U$368,1)+COUNTIF(U$11:U99,U99)-1)))</f>
        <v/>
      </c>
      <c r="W99" s="185"/>
      <c r="X99" s="38" t="str">
        <f>IF(L99="","",VLOOKUP($L99,classifications!$C:$J,6,FALSE))</f>
        <v>Urban with City and Town</v>
      </c>
      <c r="Y99" s="26" t="str">
        <f t="shared" si="31"/>
        <v/>
      </c>
      <c r="Z99" s="34" t="str">
        <f>IF(Y99="","",IF(I$8="A",(RANK(Y99,Y$11:Y$368,1)+COUNTIF(Y$11:Y99,Y99)-1),(RANK(Y99,Y$11:Y$368)+COUNTIF(Y$11:Y99,Y99)-1)))</f>
        <v/>
      </c>
      <c r="AA99" s="188" t="str">
        <f>IF(L99="","",VLOOKUP($L99,classifications!C:I,7,FALSE))</f>
        <v>Predominantly Urban</v>
      </c>
      <c r="AB99" s="184" t="str">
        <f t="shared" si="39"/>
        <v/>
      </c>
      <c r="AC99" s="184" t="str">
        <f>IF(AB99="","",IF($I$8="A",(RANK(AB99,AB$11:AB$368)+COUNTIF(AB$11:AB99,AB99)-1),(RANK(AB99,AB$11:AB$368,1)+COUNTIF(AB$11:AB99,AB99)-1)))</f>
        <v/>
      </c>
      <c r="AD99" s="184"/>
      <c r="AE99" s="28" t="str">
        <f t="shared" ref="AE99:AE162" si="49">IF(AE98="","",IF(AE98+1&gt;(COUNT(AG:AG)),"",AE98+1))</f>
        <v/>
      </c>
      <c r="AG99" s="96"/>
      <c r="AH99" s="29"/>
      <c r="AI99" s="38" t="str">
        <f>IF(L99="","",VLOOKUP($L99,classifications!$C:$J,8,FALSE))</f>
        <v>Lancashire</v>
      </c>
      <c r="AJ99" s="39" t="str">
        <f t="shared" si="32"/>
        <v/>
      </c>
      <c r="AK99" s="34" t="str">
        <f>IF(AJ99="","",IF(I$8="A",(RANK(AJ99,AJ$11:AJ$368,1)+COUNTIF(AJ$11:AJ99,AJ99)-1),(RANK(AJ99,AJ$11:AJ$368)+COUNTIF(AJ$11:AJ99,AJ99)-1)))</f>
        <v/>
      </c>
      <c r="AL99" s="29" t="str">
        <f t="shared" si="40"/>
        <v/>
      </c>
      <c r="AM99" s="8" t="str">
        <f t="shared" si="33"/>
        <v/>
      </c>
      <c r="AN99" s="8" t="str">
        <f t="shared" si="41"/>
        <v/>
      </c>
      <c r="AP99" s="38" t="str">
        <f>IF(L99="","",VLOOKUP($L99,classifications!$C:$E,3,FALSE))</f>
        <v>North West</v>
      </c>
      <c r="AQ99" s="39">
        <f t="shared" si="42"/>
        <v>81.405018315126512</v>
      </c>
      <c r="AR99" s="34">
        <f>IF(AQ99="","",IF(I$8="A",(RANK(AQ99,AQ$11:AQ$368,1)+COUNTIF(AQ$11:AQ99,AQ99)-1),(RANK(AQ99,AQ$11:AQ$368)+COUNTIF(AQ$11:AQ99,AQ99)-1)))</f>
        <v>6</v>
      </c>
      <c r="AS99" s="29" t="str">
        <f t="shared" si="43"/>
        <v/>
      </c>
      <c r="AT99" s="34" t="str">
        <f t="shared" si="34"/>
        <v/>
      </c>
      <c r="AU99" s="39" t="str">
        <f t="shared" si="48"/>
        <v/>
      </c>
      <c r="AX99" s="21">
        <f>HLOOKUP($AX$9&amp;$AX$10,Data!$A$1:$ZZ$2000,(MATCH($C99,Data!$A$1:$A$2000,0)),FALSE)</f>
        <v>75.813402248914315</v>
      </c>
      <c r="AY99" s="103"/>
      <c r="AZ99" s="21"/>
    </row>
    <row r="100" spans="1:52">
      <c r="A100" s="56" t="str">
        <f>$D$1&amp;90</f>
        <v>SD90</v>
      </c>
      <c r="B100" s="57">
        <f>IF(ISERROR(VLOOKUP(A100,classifications!A:C,3,FALSE)),0,VLOOKUP(A100,classifications!A:C,3,FALSE))</f>
        <v>0</v>
      </c>
      <c r="C100" s="8" t="s">
        <v>52</v>
      </c>
      <c r="D100" s="26" t="str">
        <f>VLOOKUP($C100,classifications!$C:$J,4,FALSE)</f>
        <v>SD</v>
      </c>
      <c r="E100" s="26" t="str">
        <f>VLOOKUP(C100,classifications!C:K,9,FALSE)</f>
        <v>Sparse</v>
      </c>
      <c r="F100" s="36">
        <f t="shared" si="26"/>
        <v>82.545700078353448</v>
      </c>
      <c r="G100" s="71"/>
      <c r="H100" s="37">
        <f t="shared" si="27"/>
        <v>82.545700078353448</v>
      </c>
      <c r="I100" s="77">
        <f>IF(H100="","",IF($I$8="A",(RANK(H100,H$11:H$368,1)+COUNTIF(H$11:H100,H100)-1),(RANK(H100,H$11:H$368)+COUNTIF(H$11:H100,H100)-1)))</f>
        <v>67</v>
      </c>
      <c r="J100" s="35"/>
      <c r="K100" s="28">
        <f t="shared" si="35"/>
        <v>90</v>
      </c>
      <c r="L100" s="36" t="str">
        <f t="shared" si="28"/>
        <v>Scarborough</v>
      </c>
      <c r="M100" s="102">
        <f t="shared" si="36"/>
        <v>81.292981100585621</v>
      </c>
      <c r="N100" s="101">
        <f t="shared" si="37"/>
        <v>81.292981100585621</v>
      </c>
      <c r="O100" s="94" t="str">
        <f t="shared" si="29"/>
        <v/>
      </c>
      <c r="P100" s="94">
        <f t="shared" si="45"/>
        <v>81.292981100585621</v>
      </c>
      <c r="Q100" s="94" t="str">
        <f t="shared" si="46"/>
        <v/>
      </c>
      <c r="R100" s="90" t="str">
        <f t="shared" si="47"/>
        <v/>
      </c>
      <c r="S100" s="37" t="str">
        <f t="shared" si="38"/>
        <v/>
      </c>
      <c r="T100" s="176" t="str">
        <f>IF(L100="","",VLOOKUP(L100,classifications!C:K,9,FALSE))</f>
        <v>Sparse</v>
      </c>
      <c r="U100" s="183">
        <f t="shared" si="30"/>
        <v>81.292981100585621</v>
      </c>
      <c r="V100" s="184">
        <f>IF(U100="","",IF($I$8="A",(RANK(U100,U$11:U$368)+COUNTIF(U$11:U100,U100)-1),(RANK(U100,U$11:U$368,1)+COUNTIF(U$11:U100,U100)-1)))</f>
        <v>38</v>
      </c>
      <c r="W100" s="185"/>
      <c r="X100" s="38" t="str">
        <f>IF(L100="","",VLOOKUP($L100,classifications!$C:$J,6,FALSE))</f>
        <v>Urban with Significant Rural (rural including hub towns 26-49%)</v>
      </c>
      <c r="Y100" s="26" t="str">
        <f t="shared" si="31"/>
        <v/>
      </c>
      <c r="Z100" s="34" t="str">
        <f>IF(Y100="","",IF(I$8="A",(RANK(Y100,Y$11:Y$368,1)+COUNTIF(Y$11:Y100,Y100)-1),(RANK(Y100,Y$11:Y$368)+COUNTIF(Y$11:Y100,Y100)-1)))</f>
        <v/>
      </c>
      <c r="AA100" s="188" t="str">
        <f>IF(L100="","",VLOOKUP($L100,classifications!C:I,7,FALSE))</f>
        <v>Significant Rural</v>
      </c>
      <c r="AB100" s="184" t="str">
        <f t="shared" si="39"/>
        <v/>
      </c>
      <c r="AC100" s="184" t="str">
        <f>IF(AB100="","",IF($I$8="A",(RANK(AB100,AB$11:AB$368)+COUNTIF(AB$11:AB100,AB100)-1),(RANK(AB100,AB$11:AB$368,1)+COUNTIF(AB$11:AB100,AB100)-1)))</f>
        <v/>
      </c>
      <c r="AD100" s="184"/>
      <c r="AE100" s="28" t="str">
        <f t="shared" si="49"/>
        <v/>
      </c>
      <c r="AG100" s="96"/>
      <c r="AH100" s="29"/>
      <c r="AI100" s="38" t="str">
        <f>IF(L100="","",VLOOKUP($L100,classifications!$C:$J,8,FALSE))</f>
        <v>North Yorkshire</v>
      </c>
      <c r="AJ100" s="39" t="str">
        <f t="shared" si="32"/>
        <v/>
      </c>
      <c r="AK100" s="34" t="str">
        <f>IF(AJ100="","",IF(I$8="A",(RANK(AJ100,AJ$11:AJ$368,1)+COUNTIF(AJ$11:AJ100,AJ100)-1),(RANK(AJ100,AJ$11:AJ$368)+COUNTIF(AJ$11:AJ100,AJ100)-1)))</f>
        <v/>
      </c>
      <c r="AL100" s="29" t="str">
        <f t="shared" si="40"/>
        <v/>
      </c>
      <c r="AM100" s="8" t="str">
        <f t="shared" si="33"/>
        <v/>
      </c>
      <c r="AN100" s="8" t="str">
        <f t="shared" si="41"/>
        <v/>
      </c>
      <c r="AP100" s="38" t="str">
        <f>IF(L100="","",VLOOKUP($L100,classifications!$C:$E,3,FALSE))</f>
        <v>Yorkshire &amp; Humberside</v>
      </c>
      <c r="AQ100" s="39" t="str">
        <f t="shared" si="42"/>
        <v/>
      </c>
      <c r="AR100" s="34" t="str">
        <f>IF(AQ100="","",IF(I$8="A",(RANK(AQ100,AQ$11:AQ$368,1)+COUNTIF(AQ$11:AQ100,AQ100)-1),(RANK(AQ100,AQ$11:AQ$368)+COUNTIF(AQ$11:AQ100,AQ100)-1)))</f>
        <v/>
      </c>
      <c r="AS100" s="29" t="str">
        <f t="shared" si="43"/>
        <v/>
      </c>
      <c r="AT100" s="34" t="str">
        <f t="shared" si="34"/>
        <v/>
      </c>
      <c r="AU100" s="39" t="str">
        <f t="shared" si="48"/>
        <v/>
      </c>
      <c r="AX100" s="21">
        <f>HLOOKUP($AX$9&amp;$AX$10,Data!$A$1:$ZZ$2000,(MATCH($C100,Data!$A$1:$A$2000,0)),FALSE)</f>
        <v>82.545700078353448</v>
      </c>
      <c r="AY100" s="103"/>
      <c r="AZ100" s="21"/>
    </row>
    <row r="101" spans="1:52">
      <c r="A101" s="56" t="str">
        <f>$D$1&amp;91</f>
        <v>SD91</v>
      </c>
      <c r="B101" s="57">
        <f>IF(ISERROR(VLOOKUP(A101,classifications!A:C,3,FALSE)),0,VLOOKUP(A101,classifications!A:C,3,FALSE))</f>
        <v>0</v>
      </c>
      <c r="C101" s="8" t="s">
        <v>53</v>
      </c>
      <c r="D101" s="26" t="str">
        <f>VLOOKUP($C101,classifications!$C:$J,4,FALSE)</f>
        <v>SD</v>
      </c>
      <c r="E101" s="26" t="str">
        <f>VLOOKUP(C101,classifications!C:K,9,FALSE)</f>
        <v>Sparse</v>
      </c>
      <c r="F101" s="36">
        <f t="shared" si="26"/>
        <v>85.145310565461088</v>
      </c>
      <c r="G101" s="71"/>
      <c r="H101" s="37">
        <f t="shared" si="27"/>
        <v>85.145310565461088</v>
      </c>
      <c r="I101" s="77">
        <f>IF(H101="","",IF($I$8="A",(RANK(H101,H$11:H$368,1)+COUNTIF(H$11:H101,H101)-1),(RANK(H101,H$11:H$368)+COUNTIF(H$11:H101,H101)-1)))</f>
        <v>28</v>
      </c>
      <c r="J101" s="35"/>
      <c r="K101" s="28">
        <f t="shared" si="35"/>
        <v>91</v>
      </c>
      <c r="L101" s="36" t="str">
        <f t="shared" si="28"/>
        <v>Somerset West &amp; Taunton</v>
      </c>
      <c r="M101" s="102">
        <f t="shared" si="36"/>
        <v>81.265007706828655</v>
      </c>
      <c r="N101" s="101">
        <f t="shared" si="37"/>
        <v>81.265007706828655</v>
      </c>
      <c r="O101" s="94" t="str">
        <f t="shared" si="29"/>
        <v/>
      </c>
      <c r="P101" s="94">
        <f t="shared" si="45"/>
        <v>81.265007706828655</v>
      </c>
      <c r="Q101" s="94" t="str">
        <f t="shared" si="46"/>
        <v/>
      </c>
      <c r="R101" s="90" t="str">
        <f t="shared" si="47"/>
        <v/>
      </c>
      <c r="S101" s="37" t="str">
        <f t="shared" si="38"/>
        <v/>
      </c>
      <c r="T101" s="176" t="str">
        <f>IF(L101="","",VLOOKUP(L101,classifications!C:K,9,FALSE))</f>
        <v>Sparse</v>
      </c>
      <c r="U101" s="183">
        <f t="shared" si="30"/>
        <v>81.265007706828655</v>
      </c>
      <c r="V101" s="184">
        <f>IF(U101="","",IF($I$8="A",(RANK(U101,U$11:U$368)+COUNTIF(U$11:U101,U101)-1),(RANK(U101,U$11:U$368,1)+COUNTIF(U$11:U101,U101)-1)))</f>
        <v>37</v>
      </c>
      <c r="W101" s="185"/>
      <c r="X101" s="38" t="str">
        <f>IF(L101="","",VLOOKUP($L101,classifications!$C:$J,6,FALSE))</f>
        <v xml:space="preserve">Predominantly Rural </v>
      </c>
      <c r="Y101" s="26" t="str">
        <f t="shared" si="31"/>
        <v/>
      </c>
      <c r="Z101" s="34" t="str">
        <f>IF(Y101="","",IF(I$8="A",(RANK(Y101,Y$11:Y$368,1)+COUNTIF(Y$11:Y101,Y101)-1),(RANK(Y101,Y$11:Y$368)+COUNTIF(Y$11:Y101,Y101)-1)))</f>
        <v/>
      </c>
      <c r="AA101" s="188" t="str">
        <f>IF(L101="","",VLOOKUP($L101,classifications!C:I,7,FALSE))</f>
        <v>Predominantly Rural</v>
      </c>
      <c r="AB101" s="184">
        <f t="shared" si="39"/>
        <v>81.265007706828655</v>
      </c>
      <c r="AC101" s="184">
        <f>IF(AB101="","",IF($I$8="A",(RANK(AB101,AB$11:AB$368)+COUNTIF(AB$11:AB101,AB101)-1),(RANK(AB101,AB$11:AB$368,1)+COUNTIF(AB$11:AB101,AB101)-1)))</f>
        <v>37</v>
      </c>
      <c r="AD101" s="184"/>
      <c r="AE101" s="28" t="str">
        <f t="shared" si="49"/>
        <v/>
      </c>
      <c r="AG101" s="96"/>
      <c r="AH101" s="29"/>
      <c r="AI101" s="38" t="str">
        <f>IF(L101="","",VLOOKUP($L101,classifications!$C:$J,8,FALSE))</f>
        <v>Somerset</v>
      </c>
      <c r="AJ101" s="39" t="str">
        <f t="shared" si="32"/>
        <v/>
      </c>
      <c r="AK101" s="34" t="str">
        <f>IF(AJ101="","",IF(I$8="A",(RANK(AJ101,AJ$11:AJ$368,1)+COUNTIF(AJ$11:AJ101,AJ101)-1),(RANK(AJ101,AJ$11:AJ$368)+COUNTIF(AJ$11:AJ101,AJ101)-1)))</f>
        <v/>
      </c>
      <c r="AL101" s="29" t="str">
        <f t="shared" si="40"/>
        <v/>
      </c>
      <c r="AM101" s="8" t="str">
        <f t="shared" si="33"/>
        <v/>
      </c>
      <c r="AN101" s="8" t="str">
        <f t="shared" si="41"/>
        <v/>
      </c>
      <c r="AP101" s="38" t="str">
        <f>IF(L101="","",VLOOKUP($L101,classifications!$C:$E,3,FALSE))</f>
        <v>South West</v>
      </c>
      <c r="AQ101" s="39" t="str">
        <f t="shared" si="42"/>
        <v/>
      </c>
      <c r="AR101" s="34" t="str">
        <f>IF(AQ101="","",IF(I$8="A",(RANK(AQ101,AQ$11:AQ$368,1)+COUNTIF(AQ$11:AQ101,AQ101)-1),(RANK(AQ101,AQ$11:AQ$368)+COUNTIF(AQ$11:AQ101,AQ101)-1)))</f>
        <v/>
      </c>
      <c r="AS101" s="29" t="str">
        <f t="shared" si="43"/>
        <v/>
      </c>
      <c r="AT101" s="34" t="str">
        <f t="shared" si="34"/>
        <v/>
      </c>
      <c r="AU101" s="39" t="str">
        <f t="shared" si="48"/>
        <v/>
      </c>
      <c r="AX101" s="21">
        <f>HLOOKUP($AX$9&amp;$AX$10,Data!$A$1:$ZZ$2000,(MATCH($C101,Data!$A$1:$A$2000,0)),FALSE)</f>
        <v>85.145310565461088</v>
      </c>
      <c r="AY101" s="103"/>
      <c r="AZ101" s="21"/>
    </row>
    <row r="102" spans="1:52">
      <c r="A102" s="56" t="str">
        <f>$D$1&amp;92</f>
        <v>SD92</v>
      </c>
      <c r="B102" s="57">
        <f>IF(ISERROR(VLOOKUP(A102,classifications!A:C,3,FALSE)),0,VLOOKUP(A102,classifications!A:C,3,FALSE))</f>
        <v>0</v>
      </c>
      <c r="C102" s="8" t="s">
        <v>54</v>
      </c>
      <c r="D102" s="26" t="str">
        <f>VLOOKUP($C102,classifications!$C:$J,4,FALSE)</f>
        <v>SD</v>
      </c>
      <c r="E102" s="26">
        <f>VLOOKUP(C102,classifications!C:K,9,FALSE)</f>
        <v>0</v>
      </c>
      <c r="F102" s="36" t="str">
        <f t="shared" si="26"/>
        <v>-</v>
      </c>
      <c r="G102" s="71"/>
      <c r="H102" s="37" t="str">
        <f t="shared" si="27"/>
        <v>-</v>
      </c>
      <c r="I102" s="77" t="e">
        <f>IF(H102="","",IF($I$8="A",(RANK(H102,H$11:H$368,1)+COUNTIF(H$11:H102,H102)-1),(RANK(H102,H$11:H$368)+COUNTIF(H$11:H102,H102)-1)))</f>
        <v>#VALUE!</v>
      </c>
      <c r="J102" s="35"/>
      <c r="K102" s="28">
        <f t="shared" si="35"/>
        <v>92</v>
      </c>
      <c r="L102" s="36" t="str">
        <f t="shared" si="28"/>
        <v>North Norfolk</v>
      </c>
      <c r="M102" s="102">
        <f t="shared" si="36"/>
        <v>81.243010989059002</v>
      </c>
      <c r="N102" s="101">
        <f t="shared" si="37"/>
        <v>81.243010989059002</v>
      </c>
      <c r="O102" s="94" t="str">
        <f t="shared" si="29"/>
        <v/>
      </c>
      <c r="P102" s="94">
        <f t="shared" si="45"/>
        <v>81.243010989059002</v>
      </c>
      <c r="Q102" s="94" t="str">
        <f t="shared" si="46"/>
        <v/>
      </c>
      <c r="R102" s="90" t="str">
        <f t="shared" si="47"/>
        <v/>
      </c>
      <c r="S102" s="37" t="str">
        <f t="shared" si="38"/>
        <v/>
      </c>
      <c r="T102" s="176" t="str">
        <f>IF(L102="","",VLOOKUP(L102,classifications!C:K,9,FALSE))</f>
        <v>Sparse</v>
      </c>
      <c r="U102" s="183">
        <f t="shared" si="30"/>
        <v>81.243010989059002</v>
      </c>
      <c r="V102" s="184">
        <f>IF(U102="","",IF($I$8="A",(RANK(U102,U$11:U$368)+COUNTIF(U$11:U102,U102)-1),(RANK(U102,U$11:U$368,1)+COUNTIF(U$11:U102,U102)-1)))</f>
        <v>36</v>
      </c>
      <c r="W102" s="185"/>
      <c r="X102" s="38" t="str">
        <f>IF(L102="","",VLOOKUP($L102,classifications!$C:$J,6,FALSE))</f>
        <v xml:space="preserve">Mainly Rural (rural including hub towns &gt;=80%) </v>
      </c>
      <c r="Y102" s="26">
        <f t="shared" si="31"/>
        <v>81.243010989059002</v>
      </c>
      <c r="Z102" s="34">
        <f>IF(Y102="","",IF(I$8="A",(RANK(Y102,Y$11:Y$368,1)+COUNTIF(Y$11:Y102,Y102)-1),(RANK(Y102,Y$11:Y$368)+COUNTIF(Y$11:Y102,Y102)-1)))</f>
        <v>22</v>
      </c>
      <c r="AA102" s="188" t="str">
        <f>IF(L102="","",VLOOKUP($L102,classifications!C:I,7,FALSE))</f>
        <v>Predominantly Rural</v>
      </c>
      <c r="AB102" s="184">
        <f t="shared" si="39"/>
        <v>81.243010989059002</v>
      </c>
      <c r="AC102" s="184">
        <f>IF(AB102="","",IF($I$8="A",(RANK(AB102,AB$11:AB$368)+COUNTIF(AB$11:AB102,AB102)-1),(RANK(AB102,AB$11:AB$368,1)+COUNTIF(AB$11:AB102,AB102)-1)))</f>
        <v>36</v>
      </c>
      <c r="AD102" s="184"/>
      <c r="AE102" s="28" t="str">
        <f t="shared" si="49"/>
        <v/>
      </c>
      <c r="AG102" s="96"/>
      <c r="AH102" s="29"/>
      <c r="AI102" s="38" t="str">
        <f>IF(L102="","",VLOOKUP($L102,classifications!$C:$J,8,FALSE))</f>
        <v>Norfolk</v>
      </c>
      <c r="AJ102" s="39" t="str">
        <f t="shared" si="32"/>
        <v/>
      </c>
      <c r="AK102" s="34" t="str">
        <f>IF(AJ102="","",IF(I$8="A",(RANK(AJ102,AJ$11:AJ$368,1)+COUNTIF(AJ$11:AJ102,AJ102)-1),(RANK(AJ102,AJ$11:AJ$368)+COUNTIF(AJ$11:AJ102,AJ102)-1)))</f>
        <v/>
      </c>
      <c r="AL102" s="29" t="str">
        <f t="shared" si="40"/>
        <v/>
      </c>
      <c r="AM102" s="8" t="str">
        <f t="shared" si="33"/>
        <v/>
      </c>
      <c r="AN102" s="8" t="str">
        <f t="shared" si="41"/>
        <v/>
      </c>
      <c r="AP102" s="38" t="str">
        <f>IF(L102="","",VLOOKUP($L102,classifications!$C:$E,3,FALSE))</f>
        <v>East of England</v>
      </c>
      <c r="AQ102" s="39" t="str">
        <f t="shared" si="42"/>
        <v/>
      </c>
      <c r="AR102" s="34" t="str">
        <f>IF(AQ102="","",IF(I$8="A",(RANK(AQ102,AQ$11:AQ$368,1)+COUNTIF(AQ$11:AQ102,AQ102)-1),(RANK(AQ102,AQ$11:AQ$368)+COUNTIF(AQ$11:AQ102,AQ102)-1)))</f>
        <v/>
      </c>
      <c r="AS102" s="29" t="str">
        <f t="shared" si="43"/>
        <v/>
      </c>
      <c r="AT102" s="34" t="str">
        <f t="shared" si="34"/>
        <v/>
      </c>
      <c r="AU102" s="39" t="str">
        <f t="shared" si="48"/>
        <v/>
      </c>
      <c r="AX102" s="21" t="str">
        <f>HLOOKUP($AX$9&amp;$AX$10,Data!$A$1:$ZZ$2000,(MATCH($C102,Data!$A$1:$A$2000,0)),FALSE)</f>
        <v>-</v>
      </c>
      <c r="AY102" s="103"/>
      <c r="AZ102" s="21"/>
    </row>
    <row r="103" spans="1:52">
      <c r="A103" s="56" t="str">
        <f>$D$1&amp;93</f>
        <v>SD93</v>
      </c>
      <c r="B103" s="57">
        <f>IF(ISERROR(VLOOKUP(A103,classifications!A:C,3,FALSE)),0,VLOOKUP(A103,classifications!A:C,3,FALSE))</f>
        <v>0</v>
      </c>
      <c r="C103" s="8" t="s">
        <v>55</v>
      </c>
      <c r="D103" s="26" t="str">
        <f>VLOOKUP($C103,classifications!$C:$J,4,FALSE)</f>
        <v>SD</v>
      </c>
      <c r="E103" s="26">
        <f>VLOOKUP(C103,classifications!C:K,9,FALSE)</f>
        <v>0</v>
      </c>
      <c r="F103" s="36">
        <f t="shared" si="26"/>
        <v>82.91320054160262</v>
      </c>
      <c r="G103" s="71"/>
      <c r="H103" s="37">
        <f t="shared" si="27"/>
        <v>82.91320054160262</v>
      </c>
      <c r="I103" s="77">
        <f>IF(H103="","",IF($I$8="A",(RANK(H103,H$11:H$368,1)+COUNTIF(H$11:H103,H103)-1),(RANK(H103,H$11:H$368)+COUNTIF(H$11:H103,H103)-1)))</f>
        <v>61</v>
      </c>
      <c r="J103" s="35"/>
      <c r="K103" s="28">
        <f t="shared" si="35"/>
        <v>93</v>
      </c>
      <c r="L103" s="36" t="str">
        <f t="shared" si="28"/>
        <v>Brentwood</v>
      </c>
      <c r="M103" s="102">
        <f t="shared" si="36"/>
        <v>81.22234754703922</v>
      </c>
      <c r="N103" s="101">
        <f t="shared" si="37"/>
        <v>81.22234754703922</v>
      </c>
      <c r="O103" s="94" t="str">
        <f t="shared" si="29"/>
        <v/>
      </c>
      <c r="P103" s="94">
        <f t="shared" si="45"/>
        <v>81.22234754703922</v>
      </c>
      <c r="Q103" s="94" t="str">
        <f t="shared" si="46"/>
        <v/>
      </c>
      <c r="R103" s="90" t="str">
        <f t="shared" si="47"/>
        <v/>
      </c>
      <c r="S103" s="37" t="str">
        <f t="shared" si="38"/>
        <v/>
      </c>
      <c r="T103" s="176">
        <f>IF(L103="","",VLOOKUP(L103,classifications!C:K,9,FALSE))</f>
        <v>0</v>
      </c>
      <c r="U103" s="183" t="str">
        <f t="shared" si="30"/>
        <v/>
      </c>
      <c r="V103" s="184" t="str">
        <f>IF(U103="","",IF($I$8="A",(RANK(U103,U$11:U$368)+COUNTIF(U$11:U103,U103)-1),(RANK(U103,U$11:U$368,1)+COUNTIF(U$11:U103,U103)-1)))</f>
        <v/>
      </c>
      <c r="W103" s="185"/>
      <c r="X103" s="38" t="str">
        <f>IF(L103="","",VLOOKUP($L103,classifications!$C:$J,6,FALSE))</f>
        <v>Urban with Significant Rural (rural including hub towns 26-49%)</v>
      </c>
      <c r="Y103" s="26" t="str">
        <f t="shared" si="31"/>
        <v/>
      </c>
      <c r="Z103" s="34" t="str">
        <f>IF(Y103="","",IF(I$8="A",(RANK(Y103,Y$11:Y$368,1)+COUNTIF(Y$11:Y103,Y103)-1),(RANK(Y103,Y$11:Y$368)+COUNTIF(Y$11:Y103,Y103)-1)))</f>
        <v/>
      </c>
      <c r="AA103" s="188" t="str">
        <f>IF(L103="","",VLOOKUP($L103,classifications!C:I,7,FALSE))</f>
        <v>Significant Rural</v>
      </c>
      <c r="AB103" s="184" t="str">
        <f t="shared" si="39"/>
        <v/>
      </c>
      <c r="AC103" s="184" t="str">
        <f>IF(AB103="","",IF($I$8="A",(RANK(AB103,AB$11:AB$368)+COUNTIF(AB$11:AB103,AB103)-1),(RANK(AB103,AB$11:AB$368,1)+COUNTIF(AB$11:AB103,AB103)-1)))</f>
        <v/>
      </c>
      <c r="AD103" s="184"/>
      <c r="AE103" s="28" t="str">
        <f t="shared" si="49"/>
        <v/>
      </c>
      <c r="AG103" s="96"/>
      <c r="AH103" s="29"/>
      <c r="AI103" s="38" t="str">
        <f>IF(L103="","",VLOOKUP($L103,classifications!$C:$J,8,FALSE))</f>
        <v>Essex</v>
      </c>
      <c r="AJ103" s="39" t="str">
        <f t="shared" si="32"/>
        <v/>
      </c>
      <c r="AK103" s="34" t="str">
        <f>IF(AJ103="","",IF(I$8="A",(RANK(AJ103,AJ$11:AJ$368,1)+COUNTIF(AJ$11:AJ103,AJ103)-1),(RANK(AJ103,AJ$11:AJ$368)+COUNTIF(AJ$11:AJ103,AJ103)-1)))</f>
        <v/>
      </c>
      <c r="AL103" s="29" t="str">
        <f t="shared" si="40"/>
        <v/>
      </c>
      <c r="AM103" s="8" t="str">
        <f t="shared" si="33"/>
        <v/>
      </c>
      <c r="AN103" s="8" t="str">
        <f t="shared" si="41"/>
        <v/>
      </c>
      <c r="AP103" s="38" t="str">
        <f>IF(L103="","",VLOOKUP($L103,classifications!$C:$E,3,FALSE))</f>
        <v>East of England</v>
      </c>
      <c r="AQ103" s="39" t="str">
        <f t="shared" si="42"/>
        <v/>
      </c>
      <c r="AR103" s="34" t="str">
        <f>IF(AQ103="","",IF(I$8="A",(RANK(AQ103,AQ$11:AQ$368,1)+COUNTIF(AQ$11:AQ103,AQ103)-1),(RANK(AQ103,AQ$11:AQ$368)+COUNTIF(AQ$11:AQ103,AQ103)-1)))</f>
        <v/>
      </c>
      <c r="AS103" s="29" t="str">
        <f t="shared" si="43"/>
        <v/>
      </c>
      <c r="AT103" s="34" t="str">
        <f t="shared" si="34"/>
        <v/>
      </c>
      <c r="AU103" s="39" t="str">
        <f t="shared" si="48"/>
        <v/>
      </c>
      <c r="AX103" s="21">
        <f>HLOOKUP($AX$9&amp;$AX$10,Data!$A$1:$ZZ$2000,(MATCH($C103,Data!$A$1:$A$2000,0)),FALSE)</f>
        <v>82.91320054160262</v>
      </c>
      <c r="AY103" s="103"/>
      <c r="AZ103" s="21"/>
    </row>
    <row r="104" spans="1:52">
      <c r="A104" s="56" t="str">
        <f>$D$1&amp;94</f>
        <v>SD94</v>
      </c>
      <c r="B104" s="57">
        <f>IF(ISERROR(VLOOKUP(A104,classifications!A:C,3,FALSE)),0,VLOOKUP(A104,classifications!A:C,3,FALSE))</f>
        <v>0</v>
      </c>
      <c r="C104" s="8" t="s">
        <v>56</v>
      </c>
      <c r="D104" s="26" t="str">
        <f>VLOOKUP($C104,classifications!$C:$J,4,FALSE)</f>
        <v>SD</v>
      </c>
      <c r="E104" s="26" t="str">
        <f>VLOOKUP(C104,classifications!C:K,9,FALSE)</f>
        <v>Sparse</v>
      </c>
      <c r="F104" s="36">
        <f t="shared" si="26"/>
        <v>89.096389225280319</v>
      </c>
      <c r="G104" s="71"/>
      <c r="H104" s="37">
        <f t="shared" si="27"/>
        <v>89.096389225280319</v>
      </c>
      <c r="I104" s="77">
        <f>IF(H104="","",IF($I$8="A",(RANK(H104,H$11:H$368,1)+COUNTIF(H$11:H104,H104)-1),(RANK(H104,H$11:H$368)+COUNTIF(H$11:H104,H104)-1)))</f>
        <v>1</v>
      </c>
      <c r="J104" s="35"/>
      <c r="K104" s="28">
        <f t="shared" si="35"/>
        <v>94</v>
      </c>
      <c r="L104" s="36" t="str">
        <f t="shared" si="28"/>
        <v>Sevenoaks</v>
      </c>
      <c r="M104" s="102">
        <f t="shared" si="36"/>
        <v>81.11129786496501</v>
      </c>
      <c r="N104" s="101">
        <f t="shared" si="37"/>
        <v>81.11129786496501</v>
      </c>
      <c r="O104" s="94" t="str">
        <f t="shared" si="29"/>
        <v/>
      </c>
      <c r="P104" s="94">
        <f t="shared" si="45"/>
        <v>81.11129786496501</v>
      </c>
      <c r="Q104" s="94" t="str">
        <f t="shared" si="46"/>
        <v/>
      </c>
      <c r="R104" s="90" t="str">
        <f t="shared" si="47"/>
        <v/>
      </c>
      <c r="S104" s="37" t="str">
        <f t="shared" si="38"/>
        <v/>
      </c>
      <c r="T104" s="176" t="str">
        <f>IF(L104="","",VLOOKUP(L104,classifications!C:K,9,FALSE))</f>
        <v>Sparse</v>
      </c>
      <c r="U104" s="183">
        <f t="shared" si="30"/>
        <v>81.11129786496501</v>
      </c>
      <c r="V104" s="184">
        <f>IF(U104="","",IF($I$8="A",(RANK(U104,U$11:U$368)+COUNTIF(U$11:U104,U104)-1),(RANK(U104,U$11:U$368,1)+COUNTIF(U$11:U104,U104)-1)))</f>
        <v>35</v>
      </c>
      <c r="W104" s="185"/>
      <c r="X104" s="38" t="str">
        <f>IF(L104="","",VLOOKUP($L104,classifications!$C:$J,6,FALSE))</f>
        <v xml:space="preserve">Largely Rural (rural including hub towns 50-79%) </v>
      </c>
      <c r="Y104" s="26" t="str">
        <f t="shared" si="31"/>
        <v/>
      </c>
      <c r="Z104" s="34" t="str">
        <f>IF(Y104="","",IF(I$8="A",(RANK(Y104,Y$11:Y$368,1)+COUNTIF(Y$11:Y104,Y104)-1),(RANK(Y104,Y$11:Y$368)+COUNTIF(Y$11:Y104,Y104)-1)))</f>
        <v/>
      </c>
      <c r="AA104" s="188" t="str">
        <f>IF(L104="","",VLOOKUP($L104,classifications!C:I,7,FALSE))</f>
        <v>Predominantly Rural</v>
      </c>
      <c r="AB104" s="184">
        <f t="shared" si="39"/>
        <v>81.11129786496501</v>
      </c>
      <c r="AC104" s="184">
        <f>IF(AB104="","",IF($I$8="A",(RANK(AB104,AB$11:AB$368)+COUNTIF(AB$11:AB104,AB104)-1),(RANK(AB104,AB$11:AB$368,1)+COUNTIF(AB$11:AB104,AB104)-1)))</f>
        <v>35</v>
      </c>
      <c r="AD104" s="184"/>
      <c r="AE104" s="28" t="str">
        <f t="shared" si="49"/>
        <v/>
      </c>
      <c r="AG104" s="96"/>
      <c r="AH104" s="29"/>
      <c r="AI104" s="38" t="str">
        <f>IF(L104="","",VLOOKUP($L104,classifications!$C:$J,8,FALSE))</f>
        <v>Kent</v>
      </c>
      <c r="AJ104" s="39" t="str">
        <f t="shared" si="32"/>
        <v/>
      </c>
      <c r="AK104" s="34" t="str">
        <f>IF(AJ104="","",IF(I$8="A",(RANK(AJ104,AJ$11:AJ$368,1)+COUNTIF(AJ$11:AJ104,AJ104)-1),(RANK(AJ104,AJ$11:AJ$368)+COUNTIF(AJ$11:AJ104,AJ104)-1)))</f>
        <v/>
      </c>
      <c r="AL104" s="29" t="str">
        <f t="shared" si="40"/>
        <v/>
      </c>
      <c r="AM104" s="8" t="str">
        <f t="shared" si="33"/>
        <v/>
      </c>
      <c r="AN104" s="8" t="str">
        <f t="shared" si="41"/>
        <v/>
      </c>
      <c r="AP104" s="38" t="str">
        <f>IF(L104="","",VLOOKUP($L104,classifications!$C:$E,3,FALSE))</f>
        <v>South East</v>
      </c>
      <c r="AQ104" s="39" t="str">
        <f t="shared" si="42"/>
        <v/>
      </c>
      <c r="AR104" s="34" t="str">
        <f>IF(AQ104="","",IF(I$8="A",(RANK(AQ104,AQ$11:AQ$368,1)+COUNTIF(AQ$11:AQ104,AQ104)-1),(RANK(AQ104,AQ$11:AQ$368)+COUNTIF(AQ$11:AQ104,AQ104)-1)))</f>
        <v/>
      </c>
      <c r="AS104" s="29" t="str">
        <f t="shared" si="43"/>
        <v/>
      </c>
      <c r="AT104" s="34" t="str">
        <f t="shared" si="34"/>
        <v/>
      </c>
      <c r="AU104" s="39" t="str">
        <f t="shared" si="48"/>
        <v/>
      </c>
      <c r="AX104" s="21">
        <f>HLOOKUP($AX$9&amp;$AX$10,Data!$A$1:$ZZ$2000,(MATCH($C104,Data!$A$1:$A$2000,0)),FALSE)</f>
        <v>89.096389225280319</v>
      </c>
      <c r="AY104" s="103"/>
      <c r="AZ104" s="21"/>
    </row>
    <row r="105" spans="1:52">
      <c r="A105" s="56" t="str">
        <f>$D$1&amp;95</f>
        <v>SD95</v>
      </c>
      <c r="B105" s="57">
        <f>IF(ISERROR(VLOOKUP(A105,classifications!A:C,3,FALSE)),0,VLOOKUP(A105,classifications!A:C,3,FALSE))</f>
        <v>0</v>
      </c>
      <c r="C105" s="8" t="s">
        <v>57</v>
      </c>
      <c r="D105" s="26" t="str">
        <f>VLOOKUP($C105,classifications!$C:$J,4,FALSE)</f>
        <v>SD</v>
      </c>
      <c r="E105" s="26" t="str">
        <f>VLOOKUP(C105,classifications!C:K,9,FALSE)</f>
        <v>Sparse</v>
      </c>
      <c r="F105" s="36">
        <f t="shared" si="26"/>
        <v>79.865505920133472</v>
      </c>
      <c r="G105" s="71"/>
      <c r="H105" s="37">
        <f t="shared" si="27"/>
        <v>79.865505920133472</v>
      </c>
      <c r="I105" s="77">
        <f>IF(H105="","",IF($I$8="A",(RANK(H105,H$11:H$368,1)+COUNTIF(H$11:H105,H105)-1),(RANK(H105,H$11:H$368)+COUNTIF(H$11:H105,H105)-1)))</f>
        <v>119</v>
      </c>
      <c r="J105" s="35"/>
      <c r="K105" s="28">
        <f t="shared" si="35"/>
        <v>95</v>
      </c>
      <c r="L105" s="36" t="str">
        <f t="shared" si="28"/>
        <v>North West Leicestershire</v>
      </c>
      <c r="M105" s="102">
        <f t="shared" si="36"/>
        <v>81.080410908300962</v>
      </c>
      <c r="N105" s="101">
        <f t="shared" si="37"/>
        <v>81.080410908300962</v>
      </c>
      <c r="O105" s="94" t="str">
        <f t="shared" si="29"/>
        <v/>
      </c>
      <c r="P105" s="94">
        <f t="shared" si="45"/>
        <v>81.080410908300962</v>
      </c>
      <c r="Q105" s="94" t="str">
        <f t="shared" si="46"/>
        <v/>
      </c>
      <c r="R105" s="90" t="str">
        <f t="shared" si="47"/>
        <v/>
      </c>
      <c r="S105" s="37" t="str">
        <f t="shared" si="38"/>
        <v/>
      </c>
      <c r="T105" s="176" t="str">
        <f>IF(L105="","",VLOOKUP(L105,classifications!C:K,9,FALSE))</f>
        <v>Sparse</v>
      </c>
      <c r="U105" s="183">
        <f t="shared" si="30"/>
        <v>81.080410908300962</v>
      </c>
      <c r="V105" s="184">
        <f>IF(U105="","",IF($I$8="A",(RANK(U105,U$11:U$368)+COUNTIF(U$11:U105,U105)-1),(RANK(U105,U$11:U$368,1)+COUNTIF(U$11:U105,U105)-1)))</f>
        <v>34</v>
      </c>
      <c r="W105" s="185"/>
      <c r="X105" s="38" t="str">
        <f>IF(L105="","",VLOOKUP($L105,classifications!$C:$J,6,FALSE))</f>
        <v xml:space="preserve">Largely Rural (rural including hub towns 50-79%) </v>
      </c>
      <c r="Y105" s="26" t="str">
        <f t="shared" si="31"/>
        <v/>
      </c>
      <c r="Z105" s="34" t="str">
        <f>IF(Y105="","",IF(I$8="A",(RANK(Y105,Y$11:Y$368,1)+COUNTIF(Y$11:Y105,Y105)-1),(RANK(Y105,Y$11:Y$368)+COUNTIF(Y$11:Y105,Y105)-1)))</f>
        <v/>
      </c>
      <c r="AA105" s="188" t="str">
        <f>IF(L105="","",VLOOKUP($L105,classifications!C:I,7,FALSE))</f>
        <v>Predominantly Rural</v>
      </c>
      <c r="AB105" s="184">
        <f t="shared" si="39"/>
        <v>81.080410908300962</v>
      </c>
      <c r="AC105" s="184">
        <f>IF(AB105="","",IF($I$8="A",(RANK(AB105,AB$11:AB$368)+COUNTIF(AB$11:AB105,AB105)-1),(RANK(AB105,AB$11:AB$368,1)+COUNTIF(AB$11:AB105,AB105)-1)))</f>
        <v>34</v>
      </c>
      <c r="AD105" s="184"/>
      <c r="AE105" s="28" t="str">
        <f t="shared" si="49"/>
        <v/>
      </c>
      <c r="AG105" s="96"/>
      <c r="AH105" s="29"/>
      <c r="AI105" s="38" t="str">
        <f>IF(L105="","",VLOOKUP($L105,classifications!$C:$J,8,FALSE))</f>
        <v>Leicestershire</v>
      </c>
      <c r="AJ105" s="39" t="str">
        <f t="shared" si="32"/>
        <v/>
      </c>
      <c r="AK105" s="34" t="str">
        <f>IF(AJ105="","",IF(I$8="A",(RANK(AJ105,AJ$11:AJ$368,1)+COUNTIF(AJ$11:AJ105,AJ105)-1),(RANK(AJ105,AJ$11:AJ$368)+COUNTIF(AJ$11:AJ105,AJ105)-1)))</f>
        <v/>
      </c>
      <c r="AL105" s="29" t="str">
        <f t="shared" si="40"/>
        <v/>
      </c>
      <c r="AM105" s="8" t="str">
        <f t="shared" si="33"/>
        <v/>
      </c>
      <c r="AN105" s="8" t="str">
        <f t="shared" si="41"/>
        <v/>
      </c>
      <c r="AP105" s="38" t="str">
        <f>IF(L105="","",VLOOKUP($L105,classifications!$C:$E,3,FALSE))</f>
        <v>East Midlands</v>
      </c>
      <c r="AQ105" s="39" t="str">
        <f t="shared" si="42"/>
        <v/>
      </c>
      <c r="AR105" s="34" t="str">
        <f>IF(AQ105="","",IF(I$8="A",(RANK(AQ105,AQ$11:AQ$368,1)+COUNTIF(AQ$11:AQ105,AQ105)-1),(RANK(AQ105,AQ$11:AQ$368)+COUNTIF(AQ$11:AQ105,AQ105)-1)))</f>
        <v/>
      </c>
      <c r="AS105" s="29" t="str">
        <f t="shared" si="43"/>
        <v/>
      </c>
      <c r="AT105" s="34" t="str">
        <f t="shared" si="34"/>
        <v/>
      </c>
      <c r="AU105" s="39" t="str">
        <f t="shared" si="48"/>
        <v/>
      </c>
      <c r="AX105" s="21">
        <f>HLOOKUP($AX$9&amp;$AX$10,Data!$A$1:$ZZ$2000,(MATCH($C105,Data!$A$1:$A$2000,0)),FALSE)</f>
        <v>79.865505920133472</v>
      </c>
      <c r="AY105" s="103"/>
      <c r="AZ105" s="21"/>
    </row>
    <row r="106" spans="1:52">
      <c r="A106" s="56" t="str">
        <f>$D$1&amp;96</f>
        <v>SD96</v>
      </c>
      <c r="B106" s="57">
        <f>IF(ISERROR(VLOOKUP(A106,classifications!A:C,3,FALSE)),0,VLOOKUP(A106,classifications!A:C,3,FALSE))</f>
        <v>0</v>
      </c>
      <c r="C106" s="8" t="s">
        <v>58</v>
      </c>
      <c r="D106" s="26" t="str">
        <f>VLOOKUP($C106,classifications!$C:$J,4,FALSE)</f>
        <v>SD</v>
      </c>
      <c r="E106" s="26" t="str">
        <f>VLOOKUP(C106,classifications!C:K,9,FALSE)</f>
        <v>Sparse</v>
      </c>
      <c r="F106" s="36">
        <f t="shared" si="26"/>
        <v>85.003927852800842</v>
      </c>
      <c r="G106" s="71"/>
      <c r="H106" s="37">
        <f t="shared" si="27"/>
        <v>85.003927852800842</v>
      </c>
      <c r="I106" s="77">
        <f>IF(H106="","",IF($I$8="A",(RANK(H106,H$11:H$368,1)+COUNTIF(H$11:H106,H106)-1),(RANK(H106,H$11:H$368)+COUNTIF(H$11:H106,H106)-1)))</f>
        <v>29</v>
      </c>
      <c r="J106" s="35"/>
      <c r="K106" s="28">
        <f t="shared" si="35"/>
        <v>96</v>
      </c>
      <c r="L106" s="36" t="str">
        <f t="shared" si="28"/>
        <v>Craven</v>
      </c>
      <c r="M106" s="102">
        <f t="shared" si="36"/>
        <v>81.02170787711259</v>
      </c>
      <c r="N106" s="101">
        <f t="shared" si="37"/>
        <v>81.02170787711259</v>
      </c>
      <c r="O106" s="94" t="str">
        <f t="shared" si="29"/>
        <v/>
      </c>
      <c r="P106" s="94">
        <f t="shared" si="45"/>
        <v>81.02170787711259</v>
      </c>
      <c r="Q106" s="94" t="str">
        <f t="shared" si="46"/>
        <v/>
      </c>
      <c r="R106" s="90" t="str">
        <f t="shared" si="47"/>
        <v/>
      </c>
      <c r="S106" s="37" t="str">
        <f t="shared" si="38"/>
        <v/>
      </c>
      <c r="T106" s="176" t="str">
        <f>IF(L106="","",VLOOKUP(L106,classifications!C:K,9,FALSE))</f>
        <v>Sparse</v>
      </c>
      <c r="U106" s="183">
        <f t="shared" si="30"/>
        <v>81.02170787711259</v>
      </c>
      <c r="V106" s="184">
        <f>IF(U106="","",IF($I$8="A",(RANK(U106,U$11:U$368)+COUNTIF(U$11:U106,U106)-1),(RANK(U106,U$11:U$368,1)+COUNTIF(U$11:U106,U106)-1)))</f>
        <v>33</v>
      </c>
      <c r="W106" s="185"/>
      <c r="X106" s="38" t="str">
        <f>IF(L106="","",VLOOKUP($L106,classifications!$C:$J,6,FALSE))</f>
        <v xml:space="preserve">Mainly Rural (rural including hub towns &gt;=80%) </v>
      </c>
      <c r="Y106" s="26">
        <f t="shared" si="31"/>
        <v>81.02170787711259</v>
      </c>
      <c r="Z106" s="34">
        <f>IF(Y106="","",IF(I$8="A",(RANK(Y106,Y$11:Y$368,1)+COUNTIF(Y$11:Y106,Y106)-1),(RANK(Y106,Y$11:Y$368)+COUNTIF(Y$11:Y106,Y106)-1)))</f>
        <v>23</v>
      </c>
      <c r="AA106" s="188" t="str">
        <f>IF(L106="","",VLOOKUP($L106,classifications!C:I,7,FALSE))</f>
        <v>Predominantly Rural</v>
      </c>
      <c r="AB106" s="184">
        <f t="shared" si="39"/>
        <v>81.02170787711259</v>
      </c>
      <c r="AC106" s="184">
        <f>IF(AB106="","",IF($I$8="A",(RANK(AB106,AB$11:AB$368)+COUNTIF(AB$11:AB106,AB106)-1),(RANK(AB106,AB$11:AB$368,1)+COUNTIF(AB$11:AB106,AB106)-1)))</f>
        <v>33</v>
      </c>
      <c r="AD106" s="184"/>
      <c r="AE106" s="28" t="str">
        <f t="shared" si="49"/>
        <v/>
      </c>
      <c r="AG106" s="96"/>
      <c r="AH106" s="29"/>
      <c r="AI106" s="38" t="str">
        <f>IF(L106="","",VLOOKUP($L106,classifications!$C:$J,8,FALSE))</f>
        <v>North Yorkshire</v>
      </c>
      <c r="AJ106" s="39" t="str">
        <f t="shared" si="32"/>
        <v/>
      </c>
      <c r="AK106" s="34" t="str">
        <f>IF(AJ106="","",IF(I$8="A",(RANK(AJ106,AJ$11:AJ$368,1)+COUNTIF(AJ$11:AJ106,AJ106)-1),(RANK(AJ106,AJ$11:AJ$368)+COUNTIF(AJ$11:AJ106,AJ106)-1)))</f>
        <v/>
      </c>
      <c r="AL106" s="29" t="str">
        <f t="shared" si="40"/>
        <v/>
      </c>
      <c r="AM106" s="8" t="str">
        <f t="shared" si="33"/>
        <v/>
      </c>
      <c r="AN106" s="8" t="str">
        <f t="shared" si="41"/>
        <v/>
      </c>
      <c r="AP106" s="38" t="str">
        <f>IF(L106="","",VLOOKUP($L106,classifications!$C:$E,3,FALSE))</f>
        <v>Yorkshire &amp; Humberside</v>
      </c>
      <c r="AQ106" s="39" t="str">
        <f t="shared" si="42"/>
        <v/>
      </c>
      <c r="AR106" s="34" t="str">
        <f>IF(AQ106="","",IF(I$8="A",(RANK(AQ106,AQ$11:AQ$368,1)+COUNTIF(AQ$11:AQ106,AQ106)-1),(RANK(AQ106,AQ$11:AQ$368)+COUNTIF(AQ$11:AQ106,AQ106)-1)))</f>
        <v/>
      </c>
      <c r="AS106" s="29" t="str">
        <f t="shared" si="43"/>
        <v/>
      </c>
      <c r="AT106" s="34" t="str">
        <f t="shared" si="34"/>
        <v/>
      </c>
      <c r="AU106" s="39" t="str">
        <f t="shared" si="48"/>
        <v/>
      </c>
      <c r="AX106" s="21">
        <f>HLOOKUP($AX$9&amp;$AX$10,Data!$A$1:$ZZ$2000,(MATCH($C106,Data!$A$1:$A$2000,0)),FALSE)</f>
        <v>85.003927852800842</v>
      </c>
      <c r="AY106" s="103"/>
      <c r="AZ106" s="21"/>
    </row>
    <row r="107" spans="1:52">
      <c r="A107" s="56" t="str">
        <f>$D$1&amp;97</f>
        <v>SD97</v>
      </c>
      <c r="B107" s="57">
        <f>IF(ISERROR(VLOOKUP(A107,classifications!A:C,3,FALSE)),0,VLOOKUP(A107,classifications!A:C,3,FALSE))</f>
        <v>0</v>
      </c>
      <c r="C107" s="8" t="s">
        <v>267</v>
      </c>
      <c r="D107" s="26" t="str">
        <f>VLOOKUP($C107,classifications!$C:$J,4,FALSE)</f>
        <v>UA</v>
      </c>
      <c r="E107" s="26" t="str">
        <f>VLOOKUP(C107,classifications!C:K,9,FALSE)</f>
        <v>Sparse</v>
      </c>
      <c r="F107" s="36">
        <f t="shared" si="26"/>
        <v>81.9817101186771</v>
      </c>
      <c r="G107" s="71"/>
      <c r="H107" s="37" t="str">
        <f t="shared" si="27"/>
        <v/>
      </c>
      <c r="I107" s="77" t="str">
        <f>IF(H107="","",IF($I$8="A",(RANK(H107,H$11:H$368,1)+COUNTIF(H$11:H107,H107)-1),(RANK(H107,H$11:H$368)+COUNTIF(H$11:H107,H107)-1)))</f>
        <v/>
      </c>
      <c r="J107" s="35"/>
      <c r="K107" s="28">
        <f t="shared" si="35"/>
        <v>97</v>
      </c>
      <c r="L107" s="36" t="str">
        <f t="shared" si="28"/>
        <v>Guildford</v>
      </c>
      <c r="M107" s="102">
        <f t="shared" si="36"/>
        <v>80.952621005839859</v>
      </c>
      <c r="N107" s="101">
        <f t="shared" si="37"/>
        <v>80.952621005839859</v>
      </c>
      <c r="O107" s="94" t="str">
        <f t="shared" si="29"/>
        <v/>
      </c>
      <c r="P107" s="94" t="str">
        <f t="shared" si="45"/>
        <v/>
      </c>
      <c r="Q107" s="94">
        <f t="shared" si="46"/>
        <v>80.952621005839859</v>
      </c>
      <c r="R107" s="90" t="str">
        <f t="shared" si="47"/>
        <v/>
      </c>
      <c r="S107" s="37" t="str">
        <f t="shared" si="38"/>
        <v/>
      </c>
      <c r="T107" s="176">
        <f>IF(L107="","",VLOOKUP(L107,classifications!C:K,9,FALSE))</f>
        <v>0</v>
      </c>
      <c r="U107" s="183" t="str">
        <f t="shared" si="30"/>
        <v/>
      </c>
      <c r="V107" s="184" t="str">
        <f>IF(U107="","",IF($I$8="A",(RANK(U107,U$11:U$368)+COUNTIF(U$11:U107,U107)-1),(RANK(U107,U$11:U$368,1)+COUNTIF(U$11:U107,U107)-1)))</f>
        <v/>
      </c>
      <c r="W107" s="185"/>
      <c r="X107" s="38" t="str">
        <f>IF(L107="","",VLOOKUP($L107,classifications!$C:$J,6,FALSE))</f>
        <v>Urban with City and Town</v>
      </c>
      <c r="Y107" s="26" t="str">
        <f t="shared" si="31"/>
        <v/>
      </c>
      <c r="Z107" s="34" t="str">
        <f>IF(Y107="","",IF(I$8="A",(RANK(Y107,Y$11:Y$368,1)+COUNTIF(Y$11:Y107,Y107)-1),(RANK(Y107,Y$11:Y$368)+COUNTIF(Y$11:Y107,Y107)-1)))</f>
        <v/>
      </c>
      <c r="AA107" s="188" t="str">
        <f>IF(L107="","",VLOOKUP($L107,classifications!C:I,7,FALSE))</f>
        <v>Predominantly Urban</v>
      </c>
      <c r="AB107" s="184" t="str">
        <f t="shared" si="39"/>
        <v/>
      </c>
      <c r="AC107" s="184" t="str">
        <f>IF(AB107="","",IF($I$8="A",(RANK(AB107,AB$11:AB$368)+COUNTIF(AB$11:AB107,AB107)-1),(RANK(AB107,AB$11:AB$368,1)+COUNTIF(AB$11:AB107,AB107)-1)))</f>
        <v/>
      </c>
      <c r="AD107" s="184"/>
      <c r="AE107" s="28" t="str">
        <f t="shared" si="49"/>
        <v/>
      </c>
      <c r="AG107" s="96"/>
      <c r="AH107" s="29"/>
      <c r="AI107" s="38" t="str">
        <f>IF(L107="","",VLOOKUP($L107,classifications!$C:$J,8,FALSE))</f>
        <v>Surrey</v>
      </c>
      <c r="AJ107" s="39" t="str">
        <f t="shared" si="32"/>
        <v/>
      </c>
      <c r="AK107" s="34" t="str">
        <f>IF(AJ107="","",IF(I$8="A",(RANK(AJ107,AJ$11:AJ$368,1)+COUNTIF(AJ$11:AJ107,AJ107)-1),(RANK(AJ107,AJ$11:AJ$368)+COUNTIF(AJ$11:AJ107,AJ107)-1)))</f>
        <v/>
      </c>
      <c r="AL107" s="29" t="str">
        <f t="shared" si="40"/>
        <v/>
      </c>
      <c r="AM107" s="8" t="str">
        <f t="shared" si="33"/>
        <v/>
      </c>
      <c r="AN107" s="8" t="str">
        <f t="shared" si="41"/>
        <v/>
      </c>
      <c r="AP107" s="38" t="str">
        <f>IF(L107="","",VLOOKUP($L107,classifications!$C:$E,3,FALSE))</f>
        <v>South East</v>
      </c>
      <c r="AQ107" s="39" t="str">
        <f t="shared" si="42"/>
        <v/>
      </c>
      <c r="AR107" s="34" t="str">
        <f>IF(AQ107="","",IF(I$8="A",(RANK(AQ107,AQ$11:AQ$368,1)+COUNTIF(AQ$11:AQ107,AQ107)-1),(RANK(AQ107,AQ$11:AQ$368)+COUNTIF(AQ$11:AQ107,AQ107)-1)))</f>
        <v/>
      </c>
      <c r="AS107" s="29" t="str">
        <f t="shared" si="43"/>
        <v/>
      </c>
      <c r="AT107" s="34" t="str">
        <f t="shared" si="34"/>
        <v/>
      </c>
      <c r="AU107" s="39" t="str">
        <f t="shared" si="48"/>
        <v/>
      </c>
      <c r="AX107" s="21">
        <f>HLOOKUP($AX$9&amp;$AX$10,Data!$A$1:$ZZ$2000,(MATCH($C107,Data!$A$1:$A$2000,0)),FALSE)</f>
        <v>81.9817101186771</v>
      </c>
      <c r="AY107" s="103"/>
      <c r="AZ107" s="21"/>
    </row>
    <row r="108" spans="1:52">
      <c r="A108" s="56" t="str">
        <f>$D$1&amp;98</f>
        <v>SD98</v>
      </c>
      <c r="B108" s="57">
        <f>IF(ISERROR(VLOOKUP(A108,classifications!A:C,3,FALSE)),0,VLOOKUP(A108,classifications!A:C,3,FALSE))</f>
        <v>0</v>
      </c>
      <c r="C108" s="8" t="s">
        <v>59</v>
      </c>
      <c r="D108" s="26" t="str">
        <f>VLOOKUP($C108,classifications!$C:$J,4,FALSE)</f>
        <v>SD</v>
      </c>
      <c r="E108" s="26">
        <f>VLOOKUP(C108,classifications!C:K,9,FALSE)</f>
        <v>0</v>
      </c>
      <c r="F108" s="36">
        <f t="shared" si="26"/>
        <v>75.244431660961723</v>
      </c>
      <c r="G108" s="71"/>
      <c r="H108" s="37">
        <f t="shared" si="27"/>
        <v>75.244431660961723</v>
      </c>
      <c r="I108" s="77">
        <f>IF(H108="","",IF($I$8="A",(RANK(H108,H$11:H$368,1)+COUNTIF(H$11:H108,H108)-1),(RANK(H108,H$11:H$368)+COUNTIF(H$11:H108,H108)-1)))</f>
        <v>175</v>
      </c>
      <c r="J108" s="35"/>
      <c r="K108" s="28">
        <f t="shared" si="35"/>
        <v>98</v>
      </c>
      <c r="L108" s="36" t="str">
        <f t="shared" si="28"/>
        <v>Wealden</v>
      </c>
      <c r="M108" s="102">
        <f t="shared" si="36"/>
        <v>80.817995230448389</v>
      </c>
      <c r="N108" s="101">
        <f t="shared" si="37"/>
        <v>80.817995230448389</v>
      </c>
      <c r="O108" s="94" t="str">
        <f t="shared" si="29"/>
        <v/>
      </c>
      <c r="P108" s="94" t="str">
        <f t="shared" si="45"/>
        <v/>
      </c>
      <c r="Q108" s="94">
        <f t="shared" si="46"/>
        <v>80.817995230448389</v>
      </c>
      <c r="R108" s="90" t="str">
        <f t="shared" si="47"/>
        <v/>
      </c>
      <c r="S108" s="37" t="str">
        <f t="shared" si="38"/>
        <v/>
      </c>
      <c r="T108" s="176" t="str">
        <f>IF(L108="","",VLOOKUP(L108,classifications!C:K,9,FALSE))</f>
        <v>Sparse</v>
      </c>
      <c r="U108" s="183">
        <f t="shared" si="30"/>
        <v>80.817995230448389</v>
      </c>
      <c r="V108" s="184">
        <f>IF(U108="","",IF($I$8="A",(RANK(U108,U$11:U$368)+COUNTIF(U$11:U108,U108)-1),(RANK(U108,U$11:U$368,1)+COUNTIF(U$11:U108,U108)-1)))</f>
        <v>32</v>
      </c>
      <c r="W108" s="185"/>
      <c r="X108" s="38" t="str">
        <f>IF(L108="","",VLOOKUP($L108,classifications!$C:$J,6,FALSE))</f>
        <v xml:space="preserve">Mainly Rural (rural including hub towns &gt;=80%) </v>
      </c>
      <c r="Y108" s="26">
        <f t="shared" si="31"/>
        <v>80.817995230448389</v>
      </c>
      <c r="Z108" s="34">
        <f>IF(Y108="","",IF(I$8="A",(RANK(Y108,Y$11:Y$368,1)+COUNTIF(Y$11:Y108,Y108)-1),(RANK(Y108,Y$11:Y$368)+COUNTIF(Y$11:Y108,Y108)-1)))</f>
        <v>24</v>
      </c>
      <c r="AA108" s="188" t="str">
        <f>IF(L108="","",VLOOKUP($L108,classifications!C:I,7,FALSE))</f>
        <v>Predominantly Rural</v>
      </c>
      <c r="AB108" s="184">
        <f t="shared" si="39"/>
        <v>80.817995230448389</v>
      </c>
      <c r="AC108" s="184">
        <f>IF(AB108="","",IF($I$8="A",(RANK(AB108,AB$11:AB$368)+COUNTIF(AB$11:AB108,AB108)-1),(RANK(AB108,AB$11:AB$368,1)+COUNTIF(AB$11:AB108,AB108)-1)))</f>
        <v>32</v>
      </c>
      <c r="AD108" s="184"/>
      <c r="AE108" s="28" t="str">
        <f t="shared" si="49"/>
        <v/>
      </c>
      <c r="AG108" s="96"/>
      <c r="AH108" s="29"/>
      <c r="AI108" s="38" t="str">
        <f>IF(L108="","",VLOOKUP($L108,classifications!$C:$J,8,FALSE))</f>
        <v>East Sussex</v>
      </c>
      <c r="AJ108" s="39" t="str">
        <f t="shared" si="32"/>
        <v/>
      </c>
      <c r="AK108" s="34" t="str">
        <f>IF(AJ108="","",IF(I$8="A",(RANK(AJ108,AJ$11:AJ$368,1)+COUNTIF(AJ$11:AJ108,AJ108)-1),(RANK(AJ108,AJ$11:AJ$368)+COUNTIF(AJ$11:AJ108,AJ108)-1)))</f>
        <v/>
      </c>
      <c r="AL108" s="29" t="str">
        <f t="shared" si="40"/>
        <v/>
      </c>
      <c r="AM108" s="8" t="str">
        <f t="shared" si="33"/>
        <v/>
      </c>
      <c r="AN108" s="8" t="str">
        <f t="shared" si="41"/>
        <v/>
      </c>
      <c r="AP108" s="38" t="str">
        <f>IF(L108="","",VLOOKUP($L108,classifications!$C:$E,3,FALSE))</f>
        <v>South East</v>
      </c>
      <c r="AQ108" s="39" t="str">
        <f t="shared" si="42"/>
        <v/>
      </c>
      <c r="AR108" s="34" t="str">
        <f>IF(AQ108="","",IF(I$8="A",(RANK(AQ108,AQ$11:AQ$368,1)+COUNTIF(AQ$11:AQ108,AQ108)-1),(RANK(AQ108,AQ$11:AQ$368)+COUNTIF(AQ$11:AQ108,AQ108)-1)))</f>
        <v/>
      </c>
      <c r="AS108" s="29" t="str">
        <f t="shared" si="43"/>
        <v/>
      </c>
      <c r="AT108" s="34" t="str">
        <f t="shared" si="34"/>
        <v/>
      </c>
      <c r="AU108" s="39" t="str">
        <f t="shared" si="48"/>
        <v/>
      </c>
      <c r="AX108" s="21">
        <f>HLOOKUP($AX$9&amp;$AX$10,Data!$A$1:$ZZ$2000,(MATCH($C108,Data!$A$1:$A$2000,0)),FALSE)</f>
        <v>75.244431660961723</v>
      </c>
      <c r="AY108" s="103"/>
      <c r="AZ108" s="21"/>
    </row>
    <row r="109" spans="1:52">
      <c r="A109" s="56" t="str">
        <f>$D$1&amp;99</f>
        <v>SD99</v>
      </c>
      <c r="B109" s="57">
        <f>IF(ISERROR(VLOOKUP(A109,classifications!A:C,3,FALSE)),0,VLOOKUP(A109,classifications!A:C,3,FALSE))</f>
        <v>0</v>
      </c>
      <c r="C109" s="8" t="s">
        <v>908</v>
      </c>
      <c r="D109" s="26" t="str">
        <f>VLOOKUP($C109,classifications!$C:$J,4,FALSE)</f>
        <v>SD</v>
      </c>
      <c r="E109" s="26" t="str">
        <f>VLOOKUP(C109,classifications!C:K,9,FALSE)</f>
        <v>Sparse</v>
      </c>
      <c r="F109" s="36">
        <f t="shared" si="26"/>
        <v>80.594473970476059</v>
      </c>
      <c r="G109" s="71"/>
      <c r="H109" s="37">
        <f t="shared" si="27"/>
        <v>80.594473970476059</v>
      </c>
      <c r="I109" s="77">
        <f>IF(H109="","",IF($I$8="A",(RANK(H109,H$11:H$368,1)+COUNTIF(H$11:H109,H109)-1),(RANK(H109,H$11:H$368)+COUNTIF(H$11:H109,H109)-1)))</f>
        <v>105</v>
      </c>
      <c r="J109" s="35"/>
      <c r="K109" s="28">
        <f t="shared" si="35"/>
        <v>99</v>
      </c>
      <c r="L109" s="36" t="str">
        <f t="shared" si="28"/>
        <v>Copeland</v>
      </c>
      <c r="M109" s="102">
        <f t="shared" si="36"/>
        <v>80.802168649499023</v>
      </c>
      <c r="N109" s="101">
        <f t="shared" si="37"/>
        <v>80.802168649499023</v>
      </c>
      <c r="O109" s="94" t="str">
        <f t="shared" si="29"/>
        <v/>
      </c>
      <c r="P109" s="94" t="str">
        <f t="shared" si="45"/>
        <v/>
      </c>
      <c r="Q109" s="94">
        <f t="shared" si="46"/>
        <v>80.802168649499023</v>
      </c>
      <c r="R109" s="90" t="str">
        <f t="shared" si="47"/>
        <v/>
      </c>
      <c r="S109" s="37" t="str">
        <f t="shared" si="38"/>
        <v/>
      </c>
      <c r="T109" s="176" t="str">
        <f>IF(L109="","",VLOOKUP(L109,classifications!C:K,9,FALSE))</f>
        <v>Sparse</v>
      </c>
      <c r="U109" s="183">
        <f t="shared" si="30"/>
        <v>80.802168649499023</v>
      </c>
      <c r="V109" s="184">
        <f>IF(U109="","",IF($I$8="A",(RANK(U109,U$11:U$368)+COUNTIF(U$11:U109,U109)-1),(RANK(U109,U$11:U$368,1)+COUNTIF(U$11:U109,U109)-1)))</f>
        <v>31</v>
      </c>
      <c r="W109" s="185"/>
      <c r="X109" s="38" t="str">
        <f>IF(L109="","",VLOOKUP($L109,classifications!$C:$J,6,FALSE))</f>
        <v xml:space="preserve">Mainly Rural (rural including hub towns &gt;=80%) </v>
      </c>
      <c r="Y109" s="26">
        <f t="shared" si="31"/>
        <v>80.802168649499023</v>
      </c>
      <c r="Z109" s="34">
        <f>IF(Y109="","",IF(I$8="A",(RANK(Y109,Y$11:Y$368,1)+COUNTIF(Y$11:Y109,Y109)-1),(RANK(Y109,Y$11:Y$368)+COUNTIF(Y$11:Y109,Y109)-1)))</f>
        <v>25</v>
      </c>
      <c r="AA109" s="188" t="str">
        <f>IF(L109="","",VLOOKUP($L109,classifications!C:I,7,FALSE))</f>
        <v>Predominantly Rural</v>
      </c>
      <c r="AB109" s="184">
        <f t="shared" si="39"/>
        <v>80.802168649499023</v>
      </c>
      <c r="AC109" s="184">
        <f>IF(AB109="","",IF($I$8="A",(RANK(AB109,AB$11:AB$368)+COUNTIF(AB$11:AB109,AB109)-1),(RANK(AB109,AB$11:AB$368,1)+COUNTIF(AB$11:AB109,AB109)-1)))</f>
        <v>31</v>
      </c>
      <c r="AD109" s="184"/>
      <c r="AE109" s="28" t="str">
        <f t="shared" si="49"/>
        <v/>
      </c>
      <c r="AG109" s="96"/>
      <c r="AH109" s="29"/>
      <c r="AI109" s="38" t="str">
        <f>IF(L109="","",VLOOKUP($L109,classifications!$C:$J,8,FALSE))</f>
        <v>Cumbria</v>
      </c>
      <c r="AJ109" s="39">
        <f t="shared" si="32"/>
        <v>80.802168649499023</v>
      </c>
      <c r="AK109" s="34">
        <f>IF(AJ109="","",IF(I$8="A",(RANK(AJ109,AJ$11:AJ$368,1)+COUNTIF(AJ$11:AJ109,AJ109)-1),(RANK(AJ109,AJ$11:AJ$368)+COUNTIF(AJ$11:AJ109,AJ109)-1)))</f>
        <v>4</v>
      </c>
      <c r="AL109" s="29" t="str">
        <f t="shared" si="40"/>
        <v/>
      </c>
      <c r="AM109" s="8" t="str">
        <f t="shared" si="33"/>
        <v/>
      </c>
      <c r="AN109" s="8" t="str">
        <f t="shared" si="41"/>
        <v/>
      </c>
      <c r="AP109" s="38" t="str">
        <f>IF(L109="","",VLOOKUP($L109,classifications!$C:$E,3,FALSE))</f>
        <v>North West</v>
      </c>
      <c r="AQ109" s="39">
        <f t="shared" si="42"/>
        <v>80.802168649499023</v>
      </c>
      <c r="AR109" s="34">
        <f>IF(AQ109="","",IF(I$8="A",(RANK(AQ109,AQ$11:AQ$368,1)+COUNTIF(AQ$11:AQ109,AQ109)-1),(RANK(AQ109,AQ$11:AQ$368)+COUNTIF(AQ$11:AQ109,AQ109)-1)))</f>
        <v>7</v>
      </c>
      <c r="AS109" s="29" t="str">
        <f t="shared" si="43"/>
        <v/>
      </c>
      <c r="AT109" s="34" t="str">
        <f t="shared" si="34"/>
        <v/>
      </c>
      <c r="AU109" s="39" t="str">
        <f t="shared" si="48"/>
        <v/>
      </c>
      <c r="AX109" s="21">
        <f>HLOOKUP($AX$9&amp;$AX$10,Data!$A$1:$ZZ$2000,(MATCH($C109,Data!$A$1:$A$2000,0)),FALSE)</f>
        <v>80.594473970476059</v>
      </c>
      <c r="AY109" s="103"/>
      <c r="AZ109" s="21"/>
    </row>
    <row r="110" spans="1:52">
      <c r="A110" s="56" t="str">
        <f>$D$1&amp;100</f>
        <v>SD100</v>
      </c>
      <c r="B110" s="57">
        <f>IF(ISERROR(VLOOKUP(A110,classifications!A:C,3,FALSE)),0,VLOOKUP(A110,classifications!A:C,3,FALSE))</f>
        <v>0</v>
      </c>
      <c r="C110" s="8" t="s">
        <v>310</v>
      </c>
      <c r="D110" s="26" t="str">
        <f>VLOOKUP($C110,classifications!$C:$J,4,FALSE)</f>
        <v>SC</v>
      </c>
      <c r="E110" s="26" t="str">
        <f>VLOOKUP(C110,classifications!C:K,9,FALSE)</f>
        <v>Sparse</v>
      </c>
      <c r="F110" s="36">
        <f t="shared" si="26"/>
        <v>82.023993758774964</v>
      </c>
      <c r="G110" s="71"/>
      <c r="H110" s="37" t="str">
        <f t="shared" si="27"/>
        <v/>
      </c>
      <c r="I110" s="77" t="str">
        <f>IF(H110="","",IF($I$8="A",(RANK(H110,H$11:H$368,1)+COUNTIF(H$11:H110,H110)-1),(RANK(H110,H$11:H$368)+COUNTIF(H$11:H110,H110)-1)))</f>
        <v/>
      </c>
      <c r="J110" s="35"/>
      <c r="K110" s="28">
        <f t="shared" si="35"/>
        <v>100</v>
      </c>
      <c r="L110" s="36" t="str">
        <f t="shared" si="28"/>
        <v>Canterbury</v>
      </c>
      <c r="M110" s="102">
        <f t="shared" si="36"/>
        <v>80.768145290725784</v>
      </c>
      <c r="N110" s="101">
        <f t="shared" si="37"/>
        <v>80.768145290725784</v>
      </c>
      <c r="O110" s="94" t="str">
        <f t="shared" si="29"/>
        <v/>
      </c>
      <c r="P110" s="94" t="str">
        <f t="shared" si="45"/>
        <v/>
      </c>
      <c r="Q110" s="94">
        <f t="shared" si="46"/>
        <v>80.768145290725784</v>
      </c>
      <c r="R110" s="90" t="str">
        <f t="shared" si="47"/>
        <v/>
      </c>
      <c r="S110" s="37" t="str">
        <f t="shared" si="38"/>
        <v/>
      </c>
      <c r="T110" s="176">
        <f>IF(L110="","",VLOOKUP(L110,classifications!C:K,9,FALSE))</f>
        <v>0</v>
      </c>
      <c r="U110" s="183" t="str">
        <f t="shared" si="30"/>
        <v/>
      </c>
      <c r="V110" s="184" t="str">
        <f>IF(U110="","",IF($I$8="A",(RANK(U110,U$11:U$368)+COUNTIF(U$11:U110,U110)-1),(RANK(U110,U$11:U$368,1)+COUNTIF(U$11:U110,U110)-1)))</f>
        <v/>
      </c>
      <c r="W110" s="185"/>
      <c r="X110" s="38" t="str">
        <f>IF(L110="","",VLOOKUP($L110,classifications!$C:$J,6,FALSE))</f>
        <v>Urban with City and Town</v>
      </c>
      <c r="Y110" s="26" t="str">
        <f t="shared" si="31"/>
        <v/>
      </c>
      <c r="Z110" s="34" t="str">
        <f>IF(Y110="","",IF(I$8="A",(RANK(Y110,Y$11:Y$368,1)+COUNTIF(Y$11:Y110,Y110)-1),(RANK(Y110,Y$11:Y$368)+COUNTIF(Y$11:Y110,Y110)-1)))</f>
        <v/>
      </c>
      <c r="AA110" s="188" t="str">
        <f>IF(L110="","",VLOOKUP($L110,classifications!C:I,7,FALSE))</f>
        <v>Predominantly Urban</v>
      </c>
      <c r="AB110" s="184" t="str">
        <f t="shared" si="39"/>
        <v/>
      </c>
      <c r="AC110" s="184" t="str">
        <f>IF(AB110="","",IF($I$8="A",(RANK(AB110,AB$11:AB$368)+COUNTIF(AB$11:AB110,AB110)-1),(RANK(AB110,AB$11:AB$368,1)+COUNTIF(AB$11:AB110,AB110)-1)))</f>
        <v/>
      </c>
      <c r="AD110" s="184"/>
      <c r="AE110" s="28" t="str">
        <f t="shared" si="49"/>
        <v/>
      </c>
      <c r="AG110" s="96"/>
      <c r="AH110" s="29"/>
      <c r="AI110" s="38" t="str">
        <f>IF(L110="","",VLOOKUP($L110,classifications!$C:$J,8,FALSE))</f>
        <v>Kent</v>
      </c>
      <c r="AJ110" s="39" t="str">
        <f t="shared" si="32"/>
        <v/>
      </c>
      <c r="AK110" s="34" t="str">
        <f>IF(AJ110="","",IF(I$8="A",(RANK(AJ110,AJ$11:AJ$368,1)+COUNTIF(AJ$11:AJ110,AJ110)-1),(RANK(AJ110,AJ$11:AJ$368)+COUNTIF(AJ$11:AJ110,AJ110)-1)))</f>
        <v/>
      </c>
      <c r="AL110" s="29" t="str">
        <f t="shared" si="40"/>
        <v/>
      </c>
      <c r="AM110" s="8" t="str">
        <f t="shared" si="33"/>
        <v/>
      </c>
      <c r="AN110" s="8" t="str">
        <f t="shared" si="41"/>
        <v/>
      </c>
      <c r="AP110" s="38" t="str">
        <f>IF(L110="","",VLOOKUP($L110,classifications!$C:$E,3,FALSE))</f>
        <v>South East</v>
      </c>
      <c r="AQ110" s="39" t="str">
        <f t="shared" si="42"/>
        <v/>
      </c>
      <c r="AR110" s="34" t="str">
        <f>IF(AQ110="","",IF(I$8="A",(RANK(AQ110,AQ$11:AQ$368,1)+COUNTIF(AQ$11:AQ110,AQ110)-1),(RANK(AQ110,AQ$11:AQ$368)+COUNTIF(AQ$11:AQ110,AQ110)-1)))</f>
        <v/>
      </c>
      <c r="AS110" s="29" t="str">
        <f t="shared" si="43"/>
        <v/>
      </c>
      <c r="AT110" s="34" t="str">
        <f t="shared" si="34"/>
        <v/>
      </c>
      <c r="AU110" s="39" t="str">
        <f t="shared" si="48"/>
        <v/>
      </c>
      <c r="AX110" s="21">
        <f>HLOOKUP($AX$9&amp;$AX$10,Data!$A$1:$ZZ$2000,(MATCH($C110,Data!$A$1:$A$2000,0)),FALSE)</f>
        <v>82.023993758774964</v>
      </c>
      <c r="AY110" s="103"/>
      <c r="AZ110" s="21"/>
    </row>
    <row r="111" spans="1:52">
      <c r="A111" s="56" t="str">
        <f>$D$1&amp;101</f>
        <v>SD101</v>
      </c>
      <c r="B111" s="57">
        <f>IF(ISERROR(VLOOKUP(A111,classifications!A:C,3,FALSE)),0,VLOOKUP(A111,classifications!A:C,3,FALSE))</f>
        <v>0</v>
      </c>
      <c r="C111" s="8" t="s">
        <v>60</v>
      </c>
      <c r="D111" s="26" t="str">
        <f>VLOOKUP($C111,classifications!$C:$J,4,FALSE)</f>
        <v>SD</v>
      </c>
      <c r="E111" s="26">
        <f>VLOOKUP(C111,classifications!C:K,9,FALSE)</f>
        <v>0</v>
      </c>
      <c r="F111" s="36">
        <f t="shared" si="26"/>
        <v>83.083729736789735</v>
      </c>
      <c r="G111" s="71"/>
      <c r="H111" s="37">
        <f t="shared" si="27"/>
        <v>83.083729736789735</v>
      </c>
      <c r="I111" s="77">
        <f>IF(H111="","",IF($I$8="A",(RANK(H111,H$11:H$368,1)+COUNTIF(H$11:H111,H111)-1),(RANK(H111,H$11:H$368)+COUNTIF(H$11:H111,H111)-1)))</f>
        <v>57</v>
      </c>
      <c r="J111" s="35"/>
      <c r="K111" s="28">
        <f t="shared" si="35"/>
        <v>101</v>
      </c>
      <c r="L111" s="36" t="str">
        <f t="shared" si="28"/>
        <v>Aylesbury Vale</v>
      </c>
      <c r="M111" s="102">
        <f t="shared" si="36"/>
        <v>80.767974982154783</v>
      </c>
      <c r="N111" s="101">
        <f t="shared" si="37"/>
        <v>80.767974982154783</v>
      </c>
      <c r="O111" s="94" t="str">
        <f t="shared" si="29"/>
        <v/>
      </c>
      <c r="P111" s="94" t="str">
        <f t="shared" si="45"/>
        <v/>
      </c>
      <c r="Q111" s="94">
        <f t="shared" si="46"/>
        <v>80.767974982154783</v>
      </c>
      <c r="R111" s="90" t="str">
        <f t="shared" si="47"/>
        <v/>
      </c>
      <c r="S111" s="37" t="str">
        <f t="shared" si="38"/>
        <v/>
      </c>
      <c r="T111" s="176">
        <f>IF(L111="","",VLOOKUP(L111,classifications!C:K,9,FALSE))</f>
        <v>0</v>
      </c>
      <c r="U111" s="183" t="str">
        <f t="shared" si="30"/>
        <v/>
      </c>
      <c r="V111" s="184" t="str">
        <f>IF(U111="","",IF($I$8="A",(RANK(U111,U$11:U$368)+COUNTIF(U$11:U111,U111)-1),(RANK(U111,U$11:U$368,1)+COUNTIF(U$11:U111,U111)-1)))</f>
        <v/>
      </c>
      <c r="W111" s="185"/>
      <c r="X111" s="38" t="str">
        <f>IF(L111="","",VLOOKUP($L111,classifications!$C:$J,6,FALSE))</f>
        <v xml:space="preserve">Largely Rural (rural including hub towns 50-79%) </v>
      </c>
      <c r="Y111" s="26" t="str">
        <f t="shared" si="31"/>
        <v/>
      </c>
      <c r="Z111" s="34" t="str">
        <f>IF(Y111="","",IF(I$8="A",(RANK(Y111,Y$11:Y$368,1)+COUNTIF(Y$11:Y111,Y111)-1),(RANK(Y111,Y$11:Y$368)+COUNTIF(Y$11:Y111,Y111)-1)))</f>
        <v/>
      </c>
      <c r="AA111" s="188" t="str">
        <f>IF(L111="","",VLOOKUP($L111,classifications!C:I,7,FALSE))</f>
        <v>Predominantly Rural</v>
      </c>
      <c r="AB111" s="184">
        <f t="shared" si="39"/>
        <v>80.767974982154783</v>
      </c>
      <c r="AC111" s="184">
        <f>IF(AB111="","",IF($I$8="A",(RANK(AB111,AB$11:AB$368)+COUNTIF(AB$11:AB111,AB111)-1),(RANK(AB111,AB$11:AB$368,1)+COUNTIF(AB$11:AB111,AB111)-1)))</f>
        <v>30</v>
      </c>
      <c r="AD111" s="184"/>
      <c r="AE111" s="28" t="str">
        <f t="shared" si="49"/>
        <v/>
      </c>
      <c r="AG111" s="96"/>
      <c r="AH111" s="29"/>
      <c r="AI111" s="38" t="str">
        <f>IF(L111="","",VLOOKUP($L111,classifications!$C:$J,8,FALSE))</f>
        <v>Buckinghamshire</v>
      </c>
      <c r="AJ111" s="39" t="str">
        <f t="shared" si="32"/>
        <v/>
      </c>
      <c r="AK111" s="34" t="str">
        <f>IF(AJ111="","",IF(I$8="A",(RANK(AJ111,AJ$11:AJ$368,1)+COUNTIF(AJ$11:AJ111,AJ111)-1),(RANK(AJ111,AJ$11:AJ$368)+COUNTIF(AJ$11:AJ111,AJ111)-1)))</f>
        <v/>
      </c>
      <c r="AL111" s="29" t="str">
        <f t="shared" si="40"/>
        <v/>
      </c>
      <c r="AM111" s="8" t="str">
        <f t="shared" si="33"/>
        <v/>
      </c>
      <c r="AN111" s="8" t="str">
        <f t="shared" si="41"/>
        <v/>
      </c>
      <c r="AP111" s="38" t="str">
        <f>IF(L111="","",VLOOKUP($L111,classifications!$C:$E,3,FALSE))</f>
        <v>South East</v>
      </c>
      <c r="AQ111" s="39" t="str">
        <f t="shared" si="42"/>
        <v/>
      </c>
      <c r="AR111" s="34" t="str">
        <f>IF(AQ111="","",IF(I$8="A",(RANK(AQ111,AQ$11:AQ$368,1)+COUNTIF(AQ$11:AQ111,AQ111)-1),(RANK(AQ111,AQ$11:AQ$368)+COUNTIF(AQ$11:AQ111,AQ111)-1)))</f>
        <v/>
      </c>
      <c r="AS111" s="29" t="str">
        <f t="shared" si="43"/>
        <v/>
      </c>
      <c r="AT111" s="34" t="str">
        <f t="shared" si="34"/>
        <v/>
      </c>
      <c r="AU111" s="39" t="str">
        <f t="shared" si="48"/>
        <v/>
      </c>
      <c r="AX111" s="21">
        <f>HLOOKUP($AX$9&amp;$AX$10,Data!$A$1:$ZZ$2000,(MATCH($C111,Data!$A$1:$A$2000,0)),FALSE)</f>
        <v>83.083729736789735</v>
      </c>
      <c r="AY111" s="103"/>
      <c r="AZ111" s="21"/>
    </row>
    <row r="112" spans="1:52">
      <c r="A112" s="56" t="str">
        <f>$D$1&amp;102</f>
        <v>SD102</v>
      </c>
      <c r="B112" s="57">
        <f>IF(ISERROR(VLOOKUP(A112,classifications!A:C,3,FALSE)),0,VLOOKUP(A112,classifications!A:C,3,FALSE))</f>
        <v>0</v>
      </c>
      <c r="C112" s="8" t="s">
        <v>61</v>
      </c>
      <c r="D112" s="26" t="str">
        <f>VLOOKUP($C112,classifications!$C:$J,4,FALSE)</f>
        <v>SD</v>
      </c>
      <c r="E112" s="26">
        <f>VLOOKUP(C112,classifications!C:K,9,FALSE)</f>
        <v>0</v>
      </c>
      <c r="F112" s="36">
        <f t="shared" si="26"/>
        <v>81.958114409887827</v>
      </c>
      <c r="G112" s="71"/>
      <c r="H112" s="37">
        <f t="shared" si="27"/>
        <v>81.958114409887827</v>
      </c>
      <c r="I112" s="77">
        <f>IF(H112="","",IF($I$8="A",(RANK(H112,H$11:H$368,1)+COUNTIF(H$11:H112,H112)-1),(RANK(H112,H$11:H$368)+COUNTIF(H$11:H112,H112)-1)))</f>
        <v>79</v>
      </c>
      <c r="J112" s="35"/>
      <c r="K112" s="28">
        <f t="shared" si="35"/>
        <v>102</v>
      </c>
      <c r="L112" s="36" t="str">
        <f t="shared" si="28"/>
        <v>Adur</v>
      </c>
      <c r="M112" s="102">
        <f t="shared" si="36"/>
        <v>80.665375065265906</v>
      </c>
      <c r="N112" s="101">
        <f t="shared" si="37"/>
        <v>80.665375065265906</v>
      </c>
      <c r="O112" s="94" t="str">
        <f t="shared" si="29"/>
        <v/>
      </c>
      <c r="P112" s="94" t="str">
        <f t="shared" si="45"/>
        <v/>
      </c>
      <c r="Q112" s="94">
        <f t="shared" si="46"/>
        <v>80.665375065265906</v>
      </c>
      <c r="R112" s="90" t="str">
        <f t="shared" si="47"/>
        <v/>
      </c>
      <c r="S112" s="37" t="str">
        <f t="shared" si="38"/>
        <v/>
      </c>
      <c r="T112" s="176">
        <f>IF(L112="","",VLOOKUP(L112,classifications!C:K,9,FALSE))</f>
        <v>0</v>
      </c>
      <c r="U112" s="183" t="str">
        <f t="shared" si="30"/>
        <v/>
      </c>
      <c r="V112" s="184" t="str">
        <f>IF(U112="","",IF($I$8="A",(RANK(U112,U$11:U$368)+COUNTIF(U$11:U112,U112)-1),(RANK(U112,U$11:U$368,1)+COUNTIF(U$11:U112,U112)-1)))</f>
        <v/>
      </c>
      <c r="W112" s="185"/>
      <c r="X112" s="38" t="str">
        <f>IF(L112="","",VLOOKUP($L112,classifications!$C:$J,6,FALSE))</f>
        <v>Urban with City and Town</v>
      </c>
      <c r="Y112" s="26" t="str">
        <f t="shared" si="31"/>
        <v/>
      </c>
      <c r="Z112" s="34" t="str">
        <f>IF(Y112="","",IF(I$8="A",(RANK(Y112,Y$11:Y$368,1)+COUNTIF(Y$11:Y112,Y112)-1),(RANK(Y112,Y$11:Y$368)+COUNTIF(Y$11:Y112,Y112)-1)))</f>
        <v/>
      </c>
      <c r="AA112" s="188" t="str">
        <f>IF(L112="","",VLOOKUP($L112,classifications!C:I,7,FALSE))</f>
        <v>Predominantly Urban</v>
      </c>
      <c r="AB112" s="184" t="str">
        <f t="shared" si="39"/>
        <v/>
      </c>
      <c r="AC112" s="184" t="str">
        <f>IF(AB112="","",IF($I$8="A",(RANK(AB112,AB$11:AB$368)+COUNTIF(AB$11:AB112,AB112)-1),(RANK(AB112,AB$11:AB$368,1)+COUNTIF(AB$11:AB112,AB112)-1)))</f>
        <v/>
      </c>
      <c r="AD112" s="184"/>
      <c r="AE112" s="28" t="str">
        <f t="shared" si="49"/>
        <v/>
      </c>
      <c r="AG112" s="96"/>
      <c r="AH112" s="29"/>
      <c r="AI112" s="38" t="str">
        <f>IF(L112="","",VLOOKUP($L112,classifications!$C:$J,8,FALSE))</f>
        <v>West Sussex</v>
      </c>
      <c r="AJ112" s="39" t="str">
        <f t="shared" si="32"/>
        <v/>
      </c>
      <c r="AK112" s="34" t="str">
        <f>IF(AJ112="","",IF(I$8="A",(RANK(AJ112,AJ$11:AJ$368,1)+COUNTIF(AJ$11:AJ112,AJ112)-1),(RANK(AJ112,AJ$11:AJ$368)+COUNTIF(AJ$11:AJ112,AJ112)-1)))</f>
        <v/>
      </c>
      <c r="AL112" s="29" t="str">
        <f t="shared" si="40"/>
        <v/>
      </c>
      <c r="AM112" s="8" t="str">
        <f t="shared" si="33"/>
        <v/>
      </c>
      <c r="AN112" s="8" t="str">
        <f t="shared" si="41"/>
        <v/>
      </c>
      <c r="AP112" s="38" t="str">
        <f>IF(L112="","",VLOOKUP($L112,classifications!$C:$E,3,FALSE))</f>
        <v>South East</v>
      </c>
      <c r="AQ112" s="39" t="str">
        <f t="shared" si="42"/>
        <v/>
      </c>
      <c r="AR112" s="34" t="str">
        <f>IF(AQ112="","",IF(I$8="A",(RANK(AQ112,AQ$11:AQ$368,1)+COUNTIF(AQ$11:AQ112,AQ112)-1),(RANK(AQ112,AQ$11:AQ$368)+COUNTIF(AQ$11:AQ112,AQ112)-1)))</f>
        <v/>
      </c>
      <c r="AS112" s="29" t="str">
        <f t="shared" si="43"/>
        <v/>
      </c>
      <c r="AT112" s="34" t="str">
        <f t="shared" si="34"/>
        <v/>
      </c>
      <c r="AU112" s="39" t="str">
        <f t="shared" si="48"/>
        <v/>
      </c>
      <c r="AX112" s="21">
        <f>HLOOKUP($AX$9&amp;$AX$10,Data!$A$1:$ZZ$2000,(MATCH($C112,Data!$A$1:$A$2000,0)),FALSE)</f>
        <v>81.958114409887827</v>
      </c>
      <c r="AY112" s="103"/>
      <c r="AZ112" s="21"/>
    </row>
    <row r="113" spans="1:52">
      <c r="A113" s="56" t="str">
        <f>$D$1&amp;103</f>
        <v>SD103</v>
      </c>
      <c r="B113" s="57">
        <f>IF(ISERROR(VLOOKUP(A113,classifications!A:C,3,FALSE)),0,VLOOKUP(A113,classifications!A:C,3,FALSE))</f>
        <v>0</v>
      </c>
      <c r="C113" s="8" t="s">
        <v>62</v>
      </c>
      <c r="D113" s="26" t="str">
        <f>VLOOKUP($C113,classifications!$C:$J,4,FALSE)</f>
        <v>SD</v>
      </c>
      <c r="E113" s="26" t="str">
        <f>VLOOKUP(C113,classifications!C:K,9,FALSE)</f>
        <v>Sparse</v>
      </c>
      <c r="F113" s="36">
        <f t="shared" si="26"/>
        <v>83.882245443162091</v>
      </c>
      <c r="G113" s="71"/>
      <c r="H113" s="37">
        <f t="shared" si="27"/>
        <v>83.882245443162091</v>
      </c>
      <c r="I113" s="77">
        <f>IF(H113="","",IF($I$8="A",(RANK(H113,H$11:H$368,1)+COUNTIF(H$11:H113,H113)-1),(RANK(H113,H$11:H$368)+COUNTIF(H$11:H113,H113)-1)))</f>
        <v>47</v>
      </c>
      <c r="J113" s="35"/>
      <c r="K113" s="28">
        <f t="shared" si="35"/>
        <v>103</v>
      </c>
      <c r="L113" s="36" t="str">
        <f t="shared" si="28"/>
        <v>Allerdale</v>
      </c>
      <c r="M113" s="102">
        <f t="shared" si="36"/>
        <v>80.664917544522837</v>
      </c>
      <c r="N113" s="101">
        <f t="shared" si="37"/>
        <v>80.664917544522837</v>
      </c>
      <c r="O113" s="94" t="str">
        <f t="shared" si="29"/>
        <v/>
      </c>
      <c r="P113" s="94" t="str">
        <f t="shared" si="45"/>
        <v/>
      </c>
      <c r="Q113" s="94">
        <f t="shared" si="46"/>
        <v>80.664917544522837</v>
      </c>
      <c r="R113" s="90" t="str">
        <f t="shared" si="47"/>
        <v/>
      </c>
      <c r="S113" s="37" t="str">
        <f t="shared" si="38"/>
        <v>u</v>
      </c>
      <c r="T113" s="176" t="str">
        <f>IF(L113="","",VLOOKUP(L113,classifications!C:K,9,FALSE))</f>
        <v>Sparse</v>
      </c>
      <c r="U113" s="183">
        <f t="shared" si="30"/>
        <v>80.664917544522837</v>
      </c>
      <c r="V113" s="184">
        <f>IF(U113="","",IF($I$8="A",(RANK(U113,U$11:U$368)+COUNTIF(U$11:U113,U113)-1),(RANK(U113,U$11:U$368,1)+COUNTIF(U$11:U113,U113)-1)))</f>
        <v>30</v>
      </c>
      <c r="W113" s="185"/>
      <c r="X113" s="38" t="str">
        <f>IF(L113="","",VLOOKUP($L113,classifications!$C:$J,6,FALSE))</f>
        <v xml:space="preserve">Mainly Rural (rural including hub towns &gt;=80%) </v>
      </c>
      <c r="Y113" s="26">
        <f t="shared" si="31"/>
        <v>80.664917544522837</v>
      </c>
      <c r="Z113" s="34">
        <f>IF(Y113="","",IF(I$8="A",(RANK(Y113,Y$11:Y$368,1)+COUNTIF(Y$11:Y113,Y113)-1),(RANK(Y113,Y$11:Y$368)+COUNTIF(Y$11:Y113,Y113)-1)))</f>
        <v>26</v>
      </c>
      <c r="AA113" s="188" t="str">
        <f>IF(L113="","",VLOOKUP($L113,classifications!C:I,7,FALSE))</f>
        <v>Predominantly Rural</v>
      </c>
      <c r="AB113" s="184">
        <f t="shared" si="39"/>
        <v>80.664917544522837</v>
      </c>
      <c r="AC113" s="184">
        <f>IF(AB113="","",IF($I$8="A",(RANK(AB113,AB$11:AB$368)+COUNTIF(AB$11:AB113,AB113)-1),(RANK(AB113,AB$11:AB$368,1)+COUNTIF(AB$11:AB113,AB113)-1)))</f>
        <v>29</v>
      </c>
      <c r="AD113" s="184"/>
      <c r="AE113" s="28" t="str">
        <f t="shared" si="49"/>
        <v/>
      </c>
      <c r="AG113" s="96"/>
      <c r="AH113" s="29"/>
      <c r="AI113" s="38" t="str">
        <f>IF(L113="","",VLOOKUP($L113,classifications!$C:$J,8,FALSE))</f>
        <v>Cumbria</v>
      </c>
      <c r="AJ113" s="39">
        <f t="shared" si="32"/>
        <v>80.664917544522837</v>
      </c>
      <c r="AK113" s="34">
        <f>IF(AJ113="","",IF(I$8="A",(RANK(AJ113,AJ$11:AJ$368,1)+COUNTIF(AJ$11:AJ113,AJ113)-1),(RANK(AJ113,AJ$11:AJ$368)+COUNTIF(AJ$11:AJ113,AJ113)-1)))</f>
        <v>5</v>
      </c>
      <c r="AL113" s="29" t="str">
        <f t="shared" si="40"/>
        <v/>
      </c>
      <c r="AM113" s="8" t="str">
        <f t="shared" si="33"/>
        <v/>
      </c>
      <c r="AN113" s="8" t="str">
        <f t="shared" si="41"/>
        <v/>
      </c>
      <c r="AP113" s="38" t="str">
        <f>IF(L113="","",VLOOKUP($L113,classifications!$C:$E,3,FALSE))</f>
        <v>North West</v>
      </c>
      <c r="AQ113" s="39">
        <f t="shared" si="42"/>
        <v>80.664917544522837</v>
      </c>
      <c r="AR113" s="34">
        <f>IF(AQ113="","",IF(I$8="A",(RANK(AQ113,AQ$11:AQ$368,1)+COUNTIF(AQ$11:AQ113,AQ113)-1),(RANK(AQ113,AQ$11:AQ$368)+COUNTIF(AQ$11:AQ113,AQ113)-1)))</f>
        <v>8</v>
      </c>
      <c r="AS113" s="29" t="str">
        <f t="shared" si="43"/>
        <v/>
      </c>
      <c r="AT113" s="34" t="str">
        <f t="shared" si="34"/>
        <v/>
      </c>
      <c r="AU113" s="39" t="str">
        <f t="shared" si="48"/>
        <v/>
      </c>
      <c r="AX113" s="21">
        <f>HLOOKUP($AX$9&amp;$AX$10,Data!$A$1:$ZZ$2000,(MATCH($C113,Data!$A$1:$A$2000,0)),FALSE)</f>
        <v>83.882245443162091</v>
      </c>
      <c r="AY113" s="103"/>
      <c r="AZ113" s="21"/>
    </row>
    <row r="114" spans="1:52">
      <c r="A114" s="56" t="str">
        <f>$D$1&amp;104</f>
        <v>SD104</v>
      </c>
      <c r="B114" s="57">
        <f>IF(ISERROR(VLOOKUP(A114,classifications!A:C,3,FALSE)),0,VLOOKUP(A114,classifications!A:C,3,FALSE))</f>
        <v>0</v>
      </c>
      <c r="C114" s="8" t="s">
        <v>63</v>
      </c>
      <c r="D114" s="26" t="str">
        <f>VLOOKUP($C114,classifications!$C:$J,4,FALSE)</f>
        <v>SD</v>
      </c>
      <c r="E114" s="26">
        <f>VLOOKUP(C114,classifications!C:K,9,FALSE)</f>
        <v>0</v>
      </c>
      <c r="F114" s="36">
        <f t="shared" si="26"/>
        <v>86.958562974579777</v>
      </c>
      <c r="G114" s="71"/>
      <c r="H114" s="37">
        <f t="shared" si="27"/>
        <v>86.958562974579777</v>
      </c>
      <c r="I114" s="77">
        <f>IF(H114="","",IF($I$8="A",(RANK(H114,H$11:H$368,1)+COUNTIF(H$11:H114,H114)-1),(RANK(H114,H$11:H$368)+COUNTIF(H$11:H114,H114)-1)))</f>
        <v>8</v>
      </c>
      <c r="J114" s="35"/>
      <c r="K114" s="28">
        <f t="shared" si="35"/>
        <v>104</v>
      </c>
      <c r="L114" s="36" t="str">
        <f t="shared" si="28"/>
        <v>Test Valley</v>
      </c>
      <c r="M114" s="102">
        <f t="shared" si="36"/>
        <v>80.635663596705356</v>
      </c>
      <c r="N114" s="101">
        <f t="shared" si="37"/>
        <v>80.635663596705356</v>
      </c>
      <c r="O114" s="94" t="str">
        <f t="shared" si="29"/>
        <v/>
      </c>
      <c r="P114" s="94" t="str">
        <f t="shared" si="45"/>
        <v/>
      </c>
      <c r="Q114" s="94">
        <f t="shared" si="46"/>
        <v>80.635663596705356</v>
      </c>
      <c r="R114" s="90" t="str">
        <f t="shared" si="47"/>
        <v/>
      </c>
      <c r="S114" s="37" t="str">
        <f t="shared" si="38"/>
        <v/>
      </c>
      <c r="T114" s="176">
        <f>IF(L114="","",VLOOKUP(L114,classifications!C:K,9,FALSE))</f>
        <v>0</v>
      </c>
      <c r="U114" s="183" t="str">
        <f t="shared" si="30"/>
        <v/>
      </c>
      <c r="V114" s="184" t="str">
        <f>IF(U114="","",IF($I$8="A",(RANK(U114,U$11:U$368)+COUNTIF(U$11:U114,U114)-1),(RANK(U114,U$11:U$368,1)+COUNTIF(U$11:U114,U114)-1)))</f>
        <v/>
      </c>
      <c r="W114" s="185"/>
      <c r="X114" s="38" t="str">
        <f>IF(L114="","",VLOOKUP($L114,classifications!$C:$J,6,FALSE))</f>
        <v>Urban with Significant Rural (rural including hub towns 26-49%)</v>
      </c>
      <c r="Y114" s="26" t="str">
        <f t="shared" si="31"/>
        <v/>
      </c>
      <c r="Z114" s="34" t="str">
        <f>IF(Y114="","",IF(I$8="A",(RANK(Y114,Y$11:Y$368,1)+COUNTIF(Y$11:Y114,Y114)-1),(RANK(Y114,Y$11:Y$368)+COUNTIF(Y$11:Y114,Y114)-1)))</f>
        <v/>
      </c>
      <c r="AA114" s="188" t="str">
        <f>IF(L114="","",VLOOKUP($L114,classifications!C:I,7,FALSE))</f>
        <v>Significant Rural</v>
      </c>
      <c r="AB114" s="184" t="str">
        <f t="shared" si="39"/>
        <v/>
      </c>
      <c r="AC114" s="184" t="str">
        <f>IF(AB114="","",IF($I$8="A",(RANK(AB114,AB$11:AB$368)+COUNTIF(AB$11:AB114,AB114)-1),(RANK(AB114,AB$11:AB$368,1)+COUNTIF(AB$11:AB114,AB114)-1)))</f>
        <v/>
      </c>
      <c r="AD114" s="184"/>
      <c r="AE114" s="28" t="str">
        <f t="shared" si="49"/>
        <v/>
      </c>
      <c r="AG114" s="96"/>
      <c r="AH114" s="29"/>
      <c r="AI114" s="38" t="str">
        <f>IF(L114="","",VLOOKUP($L114,classifications!$C:$J,8,FALSE))</f>
        <v>Hampshire</v>
      </c>
      <c r="AJ114" s="39" t="str">
        <f t="shared" si="32"/>
        <v/>
      </c>
      <c r="AK114" s="34" t="str">
        <f>IF(AJ114="","",IF(I$8="A",(RANK(AJ114,AJ$11:AJ$368,1)+COUNTIF(AJ$11:AJ114,AJ114)-1),(RANK(AJ114,AJ$11:AJ$368)+COUNTIF(AJ$11:AJ114,AJ114)-1)))</f>
        <v/>
      </c>
      <c r="AL114" s="29" t="str">
        <f t="shared" si="40"/>
        <v/>
      </c>
      <c r="AM114" s="8" t="str">
        <f t="shared" si="33"/>
        <v/>
      </c>
      <c r="AN114" s="8" t="str">
        <f t="shared" si="41"/>
        <v/>
      </c>
      <c r="AP114" s="38" t="str">
        <f>IF(L114="","",VLOOKUP($L114,classifications!$C:$E,3,FALSE))</f>
        <v>South East</v>
      </c>
      <c r="AQ114" s="39" t="str">
        <f t="shared" si="42"/>
        <v/>
      </c>
      <c r="AR114" s="34" t="str">
        <f>IF(AQ114="","",IF(I$8="A",(RANK(AQ114,AQ$11:AQ$368,1)+COUNTIF(AQ$11:AQ114,AQ114)-1),(RANK(AQ114,AQ$11:AQ$368)+COUNTIF(AQ$11:AQ114,AQ114)-1)))</f>
        <v/>
      </c>
      <c r="AS114" s="29" t="str">
        <f t="shared" si="43"/>
        <v/>
      </c>
      <c r="AT114" s="34" t="str">
        <f t="shared" si="34"/>
        <v/>
      </c>
      <c r="AU114" s="39" t="str">
        <f t="shared" si="48"/>
        <v/>
      </c>
      <c r="AX114" s="21">
        <f>HLOOKUP($AX$9&amp;$AX$10,Data!$A$1:$ZZ$2000,(MATCH($C114,Data!$A$1:$A$2000,0)),FALSE)</f>
        <v>86.958562974579777</v>
      </c>
      <c r="AY114" s="103"/>
      <c r="AZ114" s="21"/>
    </row>
    <row r="115" spans="1:52">
      <c r="A115" s="56" t="str">
        <f>$D$1&amp;105</f>
        <v>SD105</v>
      </c>
      <c r="B115" s="57">
        <f>IF(ISERROR(VLOOKUP(A115,classifications!A:C,3,FALSE)),0,VLOOKUP(A115,classifications!A:C,3,FALSE))</f>
        <v>0</v>
      </c>
      <c r="C115" s="8" t="s">
        <v>203</v>
      </c>
      <c r="D115" s="26" t="str">
        <f>VLOOKUP($C115,classifications!$C:$J,4,FALSE)</f>
        <v>L</v>
      </c>
      <c r="E115" s="26">
        <f>VLOOKUP(C115,classifications!C:K,9,FALSE)</f>
        <v>0</v>
      </c>
      <c r="F115" s="36">
        <f t="shared" si="26"/>
        <v>78.841988186644812</v>
      </c>
      <c r="G115" s="71"/>
      <c r="H115" s="37" t="str">
        <f t="shared" si="27"/>
        <v/>
      </c>
      <c r="I115" s="77" t="str">
        <f>IF(H115="","",IF($I$8="A",(RANK(H115,H$11:H$368,1)+COUNTIF(H$11:H115,H115)-1),(RANK(H115,H$11:H$368)+COUNTIF(H$11:H115,H115)-1)))</f>
        <v/>
      </c>
      <c r="J115" s="35"/>
      <c r="K115" s="28">
        <f t="shared" si="35"/>
        <v>105</v>
      </c>
      <c r="L115" s="36" t="str">
        <f t="shared" si="28"/>
        <v>East Suffolk</v>
      </c>
      <c r="M115" s="102">
        <f t="shared" si="36"/>
        <v>80.594473970476059</v>
      </c>
      <c r="N115" s="101">
        <f t="shared" si="37"/>
        <v>80.594473970476059</v>
      </c>
      <c r="O115" s="94" t="str">
        <f t="shared" si="29"/>
        <v/>
      </c>
      <c r="P115" s="94" t="str">
        <f t="shared" si="45"/>
        <v/>
      </c>
      <c r="Q115" s="94">
        <f t="shared" si="46"/>
        <v>80.594473970476059</v>
      </c>
      <c r="R115" s="90" t="str">
        <f t="shared" si="47"/>
        <v/>
      </c>
      <c r="S115" s="37" t="str">
        <f t="shared" si="38"/>
        <v/>
      </c>
      <c r="T115" s="176" t="str">
        <f>IF(L115="","",VLOOKUP(L115,classifications!C:K,9,FALSE))</f>
        <v>Sparse</v>
      </c>
      <c r="U115" s="183">
        <f t="shared" si="30"/>
        <v>80.594473970476059</v>
      </c>
      <c r="V115" s="184">
        <f>IF(U115="","",IF($I$8="A",(RANK(U115,U$11:U$368)+COUNTIF(U$11:U115,U115)-1),(RANK(U115,U$11:U$368,1)+COUNTIF(U$11:U115,U115)-1)))</f>
        <v>29</v>
      </c>
      <c r="W115" s="185"/>
      <c r="X115" s="38" t="str">
        <f>IF(L115="","",VLOOKUP($L115,classifications!$C:$J,6,FALSE))</f>
        <v xml:space="preserve">Predominantly Rural </v>
      </c>
      <c r="Y115" s="26" t="str">
        <f t="shared" si="31"/>
        <v/>
      </c>
      <c r="Z115" s="34" t="str">
        <f>IF(Y115="","",IF(I$8="A",(RANK(Y115,Y$11:Y$368,1)+COUNTIF(Y$11:Y115,Y115)-1),(RANK(Y115,Y$11:Y$368)+COUNTIF(Y$11:Y115,Y115)-1)))</f>
        <v/>
      </c>
      <c r="AA115" s="188" t="str">
        <f>IF(L115="","",VLOOKUP($L115,classifications!C:I,7,FALSE))</f>
        <v xml:space="preserve">Predominantly Rural </v>
      </c>
      <c r="AB115" s="184" t="str">
        <f t="shared" si="39"/>
        <v/>
      </c>
      <c r="AC115" s="184" t="str">
        <f>IF(AB115="","",IF($I$8="A",(RANK(AB115,AB$11:AB$368)+COUNTIF(AB$11:AB115,AB115)-1),(RANK(AB115,AB$11:AB$368,1)+COUNTIF(AB$11:AB115,AB115)-1)))</f>
        <v/>
      </c>
      <c r="AD115" s="184"/>
      <c r="AE115" s="28" t="str">
        <f t="shared" si="49"/>
        <v/>
      </c>
      <c r="AG115" s="96"/>
      <c r="AH115" s="29"/>
      <c r="AI115" s="38" t="str">
        <f>IF(L115="","",VLOOKUP($L115,classifications!$C:$J,8,FALSE))</f>
        <v>Suffolk</v>
      </c>
      <c r="AJ115" s="39" t="str">
        <f t="shared" si="32"/>
        <v/>
      </c>
      <c r="AK115" s="34" t="str">
        <f>IF(AJ115="","",IF(I$8="A",(RANK(AJ115,AJ$11:AJ$368,1)+COUNTIF(AJ$11:AJ115,AJ115)-1),(RANK(AJ115,AJ$11:AJ$368)+COUNTIF(AJ$11:AJ115,AJ115)-1)))</f>
        <v/>
      </c>
      <c r="AL115" s="29" t="str">
        <f t="shared" si="40"/>
        <v/>
      </c>
      <c r="AM115" s="8" t="str">
        <f t="shared" si="33"/>
        <v/>
      </c>
      <c r="AN115" s="8" t="str">
        <f t="shared" si="41"/>
        <v/>
      </c>
      <c r="AP115" s="38" t="str">
        <f>IF(L115="","",VLOOKUP($L115,classifications!$C:$E,3,FALSE))</f>
        <v>East of England</v>
      </c>
      <c r="AQ115" s="39" t="str">
        <f t="shared" si="42"/>
        <v/>
      </c>
      <c r="AR115" s="34" t="str">
        <f>IF(AQ115="","",IF(I$8="A",(RANK(AQ115,AQ$11:AQ$368,1)+COUNTIF(AQ$11:AQ115,AQ115)-1),(RANK(AQ115,AQ$11:AQ$368)+COUNTIF(AQ$11:AQ115,AQ115)-1)))</f>
        <v/>
      </c>
      <c r="AS115" s="29" t="str">
        <f t="shared" si="43"/>
        <v/>
      </c>
      <c r="AT115" s="34" t="str">
        <f t="shared" si="34"/>
        <v/>
      </c>
      <c r="AU115" s="39" t="str">
        <f t="shared" si="48"/>
        <v/>
      </c>
      <c r="AX115" s="21">
        <f>HLOOKUP($AX$9&amp;$AX$10,Data!$A$1:$ZZ$2000,(MATCH($C115,Data!$A$1:$A$2000,0)),FALSE)</f>
        <v>78.841988186644812</v>
      </c>
      <c r="AY115" s="103"/>
      <c r="AZ115" s="21"/>
    </row>
    <row r="116" spans="1:52">
      <c r="A116" s="56" t="str">
        <f>$D$1&amp;106</f>
        <v>SD106</v>
      </c>
      <c r="B116" s="57">
        <f>IF(ISERROR(VLOOKUP(A116,classifications!A:C,3,FALSE)),0,VLOOKUP(A116,classifications!A:C,3,FALSE))</f>
        <v>0</v>
      </c>
      <c r="C116" s="8" t="s">
        <v>64</v>
      </c>
      <c r="D116" s="26" t="str">
        <f>VLOOKUP($C116,classifications!$C:$J,4,FALSE)</f>
        <v>SD</v>
      </c>
      <c r="E116" s="26">
        <f>VLOOKUP(C116,classifications!C:K,9,FALSE)</f>
        <v>0</v>
      </c>
      <c r="F116" s="36">
        <f t="shared" si="26"/>
        <v>81.927842885542788</v>
      </c>
      <c r="G116" s="71"/>
      <c r="H116" s="37">
        <f t="shared" si="27"/>
        <v>81.927842885542788</v>
      </c>
      <c r="I116" s="77">
        <f>IF(H116="","",IF($I$8="A",(RANK(H116,H$11:H$368,1)+COUNTIF(H$11:H116,H116)-1),(RANK(H116,H$11:H$368)+COUNTIF(H$11:H116,H116)-1)))</f>
        <v>80</v>
      </c>
      <c r="J116" s="35"/>
      <c r="K116" s="28">
        <f t="shared" si="35"/>
        <v>106</v>
      </c>
      <c r="L116" s="36" t="str">
        <f t="shared" si="28"/>
        <v>Melton</v>
      </c>
      <c r="M116" s="102">
        <f t="shared" si="36"/>
        <v>80.58383595886491</v>
      </c>
      <c r="N116" s="101">
        <f t="shared" si="37"/>
        <v>80.58383595886491</v>
      </c>
      <c r="O116" s="94" t="str">
        <f t="shared" si="29"/>
        <v/>
      </c>
      <c r="P116" s="94" t="str">
        <f t="shared" si="45"/>
        <v/>
      </c>
      <c r="Q116" s="94">
        <f t="shared" si="46"/>
        <v>80.58383595886491</v>
      </c>
      <c r="R116" s="90" t="str">
        <f t="shared" si="47"/>
        <v/>
      </c>
      <c r="S116" s="37" t="str">
        <f t="shared" si="38"/>
        <v/>
      </c>
      <c r="T116" s="176" t="str">
        <f>IF(L116="","",VLOOKUP(L116,classifications!C:K,9,FALSE))</f>
        <v>Sparse</v>
      </c>
      <c r="U116" s="183">
        <f t="shared" si="30"/>
        <v>80.58383595886491</v>
      </c>
      <c r="V116" s="184">
        <f>IF(U116="","",IF($I$8="A",(RANK(U116,U$11:U$368)+COUNTIF(U$11:U116,U116)-1),(RANK(U116,U$11:U$368,1)+COUNTIF(U$11:U116,U116)-1)))</f>
        <v>28</v>
      </c>
      <c r="W116" s="185"/>
      <c r="X116" s="38" t="str">
        <f>IF(L116="","",VLOOKUP($L116,classifications!$C:$J,6,FALSE))</f>
        <v xml:space="preserve">Mainly Rural (rural including hub towns &gt;=80%) </v>
      </c>
      <c r="Y116" s="26">
        <f t="shared" si="31"/>
        <v>80.58383595886491</v>
      </c>
      <c r="Z116" s="34">
        <f>IF(Y116="","",IF(I$8="A",(RANK(Y116,Y$11:Y$368,1)+COUNTIF(Y$11:Y116,Y116)-1),(RANK(Y116,Y$11:Y$368)+COUNTIF(Y$11:Y116,Y116)-1)))</f>
        <v>27</v>
      </c>
      <c r="AA116" s="188" t="str">
        <f>IF(L116="","",VLOOKUP($L116,classifications!C:I,7,FALSE))</f>
        <v>Predominantly Rural</v>
      </c>
      <c r="AB116" s="184">
        <f t="shared" si="39"/>
        <v>80.58383595886491</v>
      </c>
      <c r="AC116" s="184">
        <f>IF(AB116="","",IF($I$8="A",(RANK(AB116,AB$11:AB$368)+COUNTIF(AB$11:AB116,AB116)-1),(RANK(AB116,AB$11:AB$368,1)+COUNTIF(AB$11:AB116,AB116)-1)))</f>
        <v>28</v>
      </c>
      <c r="AD116" s="184"/>
      <c r="AE116" s="28" t="str">
        <f t="shared" si="49"/>
        <v/>
      </c>
      <c r="AG116" s="96"/>
      <c r="AH116" s="29"/>
      <c r="AI116" s="38" t="str">
        <f>IF(L116="","",VLOOKUP($L116,classifications!$C:$J,8,FALSE))</f>
        <v>Leicestershire</v>
      </c>
      <c r="AJ116" s="39" t="str">
        <f t="shared" si="32"/>
        <v/>
      </c>
      <c r="AK116" s="34" t="str">
        <f>IF(AJ116="","",IF(I$8="A",(RANK(AJ116,AJ$11:AJ$368,1)+COUNTIF(AJ$11:AJ116,AJ116)-1),(RANK(AJ116,AJ$11:AJ$368)+COUNTIF(AJ$11:AJ116,AJ116)-1)))</f>
        <v/>
      </c>
      <c r="AL116" s="29" t="str">
        <f t="shared" si="40"/>
        <v/>
      </c>
      <c r="AM116" s="8" t="str">
        <f t="shared" si="33"/>
        <v/>
      </c>
      <c r="AN116" s="8" t="str">
        <f t="shared" si="41"/>
        <v/>
      </c>
      <c r="AP116" s="38" t="str">
        <f>IF(L116="","",VLOOKUP($L116,classifications!$C:$E,3,FALSE))</f>
        <v>East Midlands</v>
      </c>
      <c r="AQ116" s="39" t="str">
        <f t="shared" si="42"/>
        <v/>
      </c>
      <c r="AR116" s="34" t="str">
        <f>IF(AQ116="","",IF(I$8="A",(RANK(AQ116,AQ$11:AQ$368,1)+COUNTIF(AQ$11:AQ116,AQ116)-1),(RANK(AQ116,AQ$11:AQ$368)+COUNTIF(AQ$11:AQ116,AQ116)-1)))</f>
        <v/>
      </c>
      <c r="AS116" s="29" t="str">
        <f t="shared" si="43"/>
        <v/>
      </c>
      <c r="AT116" s="34" t="str">
        <f t="shared" si="34"/>
        <v/>
      </c>
      <c r="AU116" s="39" t="str">
        <f t="shared" si="48"/>
        <v/>
      </c>
      <c r="AX116" s="21">
        <f>HLOOKUP($AX$9&amp;$AX$10,Data!$A$1:$ZZ$2000,(MATCH($C116,Data!$A$1:$A$2000,0)),FALSE)</f>
        <v>81.927842885542788</v>
      </c>
      <c r="AY116" s="103"/>
      <c r="AZ116" s="21"/>
    </row>
    <row r="117" spans="1:52">
      <c r="A117" s="56" t="str">
        <f>$D$1&amp;107</f>
        <v>SD107</v>
      </c>
      <c r="B117" s="57">
        <f>IF(ISERROR(VLOOKUP(A117,classifications!A:C,3,FALSE)),0,VLOOKUP(A117,classifications!A:C,3,FALSE))</f>
        <v>0</v>
      </c>
      <c r="C117" s="8" t="s">
        <v>343</v>
      </c>
      <c r="D117" s="26" t="str">
        <f>VLOOKUP($C117,classifications!$C:$J,4,FALSE)</f>
        <v>SD</v>
      </c>
      <c r="E117" s="26">
        <f>VLOOKUP(C117,classifications!C:K,9,FALSE)</f>
        <v>0</v>
      </c>
      <c r="F117" s="36">
        <f t="shared" si="26"/>
        <v>85.253874322530251</v>
      </c>
      <c r="G117" s="71"/>
      <c r="H117" s="37">
        <f t="shared" si="27"/>
        <v>85.253874322530251</v>
      </c>
      <c r="I117" s="77">
        <f>IF(H117="","",IF($I$8="A",(RANK(H117,H$11:H$368,1)+COUNTIF(H$11:H117,H117)-1),(RANK(H117,H$11:H$368)+COUNTIF(H$11:H117,H117)-1)))</f>
        <v>27</v>
      </c>
      <c r="J117" s="35"/>
      <c r="K117" s="28">
        <f t="shared" si="35"/>
        <v>107</v>
      </c>
      <c r="L117" s="36" t="str">
        <f t="shared" si="28"/>
        <v>Spelthorne</v>
      </c>
      <c r="M117" s="102">
        <f t="shared" si="36"/>
        <v>80.548246886857143</v>
      </c>
      <c r="N117" s="101">
        <f t="shared" si="37"/>
        <v>80.548246886857143</v>
      </c>
      <c r="O117" s="94" t="str">
        <f t="shared" si="29"/>
        <v/>
      </c>
      <c r="P117" s="94" t="str">
        <f t="shared" si="45"/>
        <v/>
      </c>
      <c r="Q117" s="94">
        <f t="shared" si="46"/>
        <v>80.548246886857143</v>
      </c>
      <c r="R117" s="90" t="str">
        <f t="shared" si="47"/>
        <v/>
      </c>
      <c r="S117" s="37" t="str">
        <f t="shared" si="38"/>
        <v/>
      </c>
      <c r="T117" s="176">
        <f>IF(L117="","",VLOOKUP(L117,classifications!C:K,9,FALSE))</f>
        <v>0</v>
      </c>
      <c r="U117" s="183" t="str">
        <f t="shared" si="30"/>
        <v/>
      </c>
      <c r="V117" s="184" t="str">
        <f>IF(U117="","",IF($I$8="A",(RANK(U117,U$11:U$368)+COUNTIF(U$11:U117,U117)-1),(RANK(U117,U$11:U$368,1)+COUNTIF(U$11:U117,U117)-1)))</f>
        <v/>
      </c>
      <c r="W117" s="185"/>
      <c r="X117" s="38" t="str">
        <f>IF(L117="","",VLOOKUP($L117,classifications!$C:$J,6,FALSE))</f>
        <v>Urban with Major Conurbation</v>
      </c>
      <c r="Y117" s="26" t="str">
        <f t="shared" si="31"/>
        <v/>
      </c>
      <c r="Z117" s="34" t="str">
        <f>IF(Y117="","",IF(I$8="A",(RANK(Y117,Y$11:Y$368,1)+COUNTIF(Y$11:Y117,Y117)-1),(RANK(Y117,Y$11:Y$368)+COUNTIF(Y$11:Y117,Y117)-1)))</f>
        <v/>
      </c>
      <c r="AA117" s="188" t="str">
        <f>IF(L117="","",VLOOKUP($L117,classifications!C:I,7,FALSE))</f>
        <v>Predominantly Urban</v>
      </c>
      <c r="AB117" s="184" t="str">
        <f t="shared" si="39"/>
        <v/>
      </c>
      <c r="AC117" s="184" t="str">
        <f>IF(AB117="","",IF($I$8="A",(RANK(AB117,AB$11:AB$368)+COUNTIF(AB$11:AB117,AB117)-1),(RANK(AB117,AB$11:AB$368,1)+COUNTIF(AB$11:AB117,AB117)-1)))</f>
        <v/>
      </c>
      <c r="AD117" s="184"/>
      <c r="AE117" s="28" t="str">
        <f t="shared" si="49"/>
        <v/>
      </c>
      <c r="AG117" s="96"/>
      <c r="AH117" s="29"/>
      <c r="AI117" s="38" t="str">
        <f>IF(L117="","",VLOOKUP($L117,classifications!$C:$J,8,FALSE))</f>
        <v>Surrey</v>
      </c>
      <c r="AJ117" s="39" t="str">
        <f t="shared" si="32"/>
        <v/>
      </c>
      <c r="AK117" s="34" t="str">
        <f>IF(AJ117="","",IF(I$8="A",(RANK(AJ117,AJ$11:AJ$368,1)+COUNTIF(AJ$11:AJ117,AJ117)-1),(RANK(AJ117,AJ$11:AJ$368)+COUNTIF(AJ$11:AJ117,AJ117)-1)))</f>
        <v/>
      </c>
      <c r="AL117" s="29" t="str">
        <f t="shared" si="40"/>
        <v/>
      </c>
      <c r="AM117" s="8" t="str">
        <f t="shared" si="33"/>
        <v/>
      </c>
      <c r="AN117" s="8" t="str">
        <f t="shared" si="41"/>
        <v/>
      </c>
      <c r="AP117" s="38" t="str">
        <f>IF(L117="","",VLOOKUP($L117,classifications!$C:$E,3,FALSE))</f>
        <v>South East</v>
      </c>
      <c r="AQ117" s="39" t="str">
        <f t="shared" si="42"/>
        <v/>
      </c>
      <c r="AR117" s="34" t="str">
        <f>IF(AQ117="","",IF(I$8="A",(RANK(AQ117,AQ$11:AQ$368,1)+COUNTIF(AQ$11:AQ117,AQ117)-1),(RANK(AQ117,AQ$11:AQ$368)+COUNTIF(AQ$11:AQ117,AQ117)-1)))</f>
        <v/>
      </c>
      <c r="AS117" s="29" t="str">
        <f t="shared" si="43"/>
        <v/>
      </c>
      <c r="AT117" s="34" t="str">
        <f t="shared" si="34"/>
        <v/>
      </c>
      <c r="AU117" s="39" t="str">
        <f t="shared" si="48"/>
        <v/>
      </c>
      <c r="AX117" s="21">
        <f>HLOOKUP($AX$9&amp;$AX$10,Data!$A$1:$ZZ$2000,(MATCH($C117,Data!$A$1:$A$2000,0)),FALSE)</f>
        <v>85.253874322530251</v>
      </c>
      <c r="AY117" s="103"/>
      <c r="AZ117" s="21"/>
    </row>
    <row r="118" spans="1:52">
      <c r="A118" s="56" t="str">
        <f>$D$1&amp;108</f>
        <v>SD108</v>
      </c>
      <c r="B118" s="57">
        <f>IF(ISERROR(VLOOKUP(A118,classifications!A:C,3,FALSE)),0,VLOOKUP(A118,classifications!A:C,3,FALSE))</f>
        <v>0</v>
      </c>
      <c r="C118" s="8" t="s">
        <v>65</v>
      </c>
      <c r="D118" s="26" t="str">
        <f>VLOOKUP($C118,classifications!$C:$J,4,FALSE)</f>
        <v>SD</v>
      </c>
      <c r="E118" s="26">
        <f>VLOOKUP(C118,classifications!C:K,9,FALSE)</f>
        <v>0</v>
      </c>
      <c r="F118" s="36">
        <f t="shared" si="26"/>
        <v>78.048988136066228</v>
      </c>
      <c r="G118" s="71"/>
      <c r="H118" s="37">
        <f t="shared" si="27"/>
        <v>78.048988136066228</v>
      </c>
      <c r="I118" s="77">
        <f>IF(H118="","",IF($I$8="A",(RANK(H118,H$11:H$368,1)+COUNTIF(H$11:H118,H118)-1),(RANK(H118,H$11:H$368)+COUNTIF(H$11:H118,H118)-1)))</f>
        <v>151</v>
      </c>
      <c r="J118" s="35"/>
      <c r="K118" s="28">
        <f t="shared" si="35"/>
        <v>108</v>
      </c>
      <c r="L118" s="36" t="str">
        <f t="shared" si="28"/>
        <v>Harborough</v>
      </c>
      <c r="M118" s="102">
        <f t="shared" si="36"/>
        <v>80.522649706930295</v>
      </c>
      <c r="N118" s="101">
        <f t="shared" si="37"/>
        <v>80.522649706930295</v>
      </c>
      <c r="O118" s="94" t="str">
        <f t="shared" si="29"/>
        <v/>
      </c>
      <c r="P118" s="94" t="str">
        <f t="shared" si="45"/>
        <v/>
      </c>
      <c r="Q118" s="94">
        <f t="shared" si="46"/>
        <v>80.522649706930295</v>
      </c>
      <c r="R118" s="90" t="str">
        <f t="shared" si="47"/>
        <v/>
      </c>
      <c r="S118" s="37" t="str">
        <f t="shared" si="38"/>
        <v/>
      </c>
      <c r="T118" s="176" t="str">
        <f>IF(L118="","",VLOOKUP(L118,classifications!C:K,9,FALSE))</f>
        <v>Sparse</v>
      </c>
      <c r="U118" s="183">
        <f t="shared" si="30"/>
        <v>80.522649706930295</v>
      </c>
      <c r="V118" s="184">
        <f>IF(U118="","",IF($I$8="A",(RANK(U118,U$11:U$368)+COUNTIF(U$11:U118,U118)-1),(RANK(U118,U$11:U$368,1)+COUNTIF(U$11:U118,U118)-1)))</f>
        <v>27</v>
      </c>
      <c r="W118" s="185"/>
      <c r="X118" s="38" t="str">
        <f>IF(L118="","",VLOOKUP($L118,classifications!$C:$J,6,FALSE))</f>
        <v xml:space="preserve">Mainly Rural (rural including hub towns &gt;=80%) </v>
      </c>
      <c r="Y118" s="26">
        <f t="shared" si="31"/>
        <v>80.522649706930295</v>
      </c>
      <c r="Z118" s="34">
        <f>IF(Y118="","",IF(I$8="A",(RANK(Y118,Y$11:Y$368,1)+COUNTIF(Y$11:Y118,Y118)-1),(RANK(Y118,Y$11:Y$368)+COUNTIF(Y$11:Y118,Y118)-1)))</f>
        <v>28</v>
      </c>
      <c r="AA118" s="188" t="str">
        <f>IF(L118="","",VLOOKUP($L118,classifications!C:I,7,FALSE))</f>
        <v>Predominantly Rural</v>
      </c>
      <c r="AB118" s="184">
        <f t="shared" si="39"/>
        <v>80.522649706930295</v>
      </c>
      <c r="AC118" s="184">
        <f>IF(AB118="","",IF($I$8="A",(RANK(AB118,AB$11:AB$368)+COUNTIF(AB$11:AB118,AB118)-1),(RANK(AB118,AB$11:AB$368,1)+COUNTIF(AB$11:AB118,AB118)-1)))</f>
        <v>27</v>
      </c>
      <c r="AD118" s="184"/>
      <c r="AE118" s="28" t="str">
        <f t="shared" si="49"/>
        <v/>
      </c>
      <c r="AG118" s="96"/>
      <c r="AH118" s="29"/>
      <c r="AI118" s="38" t="str">
        <f>IF(L118="","",VLOOKUP($L118,classifications!$C:$J,8,FALSE))</f>
        <v>Leicestershire</v>
      </c>
      <c r="AJ118" s="39" t="str">
        <f t="shared" si="32"/>
        <v/>
      </c>
      <c r="AK118" s="34" t="str">
        <f>IF(AJ118="","",IF(I$8="A",(RANK(AJ118,AJ$11:AJ$368,1)+COUNTIF(AJ$11:AJ118,AJ118)-1),(RANK(AJ118,AJ$11:AJ$368)+COUNTIF(AJ$11:AJ118,AJ118)-1)))</f>
        <v/>
      </c>
      <c r="AL118" s="29" t="str">
        <f t="shared" si="40"/>
        <v/>
      </c>
      <c r="AM118" s="8" t="str">
        <f t="shared" si="33"/>
        <v/>
      </c>
      <c r="AN118" s="8" t="str">
        <f t="shared" si="41"/>
        <v/>
      </c>
      <c r="AP118" s="38" t="str">
        <f>IF(L118="","",VLOOKUP($L118,classifications!$C:$E,3,FALSE))</f>
        <v>East Midlands</v>
      </c>
      <c r="AQ118" s="39" t="str">
        <f t="shared" si="42"/>
        <v/>
      </c>
      <c r="AR118" s="34" t="str">
        <f>IF(AQ118="","",IF(I$8="A",(RANK(AQ118,AQ$11:AQ$368,1)+COUNTIF(AQ$11:AQ118,AQ118)-1),(RANK(AQ118,AQ$11:AQ$368)+COUNTIF(AQ$11:AQ118,AQ118)-1)))</f>
        <v/>
      </c>
      <c r="AS118" s="29" t="str">
        <f t="shared" si="43"/>
        <v/>
      </c>
      <c r="AT118" s="34" t="str">
        <f t="shared" si="34"/>
        <v/>
      </c>
      <c r="AU118" s="39" t="str">
        <f t="shared" si="48"/>
        <v/>
      </c>
      <c r="AX118" s="21">
        <f>HLOOKUP($AX$9&amp;$AX$10,Data!$A$1:$ZZ$2000,(MATCH($C118,Data!$A$1:$A$2000,0)),FALSE)</f>
        <v>78.048988136066228</v>
      </c>
      <c r="AY118" s="103"/>
      <c r="AZ118" s="21"/>
    </row>
    <row r="119" spans="1:52">
      <c r="A119" s="56" t="str">
        <f>$D$1&amp;109</f>
        <v>SD109</v>
      </c>
      <c r="B119" s="57">
        <f>IF(ISERROR(VLOOKUP(A119,classifications!A:C,3,FALSE)),0,VLOOKUP(A119,classifications!A:C,3,FALSE))</f>
        <v>0</v>
      </c>
      <c r="C119" s="8" t="s">
        <v>311</v>
      </c>
      <c r="D119" s="26" t="str">
        <f>VLOOKUP($C119,classifications!$C:$J,4,FALSE)</f>
        <v>SC</v>
      </c>
      <c r="E119" s="26" t="str">
        <f>VLOOKUP(C119,classifications!C:K,9,FALSE)</f>
        <v>Sparse</v>
      </c>
      <c r="F119" s="36">
        <f t="shared" si="26"/>
        <v>81.53617520933777</v>
      </c>
      <c r="G119" s="71"/>
      <c r="H119" s="37" t="str">
        <f t="shared" si="27"/>
        <v/>
      </c>
      <c r="I119" s="77" t="str">
        <f>IF(H119="","",IF($I$8="A",(RANK(H119,H$11:H$368,1)+COUNTIF(H$11:H119,H119)-1),(RANK(H119,H$11:H$368)+COUNTIF(H$11:H119,H119)-1)))</f>
        <v/>
      </c>
      <c r="J119" s="35"/>
      <c r="K119" s="28">
        <f t="shared" si="35"/>
        <v>109</v>
      </c>
      <c r="L119" s="36" t="str">
        <f t="shared" si="28"/>
        <v>Lichfield</v>
      </c>
      <c r="M119" s="102">
        <f t="shared" si="36"/>
        <v>80.495725927230666</v>
      </c>
      <c r="N119" s="101">
        <f t="shared" si="37"/>
        <v>80.495725927230666</v>
      </c>
      <c r="O119" s="94" t="str">
        <f t="shared" si="29"/>
        <v/>
      </c>
      <c r="P119" s="94" t="str">
        <f t="shared" si="45"/>
        <v/>
      </c>
      <c r="Q119" s="94">
        <f t="shared" si="46"/>
        <v>80.495725927230666</v>
      </c>
      <c r="R119" s="90" t="str">
        <f t="shared" si="47"/>
        <v/>
      </c>
      <c r="S119" s="37" t="str">
        <f t="shared" si="38"/>
        <v/>
      </c>
      <c r="T119" s="176" t="str">
        <f>IF(L119="","",VLOOKUP(L119,classifications!C:K,9,FALSE))</f>
        <v>Sparse</v>
      </c>
      <c r="U119" s="183">
        <f t="shared" si="30"/>
        <v>80.495725927230666</v>
      </c>
      <c r="V119" s="184">
        <f>IF(U119="","",IF($I$8="A",(RANK(U119,U$11:U$368)+COUNTIF(U$11:U119,U119)-1),(RANK(U119,U$11:U$368,1)+COUNTIF(U$11:U119,U119)-1)))</f>
        <v>26</v>
      </c>
      <c r="W119" s="185"/>
      <c r="X119" s="38" t="str">
        <f>IF(L119="","",VLOOKUP($L119,classifications!$C:$J,6,FALSE))</f>
        <v>Urban with Significant Rural (rural including hub towns 26-49%)</v>
      </c>
      <c r="Y119" s="26" t="str">
        <f t="shared" si="31"/>
        <v/>
      </c>
      <c r="Z119" s="34" t="str">
        <f>IF(Y119="","",IF(I$8="A",(RANK(Y119,Y$11:Y$368,1)+COUNTIF(Y$11:Y119,Y119)-1),(RANK(Y119,Y$11:Y$368)+COUNTIF(Y$11:Y119,Y119)-1)))</f>
        <v/>
      </c>
      <c r="AA119" s="188" t="str">
        <f>IF(L119="","",VLOOKUP($L119,classifications!C:I,7,FALSE))</f>
        <v>Significant Rural</v>
      </c>
      <c r="AB119" s="184" t="str">
        <f t="shared" si="39"/>
        <v/>
      </c>
      <c r="AC119" s="184" t="str">
        <f>IF(AB119="","",IF($I$8="A",(RANK(AB119,AB$11:AB$368)+COUNTIF(AB$11:AB119,AB119)-1),(RANK(AB119,AB$11:AB$368,1)+COUNTIF(AB$11:AB119,AB119)-1)))</f>
        <v/>
      </c>
      <c r="AD119" s="184"/>
      <c r="AE119" s="28" t="str">
        <f t="shared" si="49"/>
        <v/>
      </c>
      <c r="AG119" s="96"/>
      <c r="AH119" s="29"/>
      <c r="AI119" s="38" t="str">
        <f>IF(L119="","",VLOOKUP($L119,classifications!$C:$J,8,FALSE))</f>
        <v>Staffordshire</v>
      </c>
      <c r="AJ119" s="39" t="str">
        <f t="shared" si="32"/>
        <v/>
      </c>
      <c r="AK119" s="34" t="str">
        <f>IF(AJ119="","",IF(I$8="A",(RANK(AJ119,AJ$11:AJ$368,1)+COUNTIF(AJ$11:AJ119,AJ119)-1),(RANK(AJ119,AJ$11:AJ$368)+COUNTIF(AJ$11:AJ119,AJ119)-1)))</f>
        <v/>
      </c>
      <c r="AL119" s="29" t="str">
        <f t="shared" si="40"/>
        <v/>
      </c>
      <c r="AM119" s="8" t="str">
        <f t="shared" si="33"/>
        <v/>
      </c>
      <c r="AN119" s="8" t="str">
        <f t="shared" si="41"/>
        <v/>
      </c>
      <c r="AP119" s="38" t="str">
        <f>IF(L119="","",VLOOKUP($L119,classifications!$C:$E,3,FALSE))</f>
        <v>West Midlands</v>
      </c>
      <c r="AQ119" s="39" t="str">
        <f t="shared" si="42"/>
        <v/>
      </c>
      <c r="AR119" s="34" t="str">
        <f>IF(AQ119="","",IF(I$8="A",(RANK(AQ119,AQ$11:AQ$368,1)+COUNTIF(AQ$11:AQ119,AQ119)-1),(RANK(AQ119,AQ$11:AQ$368)+COUNTIF(AQ$11:AQ119,AQ119)-1)))</f>
        <v/>
      </c>
      <c r="AS119" s="29" t="str">
        <f t="shared" si="43"/>
        <v/>
      </c>
      <c r="AT119" s="34" t="str">
        <f t="shared" si="34"/>
        <v/>
      </c>
      <c r="AU119" s="39" t="str">
        <f t="shared" si="48"/>
        <v/>
      </c>
      <c r="AX119" s="21">
        <f>HLOOKUP($AX$9&amp;$AX$10,Data!$A$1:$ZZ$2000,(MATCH($C119,Data!$A$1:$A$2000,0)),FALSE)</f>
        <v>81.53617520933777</v>
      </c>
      <c r="AY119" s="103"/>
      <c r="AZ119" s="21"/>
    </row>
    <row r="120" spans="1:52">
      <c r="A120" s="56" t="str">
        <f>$D$1&amp;110</f>
        <v>SD110</v>
      </c>
      <c r="B120" s="57">
        <f>IF(ISERROR(VLOOKUP(A120,classifications!A:C,3,FALSE)),0,VLOOKUP(A120,classifications!A:C,3,FALSE))</f>
        <v>0</v>
      </c>
      <c r="C120" s="8" t="s">
        <v>66</v>
      </c>
      <c r="D120" s="26" t="str">
        <f>VLOOKUP($C120,classifications!$C:$J,4,FALSE)</f>
        <v>SD</v>
      </c>
      <c r="E120" s="26">
        <f>VLOOKUP(C120,classifications!C:K,9,FALSE)</f>
        <v>0</v>
      </c>
      <c r="F120" s="36">
        <f t="shared" si="26"/>
        <v>86.243288658425897</v>
      </c>
      <c r="G120" s="71"/>
      <c r="H120" s="37">
        <f t="shared" si="27"/>
        <v>86.243288658425897</v>
      </c>
      <c r="I120" s="77">
        <f>IF(H120="","",IF($I$8="A",(RANK(H120,H$11:H$368,1)+COUNTIF(H$11:H120,H120)-1),(RANK(H120,H$11:H$368)+COUNTIF(H$11:H120,H120)-1)))</f>
        <v>17</v>
      </c>
      <c r="J120" s="35"/>
      <c r="K120" s="28">
        <f t="shared" si="35"/>
        <v>110</v>
      </c>
      <c r="L120" s="36" t="str">
        <f t="shared" si="28"/>
        <v>Bolsover</v>
      </c>
      <c r="M120" s="102">
        <f t="shared" si="36"/>
        <v>80.469223947879229</v>
      </c>
      <c r="N120" s="101">
        <f t="shared" si="37"/>
        <v>80.469223947879229</v>
      </c>
      <c r="O120" s="94" t="str">
        <f t="shared" si="29"/>
        <v/>
      </c>
      <c r="P120" s="94" t="str">
        <f t="shared" si="45"/>
        <v/>
      </c>
      <c r="Q120" s="94">
        <f t="shared" si="46"/>
        <v>80.469223947879229</v>
      </c>
      <c r="R120" s="90" t="str">
        <f t="shared" si="47"/>
        <v/>
      </c>
      <c r="S120" s="37" t="str">
        <f t="shared" si="38"/>
        <v/>
      </c>
      <c r="T120" s="176">
        <f>IF(L120="","",VLOOKUP(L120,classifications!C:K,9,FALSE))</f>
        <v>0</v>
      </c>
      <c r="U120" s="183" t="str">
        <f t="shared" si="30"/>
        <v/>
      </c>
      <c r="V120" s="184" t="str">
        <f>IF(U120="","",IF($I$8="A",(RANK(U120,U$11:U$368)+COUNTIF(U$11:U120,U120)-1),(RANK(U120,U$11:U$368,1)+COUNTIF(U$11:U120,U120)-1)))</f>
        <v/>
      </c>
      <c r="W120" s="185"/>
      <c r="X120" s="38" t="str">
        <f>IF(L120="","",VLOOKUP($L120,classifications!$C:$J,6,FALSE))</f>
        <v>Urban with Significant Rural (rural including hub towns 26-49%)</v>
      </c>
      <c r="Y120" s="26" t="str">
        <f t="shared" si="31"/>
        <v/>
      </c>
      <c r="Z120" s="34" t="str">
        <f>IF(Y120="","",IF(I$8="A",(RANK(Y120,Y$11:Y$368,1)+COUNTIF(Y$11:Y120,Y120)-1),(RANK(Y120,Y$11:Y$368)+COUNTIF(Y$11:Y120,Y120)-1)))</f>
        <v/>
      </c>
      <c r="AA120" s="188" t="str">
        <f>IF(L120="","",VLOOKUP($L120,classifications!C:I,7,FALSE))</f>
        <v>Significant Rural</v>
      </c>
      <c r="AB120" s="184" t="str">
        <f t="shared" si="39"/>
        <v/>
      </c>
      <c r="AC120" s="184" t="str">
        <f>IF(AB120="","",IF($I$8="A",(RANK(AB120,AB$11:AB$368)+COUNTIF(AB$11:AB120,AB120)-1),(RANK(AB120,AB$11:AB$368,1)+COUNTIF(AB$11:AB120,AB120)-1)))</f>
        <v/>
      </c>
      <c r="AD120" s="184"/>
      <c r="AE120" s="28" t="str">
        <f t="shared" si="49"/>
        <v/>
      </c>
      <c r="AG120" s="96"/>
      <c r="AH120" s="29"/>
      <c r="AI120" s="38" t="str">
        <f>IF(L120="","",VLOOKUP($L120,classifications!$C:$J,8,FALSE))</f>
        <v>Derbyshire</v>
      </c>
      <c r="AJ120" s="39" t="str">
        <f t="shared" si="32"/>
        <v/>
      </c>
      <c r="AK120" s="34" t="str">
        <f>IF(AJ120="","",IF(I$8="A",(RANK(AJ120,AJ$11:AJ$368,1)+COUNTIF(AJ$11:AJ120,AJ120)-1),(RANK(AJ120,AJ$11:AJ$368)+COUNTIF(AJ$11:AJ120,AJ120)-1)))</f>
        <v/>
      </c>
      <c r="AL120" s="29" t="str">
        <f t="shared" si="40"/>
        <v/>
      </c>
      <c r="AM120" s="8" t="str">
        <f t="shared" si="33"/>
        <v/>
      </c>
      <c r="AN120" s="8" t="str">
        <f t="shared" si="41"/>
        <v/>
      </c>
      <c r="AP120" s="38" t="str">
        <f>IF(L120="","",VLOOKUP($L120,classifications!$C:$E,3,FALSE))</f>
        <v>East Midlands</v>
      </c>
      <c r="AQ120" s="39" t="str">
        <f t="shared" si="42"/>
        <v/>
      </c>
      <c r="AR120" s="34" t="str">
        <f>IF(AQ120="","",IF(I$8="A",(RANK(AQ120,AQ$11:AQ$368,1)+COUNTIF(AQ$11:AQ120,AQ120)-1),(RANK(AQ120,AQ$11:AQ$368)+COUNTIF(AQ$11:AQ120,AQ120)-1)))</f>
        <v/>
      </c>
      <c r="AS120" s="29" t="str">
        <f t="shared" si="43"/>
        <v/>
      </c>
      <c r="AT120" s="34" t="str">
        <f t="shared" si="34"/>
        <v/>
      </c>
      <c r="AU120" s="39" t="str">
        <f t="shared" si="48"/>
        <v/>
      </c>
      <c r="AX120" s="21">
        <f>HLOOKUP($AX$9&amp;$AX$10,Data!$A$1:$ZZ$2000,(MATCH($C120,Data!$A$1:$A$2000,0)),FALSE)</f>
        <v>86.243288658425897</v>
      </c>
      <c r="AY120" s="103"/>
      <c r="AZ120" s="21"/>
    </row>
    <row r="121" spans="1:52">
      <c r="A121" s="56" t="str">
        <f>$D$1&amp;111</f>
        <v>SD111</v>
      </c>
      <c r="B121" s="57">
        <f>IF(ISERROR(VLOOKUP(A121,classifications!A:C,3,FALSE)),0,VLOOKUP(A121,classifications!A:C,3,FALSE))</f>
        <v>0</v>
      </c>
      <c r="C121" s="8" t="s">
        <v>67</v>
      </c>
      <c r="D121" s="26" t="str">
        <f>VLOOKUP($C121,classifications!$C:$J,4,FALSE)</f>
        <v>SD</v>
      </c>
      <c r="E121" s="26">
        <f>VLOOKUP(C121,classifications!C:K,9,FALSE)</f>
        <v>0</v>
      </c>
      <c r="F121" s="36">
        <f t="shared" si="26"/>
        <v>81.456419870507062</v>
      </c>
      <c r="G121" s="71"/>
      <c r="H121" s="37">
        <f t="shared" si="27"/>
        <v>81.456419870507062</v>
      </c>
      <c r="I121" s="77">
        <f>IF(H121="","",IF($I$8="A",(RANK(H121,H$11:H$368,1)+COUNTIF(H$11:H121,H121)-1),(RANK(H121,H$11:H$368)+COUNTIF(H$11:H121,H121)-1)))</f>
        <v>87</v>
      </c>
      <c r="J121" s="35"/>
      <c r="K121" s="28">
        <f t="shared" si="35"/>
        <v>111</v>
      </c>
      <c r="L121" s="36" t="str">
        <f t="shared" si="28"/>
        <v>Woking</v>
      </c>
      <c r="M121" s="102">
        <f t="shared" si="36"/>
        <v>80.450599677789896</v>
      </c>
      <c r="N121" s="101">
        <f t="shared" si="37"/>
        <v>80.450599677789896</v>
      </c>
      <c r="O121" s="94" t="str">
        <f t="shared" si="29"/>
        <v/>
      </c>
      <c r="P121" s="94" t="str">
        <f t="shared" si="45"/>
        <v/>
      </c>
      <c r="Q121" s="94">
        <f t="shared" si="46"/>
        <v>80.450599677789896</v>
      </c>
      <c r="R121" s="90" t="str">
        <f t="shared" si="47"/>
        <v/>
      </c>
      <c r="S121" s="37" t="str">
        <f t="shared" si="38"/>
        <v/>
      </c>
      <c r="T121" s="176">
        <f>IF(L121="","",VLOOKUP(L121,classifications!C:K,9,FALSE))</f>
        <v>0</v>
      </c>
      <c r="U121" s="183" t="str">
        <f t="shared" si="30"/>
        <v/>
      </c>
      <c r="V121" s="184" t="str">
        <f>IF(U121="","",IF($I$8="A",(RANK(U121,U$11:U$368)+COUNTIF(U$11:U121,U121)-1),(RANK(U121,U$11:U$368,1)+COUNTIF(U$11:U121,U121)-1)))</f>
        <v/>
      </c>
      <c r="W121" s="185"/>
      <c r="X121" s="38" t="str">
        <f>IF(L121="","",VLOOKUP($L121,classifications!$C:$J,6,FALSE))</f>
        <v>Urban with Major Conurbation</v>
      </c>
      <c r="Y121" s="26" t="str">
        <f t="shared" si="31"/>
        <v/>
      </c>
      <c r="Z121" s="34" t="str">
        <f>IF(Y121="","",IF(I$8="A",(RANK(Y121,Y$11:Y$368,1)+COUNTIF(Y$11:Y121,Y121)-1),(RANK(Y121,Y$11:Y$368)+COUNTIF(Y$11:Y121,Y121)-1)))</f>
        <v/>
      </c>
      <c r="AA121" s="188" t="str">
        <f>IF(L121="","",VLOOKUP($L121,classifications!C:I,7,FALSE))</f>
        <v>Predominantly Urban</v>
      </c>
      <c r="AB121" s="184" t="str">
        <f t="shared" si="39"/>
        <v/>
      </c>
      <c r="AC121" s="184" t="str">
        <f>IF(AB121="","",IF($I$8="A",(RANK(AB121,AB$11:AB$368)+COUNTIF(AB$11:AB121,AB121)-1),(RANK(AB121,AB$11:AB$368,1)+COUNTIF(AB$11:AB121,AB121)-1)))</f>
        <v/>
      </c>
      <c r="AD121" s="184"/>
      <c r="AE121" s="28" t="str">
        <f t="shared" si="49"/>
        <v/>
      </c>
      <c r="AG121" s="96"/>
      <c r="AH121" s="29"/>
      <c r="AI121" s="38" t="str">
        <f>IF(L121="","",VLOOKUP($L121,classifications!$C:$J,8,FALSE))</f>
        <v>Surrey</v>
      </c>
      <c r="AJ121" s="39" t="str">
        <f t="shared" si="32"/>
        <v/>
      </c>
      <c r="AK121" s="34" t="str">
        <f>IF(AJ121="","",IF(I$8="A",(RANK(AJ121,AJ$11:AJ$368,1)+COUNTIF(AJ$11:AJ121,AJ121)-1),(RANK(AJ121,AJ$11:AJ$368)+COUNTIF(AJ$11:AJ121,AJ121)-1)))</f>
        <v/>
      </c>
      <c r="AL121" s="29" t="str">
        <f t="shared" si="40"/>
        <v/>
      </c>
      <c r="AM121" s="8" t="str">
        <f t="shared" si="33"/>
        <v/>
      </c>
      <c r="AN121" s="8" t="str">
        <f t="shared" si="41"/>
        <v/>
      </c>
      <c r="AP121" s="38" t="str">
        <f>IF(L121="","",VLOOKUP($L121,classifications!$C:$E,3,FALSE))</f>
        <v>South East</v>
      </c>
      <c r="AQ121" s="39" t="str">
        <f t="shared" si="42"/>
        <v/>
      </c>
      <c r="AR121" s="34" t="str">
        <f>IF(AQ121="","",IF(I$8="A",(RANK(AQ121,AQ$11:AQ$368,1)+COUNTIF(AQ$11:AQ121,AQ121)-1),(RANK(AQ121,AQ$11:AQ$368)+COUNTIF(AQ$11:AQ121,AQ121)-1)))</f>
        <v/>
      </c>
      <c r="AS121" s="29" t="str">
        <f t="shared" si="43"/>
        <v/>
      </c>
      <c r="AT121" s="34" t="str">
        <f t="shared" si="34"/>
        <v/>
      </c>
      <c r="AU121" s="39" t="str">
        <f t="shared" si="48"/>
        <v/>
      </c>
      <c r="AX121" s="21">
        <f>HLOOKUP($AX$9&amp;$AX$10,Data!$A$1:$ZZ$2000,(MATCH($C121,Data!$A$1:$A$2000,0)),FALSE)</f>
        <v>81.456419870507062</v>
      </c>
      <c r="AY121" s="103"/>
      <c r="AZ121" s="21"/>
    </row>
    <row r="122" spans="1:52">
      <c r="A122" s="56" t="str">
        <f>$D$1&amp;112</f>
        <v>SD112</v>
      </c>
      <c r="B122" s="57">
        <f>IF(ISERROR(VLOOKUP(A122,classifications!A:C,3,FALSE)),0,VLOOKUP(A122,classifications!A:C,3,FALSE))</f>
        <v>0</v>
      </c>
      <c r="C122" s="8" t="s">
        <v>68</v>
      </c>
      <c r="D122" s="26" t="str">
        <f>VLOOKUP($C122,classifications!$C:$J,4,FALSE)</f>
        <v>SD</v>
      </c>
      <c r="E122" s="26">
        <f>VLOOKUP(C122,classifications!C:K,9,FALSE)</f>
        <v>0</v>
      </c>
      <c r="F122" s="36">
        <f t="shared" si="26"/>
        <v>74.34559789460593</v>
      </c>
      <c r="G122" s="71"/>
      <c r="H122" s="37">
        <f t="shared" si="27"/>
        <v>74.34559789460593</v>
      </c>
      <c r="I122" s="77">
        <f>IF(H122="","",IF($I$8="A",(RANK(H122,H$11:H$368,1)+COUNTIF(H$11:H122,H122)-1),(RANK(H122,H$11:H$368)+COUNTIF(H$11:H122,H122)-1)))</f>
        <v>181</v>
      </c>
      <c r="J122" s="35"/>
      <c r="K122" s="28">
        <f t="shared" si="35"/>
        <v>112</v>
      </c>
      <c r="L122" s="36" t="str">
        <f t="shared" si="28"/>
        <v>Ryedale</v>
      </c>
      <c r="M122" s="102">
        <f t="shared" si="36"/>
        <v>80.304261084662869</v>
      </c>
      <c r="N122" s="101">
        <f t="shared" si="37"/>
        <v>80.304261084662869</v>
      </c>
      <c r="O122" s="94" t="str">
        <f t="shared" si="29"/>
        <v/>
      </c>
      <c r="P122" s="94" t="str">
        <f t="shared" si="45"/>
        <v/>
      </c>
      <c r="Q122" s="94">
        <f t="shared" si="46"/>
        <v>80.304261084662869</v>
      </c>
      <c r="R122" s="90" t="str">
        <f t="shared" si="47"/>
        <v/>
      </c>
      <c r="S122" s="37" t="str">
        <f t="shared" si="38"/>
        <v/>
      </c>
      <c r="T122" s="176" t="str">
        <f>IF(L122="","",VLOOKUP(L122,classifications!C:K,9,FALSE))</f>
        <v>Sparse</v>
      </c>
      <c r="U122" s="183">
        <f t="shared" si="30"/>
        <v>80.304261084662869</v>
      </c>
      <c r="V122" s="184">
        <f>IF(U122="","",IF($I$8="A",(RANK(U122,U$11:U$368)+COUNTIF(U$11:U122,U122)-1),(RANK(U122,U$11:U$368,1)+COUNTIF(U$11:U122,U122)-1)))</f>
        <v>25</v>
      </c>
      <c r="W122" s="185"/>
      <c r="X122" s="38" t="str">
        <f>IF(L122="","",VLOOKUP($L122,classifications!$C:$J,6,FALSE))</f>
        <v xml:space="preserve">Mainly Rural (rural including hub towns &gt;=80%) </v>
      </c>
      <c r="Y122" s="26">
        <f t="shared" si="31"/>
        <v>80.304261084662869</v>
      </c>
      <c r="Z122" s="34">
        <f>IF(Y122="","",IF(I$8="A",(RANK(Y122,Y$11:Y$368,1)+COUNTIF(Y$11:Y122,Y122)-1),(RANK(Y122,Y$11:Y$368)+COUNTIF(Y$11:Y122,Y122)-1)))</f>
        <v>29</v>
      </c>
      <c r="AA122" s="188" t="str">
        <f>IF(L122="","",VLOOKUP($L122,classifications!C:I,7,FALSE))</f>
        <v>Predominantly Rural</v>
      </c>
      <c r="AB122" s="184">
        <f t="shared" si="39"/>
        <v>80.304261084662869</v>
      </c>
      <c r="AC122" s="184">
        <f>IF(AB122="","",IF($I$8="A",(RANK(AB122,AB$11:AB$368)+COUNTIF(AB$11:AB122,AB122)-1),(RANK(AB122,AB$11:AB$368,1)+COUNTIF(AB$11:AB122,AB122)-1)))</f>
        <v>26</v>
      </c>
      <c r="AD122" s="184"/>
      <c r="AE122" s="28" t="str">
        <f t="shared" si="49"/>
        <v/>
      </c>
      <c r="AG122" s="96"/>
      <c r="AH122" s="29"/>
      <c r="AI122" s="38" t="str">
        <f>IF(L122="","",VLOOKUP($L122,classifications!$C:$J,8,FALSE))</f>
        <v>North Yorkshire</v>
      </c>
      <c r="AJ122" s="39" t="str">
        <f t="shared" si="32"/>
        <v/>
      </c>
      <c r="AK122" s="34" t="str">
        <f>IF(AJ122="","",IF(I$8="A",(RANK(AJ122,AJ$11:AJ$368,1)+COUNTIF(AJ$11:AJ122,AJ122)-1),(RANK(AJ122,AJ$11:AJ$368)+COUNTIF(AJ$11:AJ122,AJ122)-1)))</f>
        <v/>
      </c>
      <c r="AL122" s="29" t="str">
        <f t="shared" si="40"/>
        <v/>
      </c>
      <c r="AM122" s="8" t="str">
        <f t="shared" si="33"/>
        <v/>
      </c>
      <c r="AN122" s="8" t="str">
        <f t="shared" si="41"/>
        <v/>
      </c>
      <c r="AP122" s="38" t="str">
        <f>IF(L122="","",VLOOKUP($L122,classifications!$C:$E,3,FALSE))</f>
        <v>Yorkshire &amp; Humberside</v>
      </c>
      <c r="AQ122" s="39" t="str">
        <f t="shared" si="42"/>
        <v/>
      </c>
      <c r="AR122" s="34" t="str">
        <f>IF(AQ122="","",IF(I$8="A",(RANK(AQ122,AQ$11:AQ$368,1)+COUNTIF(AQ$11:AQ122,AQ122)-1),(RANK(AQ122,AQ$11:AQ$368)+COUNTIF(AQ$11:AQ122,AQ122)-1)))</f>
        <v/>
      </c>
      <c r="AS122" s="29" t="str">
        <f t="shared" si="43"/>
        <v/>
      </c>
      <c r="AT122" s="34" t="str">
        <f t="shared" si="34"/>
        <v/>
      </c>
      <c r="AU122" s="39" t="str">
        <f t="shared" si="48"/>
        <v/>
      </c>
      <c r="AX122" s="21">
        <f>HLOOKUP($AX$9&amp;$AX$10,Data!$A$1:$ZZ$2000,(MATCH($C122,Data!$A$1:$A$2000,0)),FALSE)</f>
        <v>74.34559789460593</v>
      </c>
      <c r="AY122" s="103"/>
      <c r="AZ122" s="21"/>
    </row>
    <row r="123" spans="1:52">
      <c r="A123" s="56" t="str">
        <f>$D$1&amp;113</f>
        <v>SD113</v>
      </c>
      <c r="B123" s="57">
        <f>IF(ISERROR(VLOOKUP(A123,classifications!A:C,3,FALSE)),0,VLOOKUP(A123,classifications!A:C,3,FALSE))</f>
        <v>0</v>
      </c>
      <c r="C123" s="8" t="s">
        <v>69</v>
      </c>
      <c r="D123" s="26" t="str">
        <f>VLOOKUP($C123,classifications!$C:$J,4,FALSE)</f>
        <v>SD</v>
      </c>
      <c r="E123" s="26" t="str">
        <f>VLOOKUP(C123,classifications!C:K,9,FALSE)</f>
        <v>Sparse</v>
      </c>
      <c r="F123" s="36" t="str">
        <f t="shared" si="26"/>
        <v>-</v>
      </c>
      <c r="G123" s="71"/>
      <c r="H123" s="37" t="str">
        <f t="shared" si="27"/>
        <v>-</v>
      </c>
      <c r="I123" s="77" t="e">
        <f>IF(H123="","",IF($I$8="A",(RANK(H123,H$11:H$368,1)+COUNTIF(H$11:H123,H123)-1),(RANK(H123,H$11:H$368)+COUNTIF(H$11:H123,H123)-1)))</f>
        <v>#VALUE!</v>
      </c>
      <c r="J123" s="35"/>
      <c r="K123" s="28">
        <f t="shared" si="35"/>
        <v>113</v>
      </c>
      <c r="L123" s="36" t="str">
        <f t="shared" si="28"/>
        <v>Rushcliffe</v>
      </c>
      <c r="M123" s="102">
        <f t="shared" si="36"/>
        <v>80.262016971920374</v>
      </c>
      <c r="N123" s="101">
        <f t="shared" si="37"/>
        <v>80.262016971920374</v>
      </c>
      <c r="O123" s="94" t="str">
        <f t="shared" si="29"/>
        <v/>
      </c>
      <c r="P123" s="94" t="str">
        <f t="shared" si="45"/>
        <v/>
      </c>
      <c r="Q123" s="94">
        <f t="shared" si="46"/>
        <v>80.262016971920374</v>
      </c>
      <c r="R123" s="90" t="str">
        <f t="shared" si="47"/>
        <v/>
      </c>
      <c r="S123" s="37" t="str">
        <f t="shared" si="38"/>
        <v/>
      </c>
      <c r="T123" s="176">
        <f>IF(L123="","",VLOOKUP(L123,classifications!C:K,9,FALSE))</f>
        <v>0</v>
      </c>
      <c r="U123" s="183" t="str">
        <f t="shared" si="30"/>
        <v/>
      </c>
      <c r="V123" s="184" t="str">
        <f>IF(U123="","",IF($I$8="A",(RANK(U123,U$11:U$368)+COUNTIF(U$11:U123,U123)-1),(RANK(U123,U$11:U$368,1)+COUNTIF(U$11:U123,U123)-1)))</f>
        <v/>
      </c>
      <c r="W123" s="185"/>
      <c r="X123" s="38" t="str">
        <f>IF(L123="","",VLOOKUP($L123,classifications!$C:$J,6,FALSE))</f>
        <v xml:space="preserve">Largely Rural (rural including hub towns 50-79%) </v>
      </c>
      <c r="Y123" s="26" t="str">
        <f t="shared" si="31"/>
        <v/>
      </c>
      <c r="Z123" s="34" t="str">
        <f>IF(Y123="","",IF(I$8="A",(RANK(Y123,Y$11:Y$368,1)+COUNTIF(Y$11:Y123,Y123)-1),(RANK(Y123,Y$11:Y$368)+COUNTIF(Y$11:Y123,Y123)-1)))</f>
        <v/>
      </c>
      <c r="AA123" s="188" t="str">
        <f>IF(L123="","",VLOOKUP($L123,classifications!C:I,7,FALSE))</f>
        <v>Predominantly Rural</v>
      </c>
      <c r="AB123" s="184">
        <f t="shared" si="39"/>
        <v>80.262016971920374</v>
      </c>
      <c r="AC123" s="184">
        <f>IF(AB123="","",IF($I$8="A",(RANK(AB123,AB$11:AB$368)+COUNTIF(AB$11:AB123,AB123)-1),(RANK(AB123,AB$11:AB$368,1)+COUNTIF(AB$11:AB123,AB123)-1)))</f>
        <v>25</v>
      </c>
      <c r="AD123" s="184"/>
      <c r="AE123" s="28" t="str">
        <f t="shared" si="49"/>
        <v/>
      </c>
      <c r="AG123" s="96"/>
      <c r="AH123" s="29"/>
      <c r="AI123" s="38" t="str">
        <f>IF(L123="","",VLOOKUP($L123,classifications!$C:$J,8,FALSE))</f>
        <v>Nottinghamshire</v>
      </c>
      <c r="AJ123" s="39" t="str">
        <f t="shared" si="32"/>
        <v/>
      </c>
      <c r="AK123" s="34" t="str">
        <f>IF(AJ123="","",IF(I$8="A",(RANK(AJ123,AJ$11:AJ$368,1)+COUNTIF(AJ$11:AJ123,AJ123)-1),(RANK(AJ123,AJ$11:AJ$368)+COUNTIF(AJ$11:AJ123,AJ123)-1)))</f>
        <v/>
      </c>
      <c r="AL123" s="29" t="str">
        <f t="shared" si="40"/>
        <v/>
      </c>
      <c r="AM123" s="8" t="str">
        <f t="shared" si="33"/>
        <v/>
      </c>
      <c r="AN123" s="8" t="str">
        <f t="shared" si="41"/>
        <v/>
      </c>
      <c r="AP123" s="38" t="str">
        <f>IF(L123="","",VLOOKUP($L123,classifications!$C:$E,3,FALSE))</f>
        <v>East Midlands</v>
      </c>
      <c r="AQ123" s="39" t="str">
        <f t="shared" si="42"/>
        <v/>
      </c>
      <c r="AR123" s="34" t="str">
        <f>IF(AQ123="","",IF(I$8="A",(RANK(AQ123,AQ$11:AQ$368,1)+COUNTIF(AQ$11:AQ123,AQ123)-1),(RANK(AQ123,AQ$11:AQ$368)+COUNTIF(AQ$11:AQ123,AQ123)-1)))</f>
        <v/>
      </c>
      <c r="AS123" s="29" t="str">
        <f t="shared" si="43"/>
        <v/>
      </c>
      <c r="AT123" s="34" t="str">
        <f t="shared" si="34"/>
        <v/>
      </c>
      <c r="AU123" s="39" t="str">
        <f t="shared" si="48"/>
        <v/>
      </c>
      <c r="AX123" s="21" t="str">
        <f>HLOOKUP($AX$9&amp;$AX$10,Data!$A$1:$ZZ$2000,(MATCH($C123,Data!$A$1:$A$2000,0)),FALSE)</f>
        <v>-</v>
      </c>
      <c r="AY123" s="103"/>
      <c r="AZ123" s="21"/>
    </row>
    <row r="124" spans="1:52">
      <c r="A124" s="56" t="str">
        <f>$D$1&amp;114</f>
        <v>SD114</v>
      </c>
      <c r="B124" s="57">
        <f>IF(ISERROR(VLOOKUP(A124,classifications!A:C,3,FALSE)),0,VLOOKUP(A124,classifications!A:C,3,FALSE))</f>
        <v>0</v>
      </c>
      <c r="C124" s="8" t="s">
        <v>70</v>
      </c>
      <c r="D124" s="26" t="str">
        <f>VLOOKUP($C124,classifications!$C:$J,4,FALSE)</f>
        <v>SD</v>
      </c>
      <c r="E124" s="26" t="str">
        <f>VLOOKUP(C124,classifications!C:K,9,FALSE)</f>
        <v>Sparse</v>
      </c>
      <c r="F124" s="36">
        <f t="shared" si="26"/>
        <v>76.805453253673065</v>
      </c>
      <c r="G124" s="71"/>
      <c r="H124" s="37">
        <f t="shared" si="27"/>
        <v>76.805453253673065</v>
      </c>
      <c r="I124" s="77">
        <f>IF(H124="","",IF($I$8="A",(RANK(H124,H$11:H$368,1)+COUNTIF(H$11:H124,H124)-1),(RANK(H124,H$11:H$368)+COUNTIF(H$11:H124,H124)-1)))</f>
        <v>161</v>
      </c>
      <c r="J124" s="35"/>
      <c r="K124" s="28">
        <f t="shared" si="35"/>
        <v>114</v>
      </c>
      <c r="L124" s="36" t="str">
        <f t="shared" si="28"/>
        <v>Wellingborough</v>
      </c>
      <c r="M124" s="102">
        <f t="shared" si="36"/>
        <v>80.166102948644138</v>
      </c>
      <c r="N124" s="101">
        <f t="shared" si="37"/>
        <v>80.166102948644138</v>
      </c>
      <c r="O124" s="94" t="str">
        <f t="shared" si="29"/>
        <v/>
      </c>
      <c r="P124" s="94" t="str">
        <f t="shared" si="45"/>
        <v/>
      </c>
      <c r="Q124" s="94">
        <f t="shared" si="46"/>
        <v>80.166102948644138</v>
      </c>
      <c r="R124" s="90" t="str">
        <f t="shared" si="47"/>
        <v/>
      </c>
      <c r="S124" s="37" t="str">
        <f t="shared" si="38"/>
        <v/>
      </c>
      <c r="T124" s="176">
        <f>IF(L124="","",VLOOKUP(L124,classifications!C:K,9,FALSE))</f>
        <v>0</v>
      </c>
      <c r="U124" s="183" t="str">
        <f t="shared" si="30"/>
        <v/>
      </c>
      <c r="V124" s="184" t="str">
        <f>IF(U124="","",IF($I$8="A",(RANK(U124,U$11:U$368)+COUNTIF(U$11:U124,U124)-1),(RANK(U124,U$11:U$368,1)+COUNTIF(U$11:U124,U124)-1)))</f>
        <v/>
      </c>
      <c r="W124" s="185"/>
      <c r="X124" s="38" t="str">
        <f>IF(L124="","",VLOOKUP($L124,classifications!$C:$J,6,FALSE))</f>
        <v>Urban with Significant Rural (rural including hub towns 26-49%)</v>
      </c>
      <c r="Y124" s="26" t="str">
        <f t="shared" si="31"/>
        <v/>
      </c>
      <c r="Z124" s="34" t="str">
        <f>IF(Y124="","",IF(I$8="A",(RANK(Y124,Y$11:Y$368,1)+COUNTIF(Y$11:Y124,Y124)-1),(RANK(Y124,Y$11:Y$368)+COUNTIF(Y$11:Y124,Y124)-1)))</f>
        <v/>
      </c>
      <c r="AA124" s="188" t="str">
        <f>IF(L124="","",VLOOKUP($L124,classifications!C:I,7,FALSE))</f>
        <v>Significant Rural</v>
      </c>
      <c r="AB124" s="184" t="str">
        <f t="shared" si="39"/>
        <v/>
      </c>
      <c r="AC124" s="184" t="str">
        <f>IF(AB124="","",IF($I$8="A",(RANK(AB124,AB$11:AB$368)+COUNTIF(AB$11:AB124,AB124)-1),(RANK(AB124,AB$11:AB$368,1)+COUNTIF(AB$11:AB124,AB124)-1)))</f>
        <v/>
      </c>
      <c r="AD124" s="184"/>
      <c r="AE124" s="28" t="str">
        <f t="shared" si="49"/>
        <v/>
      </c>
      <c r="AG124" s="96"/>
      <c r="AH124" s="29"/>
      <c r="AI124" s="38" t="str">
        <f>IF(L124="","",VLOOKUP($L124,classifications!$C:$J,8,FALSE))</f>
        <v>Northamptonshire</v>
      </c>
      <c r="AJ124" s="39" t="str">
        <f t="shared" si="32"/>
        <v/>
      </c>
      <c r="AK124" s="34" t="str">
        <f>IF(AJ124="","",IF(I$8="A",(RANK(AJ124,AJ$11:AJ$368,1)+COUNTIF(AJ$11:AJ124,AJ124)-1),(RANK(AJ124,AJ$11:AJ$368)+COUNTIF(AJ$11:AJ124,AJ124)-1)))</f>
        <v/>
      </c>
      <c r="AL124" s="29" t="str">
        <f t="shared" si="40"/>
        <v/>
      </c>
      <c r="AM124" s="8" t="str">
        <f t="shared" si="33"/>
        <v/>
      </c>
      <c r="AN124" s="8" t="str">
        <f t="shared" si="41"/>
        <v/>
      </c>
      <c r="AP124" s="38" t="str">
        <f>IF(L124="","",VLOOKUP($L124,classifications!$C:$E,3,FALSE))</f>
        <v>East Midlands</v>
      </c>
      <c r="AQ124" s="39" t="str">
        <f t="shared" si="42"/>
        <v/>
      </c>
      <c r="AR124" s="34" t="str">
        <f>IF(AQ124="","",IF(I$8="A",(RANK(AQ124,AQ$11:AQ$368,1)+COUNTIF(AQ$11:AQ124,AQ124)-1),(RANK(AQ124,AQ$11:AQ$368)+COUNTIF(AQ$11:AQ124,AQ124)-1)))</f>
        <v/>
      </c>
      <c r="AS124" s="29" t="str">
        <f t="shared" si="43"/>
        <v/>
      </c>
      <c r="AT124" s="34" t="str">
        <f t="shared" si="34"/>
        <v/>
      </c>
      <c r="AU124" s="39" t="str">
        <f t="shared" si="48"/>
        <v/>
      </c>
      <c r="AX124" s="21">
        <f>HLOOKUP($AX$9&amp;$AX$10,Data!$A$1:$ZZ$2000,(MATCH($C124,Data!$A$1:$A$2000,0)),FALSE)</f>
        <v>76.805453253673065</v>
      </c>
      <c r="AY124" s="103"/>
      <c r="AZ124" s="21"/>
    </row>
    <row r="125" spans="1:52">
      <c r="A125" s="56" t="str">
        <f>$D$1&amp;115</f>
        <v>SD115</v>
      </c>
      <c r="B125" s="57">
        <f>IF(ISERROR(VLOOKUP(A125,classifications!A:C,3,FALSE)),0,VLOOKUP(A125,classifications!A:C,3,FALSE))</f>
        <v>0</v>
      </c>
      <c r="C125" s="8" t="s">
        <v>71</v>
      </c>
      <c r="D125" s="26" t="str">
        <f>VLOOKUP($C125,classifications!$C:$J,4,FALSE)</f>
        <v>SD</v>
      </c>
      <c r="E125" s="26">
        <f>VLOOKUP(C125,classifications!C:K,9,FALSE)</f>
        <v>0</v>
      </c>
      <c r="F125" s="36">
        <f t="shared" si="26"/>
        <v>78.660073450737343</v>
      </c>
      <c r="G125" s="71"/>
      <c r="H125" s="37">
        <f t="shared" si="27"/>
        <v>78.660073450737343</v>
      </c>
      <c r="I125" s="77">
        <f>IF(H125="","",IF($I$8="A",(RANK(H125,H$11:H$368,1)+COUNTIF(H$11:H125,H125)-1),(RANK(H125,H$11:H$368)+COUNTIF(H$11:H125,H125)-1)))</f>
        <v>142</v>
      </c>
      <c r="J125" s="35"/>
      <c r="K125" s="28">
        <f t="shared" si="35"/>
        <v>115</v>
      </c>
      <c r="L125" s="36" t="str">
        <f t="shared" si="28"/>
        <v>Amber Valley</v>
      </c>
      <c r="M125" s="102">
        <f t="shared" si="36"/>
        <v>80.023065629365846</v>
      </c>
      <c r="N125" s="101">
        <f t="shared" si="37"/>
        <v>80.023065629365846</v>
      </c>
      <c r="O125" s="94" t="str">
        <f t="shared" si="29"/>
        <v/>
      </c>
      <c r="P125" s="94" t="str">
        <f t="shared" si="45"/>
        <v/>
      </c>
      <c r="Q125" s="94">
        <f t="shared" si="46"/>
        <v>80.023065629365846</v>
      </c>
      <c r="R125" s="90" t="str">
        <f t="shared" si="47"/>
        <v/>
      </c>
      <c r="S125" s="37" t="str">
        <f t="shared" si="38"/>
        <v/>
      </c>
      <c r="T125" s="176">
        <f>IF(L125="","",VLOOKUP(L125,classifications!C:K,9,FALSE))</f>
        <v>0</v>
      </c>
      <c r="U125" s="183" t="str">
        <f t="shared" si="30"/>
        <v/>
      </c>
      <c r="V125" s="184" t="str">
        <f>IF(U125="","",IF($I$8="A",(RANK(U125,U$11:U$368)+COUNTIF(U$11:U125,U125)-1),(RANK(U125,U$11:U$368,1)+COUNTIF(U$11:U125,U125)-1)))</f>
        <v/>
      </c>
      <c r="W125" s="185"/>
      <c r="X125" s="38" t="str">
        <f>IF(L125="","",VLOOKUP($L125,classifications!$C:$J,6,FALSE))</f>
        <v>Urban with Minor Conurbation</v>
      </c>
      <c r="Y125" s="26" t="str">
        <f t="shared" si="31"/>
        <v/>
      </c>
      <c r="Z125" s="34" t="str">
        <f>IF(Y125="","",IF(I$8="A",(RANK(Y125,Y$11:Y$368,1)+COUNTIF(Y$11:Y125,Y125)-1),(RANK(Y125,Y$11:Y$368)+COUNTIF(Y$11:Y125,Y125)-1)))</f>
        <v/>
      </c>
      <c r="AA125" s="188" t="str">
        <f>IF(L125="","",VLOOKUP($L125,classifications!C:I,7,FALSE))</f>
        <v>Predominantly Urban</v>
      </c>
      <c r="AB125" s="184" t="str">
        <f t="shared" si="39"/>
        <v/>
      </c>
      <c r="AC125" s="184" t="str">
        <f>IF(AB125="","",IF($I$8="A",(RANK(AB125,AB$11:AB$368)+COUNTIF(AB$11:AB125,AB125)-1),(RANK(AB125,AB$11:AB$368,1)+COUNTIF(AB$11:AB125,AB125)-1)))</f>
        <v/>
      </c>
      <c r="AD125" s="184"/>
      <c r="AE125" s="28" t="str">
        <f t="shared" si="49"/>
        <v/>
      </c>
      <c r="AG125" s="96"/>
      <c r="AH125" s="29"/>
      <c r="AI125" s="38" t="str">
        <f>IF(L125="","",VLOOKUP($L125,classifications!$C:$J,8,FALSE))</f>
        <v>Derbyshire</v>
      </c>
      <c r="AJ125" s="39" t="str">
        <f t="shared" si="32"/>
        <v/>
      </c>
      <c r="AK125" s="34" t="str">
        <f>IF(AJ125="","",IF(I$8="A",(RANK(AJ125,AJ$11:AJ$368,1)+COUNTIF(AJ$11:AJ125,AJ125)-1),(RANK(AJ125,AJ$11:AJ$368)+COUNTIF(AJ$11:AJ125,AJ125)-1)))</f>
        <v/>
      </c>
      <c r="AL125" s="29" t="str">
        <f t="shared" si="40"/>
        <v/>
      </c>
      <c r="AM125" s="8" t="str">
        <f t="shared" si="33"/>
        <v/>
      </c>
      <c r="AN125" s="8" t="str">
        <f t="shared" si="41"/>
        <v/>
      </c>
      <c r="AP125" s="38" t="str">
        <f>IF(L125="","",VLOOKUP($L125,classifications!$C:$E,3,FALSE))</f>
        <v>East Midlands</v>
      </c>
      <c r="AQ125" s="39" t="str">
        <f t="shared" si="42"/>
        <v/>
      </c>
      <c r="AR125" s="34" t="str">
        <f>IF(AQ125="","",IF(I$8="A",(RANK(AQ125,AQ$11:AQ$368,1)+COUNTIF(AQ$11:AQ125,AQ125)-1),(RANK(AQ125,AQ$11:AQ$368)+COUNTIF(AQ$11:AQ125,AQ125)-1)))</f>
        <v/>
      </c>
      <c r="AS125" s="29" t="str">
        <f t="shared" si="43"/>
        <v/>
      </c>
      <c r="AT125" s="34" t="str">
        <f t="shared" si="34"/>
        <v/>
      </c>
      <c r="AU125" s="39" t="str">
        <f t="shared" si="48"/>
        <v/>
      </c>
      <c r="AX125" s="21">
        <f>HLOOKUP($AX$9&amp;$AX$10,Data!$A$1:$ZZ$2000,(MATCH($C125,Data!$A$1:$A$2000,0)),FALSE)</f>
        <v>78.660073450737343</v>
      </c>
      <c r="AY125" s="103"/>
      <c r="AZ125" s="21"/>
    </row>
    <row r="126" spans="1:52">
      <c r="A126" s="56" t="str">
        <f>$D$1&amp;116</f>
        <v>SD116</v>
      </c>
      <c r="B126" s="57">
        <f>IF(ISERROR(VLOOKUP(A126,classifications!A:C,3,FALSE)),0,VLOOKUP(A126,classifications!A:C,3,FALSE))</f>
        <v>0</v>
      </c>
      <c r="C126" s="8" t="s">
        <v>231</v>
      </c>
      <c r="D126" s="26" t="str">
        <f>VLOOKUP($C126,classifications!$C:$J,4,FALSE)</f>
        <v>MD</v>
      </c>
      <c r="E126" s="26">
        <f>VLOOKUP(C126,classifications!C:K,9,FALSE)</f>
        <v>0</v>
      </c>
      <c r="F126" s="36">
        <f t="shared" si="26"/>
        <v>73.804820666151898</v>
      </c>
      <c r="G126" s="71"/>
      <c r="H126" s="37" t="str">
        <f t="shared" si="27"/>
        <v/>
      </c>
      <c r="I126" s="77" t="str">
        <f>IF(H126="","",IF($I$8="A",(RANK(H126,H$11:H$368,1)+COUNTIF(H$11:H126,H126)-1),(RANK(H126,H$11:H$368)+COUNTIF(H$11:H126,H126)-1)))</f>
        <v/>
      </c>
      <c r="J126" s="35"/>
      <c r="K126" s="28">
        <f t="shared" si="35"/>
        <v>116</v>
      </c>
      <c r="L126" s="36" t="str">
        <f t="shared" si="28"/>
        <v>North East Derbyshire</v>
      </c>
      <c r="M126" s="102">
        <f t="shared" si="36"/>
        <v>79.98234966638357</v>
      </c>
      <c r="N126" s="101">
        <f t="shared" si="37"/>
        <v>79.98234966638357</v>
      </c>
      <c r="O126" s="94" t="str">
        <f t="shared" si="29"/>
        <v/>
      </c>
      <c r="P126" s="94" t="str">
        <f t="shared" si="45"/>
        <v/>
      </c>
      <c r="Q126" s="94">
        <f t="shared" si="46"/>
        <v>79.98234966638357</v>
      </c>
      <c r="R126" s="90" t="str">
        <f t="shared" si="47"/>
        <v/>
      </c>
      <c r="S126" s="37" t="str">
        <f t="shared" si="38"/>
        <v/>
      </c>
      <c r="T126" s="176">
        <f>IF(L126="","",VLOOKUP(L126,classifications!C:K,9,FALSE))</f>
        <v>0</v>
      </c>
      <c r="U126" s="183" t="str">
        <f t="shared" si="30"/>
        <v/>
      </c>
      <c r="V126" s="184" t="str">
        <f>IF(U126="","",IF($I$8="A",(RANK(U126,U$11:U$368)+COUNTIF(U$11:U126,U126)-1),(RANK(U126,U$11:U$368,1)+COUNTIF(U$11:U126,U126)-1)))</f>
        <v/>
      </c>
      <c r="W126" s="185"/>
      <c r="X126" s="38" t="str">
        <f>IF(L126="","",VLOOKUP($L126,classifications!$C:$J,6,FALSE))</f>
        <v>Urban with City and Town</v>
      </c>
      <c r="Y126" s="26" t="str">
        <f t="shared" si="31"/>
        <v/>
      </c>
      <c r="Z126" s="34" t="str">
        <f>IF(Y126="","",IF(I$8="A",(RANK(Y126,Y$11:Y$368,1)+COUNTIF(Y$11:Y126,Y126)-1),(RANK(Y126,Y$11:Y$368)+COUNTIF(Y$11:Y126,Y126)-1)))</f>
        <v/>
      </c>
      <c r="AA126" s="188" t="str">
        <f>IF(L126="","",VLOOKUP($L126,classifications!C:I,7,FALSE))</f>
        <v>Predominantly Urban</v>
      </c>
      <c r="AB126" s="184" t="str">
        <f>IF(AA126=$J$3,M126,"")</f>
        <v/>
      </c>
      <c r="AC126" s="184" t="str">
        <f>IF(AB126="","",IF($I$8="A",(RANK(AB126,AB$11:AB$368)+COUNTIF(AB$11:AB126,AB126)-1),(RANK(AB126,AB$11:AB$368,1)+COUNTIF(AB$11:AB126,AB126)-1)))</f>
        <v/>
      </c>
      <c r="AD126" s="184"/>
      <c r="AE126" s="28" t="str">
        <f t="shared" si="49"/>
        <v/>
      </c>
      <c r="AG126" s="96"/>
      <c r="AH126" s="29"/>
      <c r="AI126" s="38" t="str">
        <f>IF(L126="","",VLOOKUP($L126,classifications!$C:$J,8,FALSE))</f>
        <v>Derbyshire</v>
      </c>
      <c r="AJ126" s="39" t="str">
        <f t="shared" si="32"/>
        <v/>
      </c>
      <c r="AK126" s="34" t="str">
        <f>IF(AJ126="","",IF(I$8="A",(RANK(AJ126,AJ$11:AJ$368,1)+COUNTIF(AJ$11:AJ126,AJ126)-1),(RANK(AJ126,AJ$11:AJ$368)+COUNTIF(AJ$11:AJ126,AJ126)-1)))</f>
        <v/>
      </c>
      <c r="AL126" s="29" t="str">
        <f t="shared" si="40"/>
        <v/>
      </c>
      <c r="AM126" s="8" t="str">
        <f t="shared" si="33"/>
        <v/>
      </c>
      <c r="AN126" s="8" t="str">
        <f t="shared" si="41"/>
        <v/>
      </c>
      <c r="AP126" s="38" t="str">
        <f>IF(L126="","",VLOOKUP($L126,classifications!$C:$E,3,FALSE))</f>
        <v>East Midlands</v>
      </c>
      <c r="AQ126" s="39" t="str">
        <f t="shared" si="42"/>
        <v/>
      </c>
      <c r="AR126" s="34" t="str">
        <f>IF(AQ126="","",IF(I$8="A",(RANK(AQ126,AQ$11:AQ$368,1)+COUNTIF(AQ$11:AQ126,AQ126)-1),(RANK(AQ126,AQ$11:AQ$368)+COUNTIF(AQ$11:AQ126,AQ126)-1)))</f>
        <v/>
      </c>
      <c r="AS126" s="29" t="str">
        <f t="shared" si="43"/>
        <v/>
      </c>
      <c r="AT126" s="34" t="str">
        <f t="shared" si="34"/>
        <v/>
      </c>
      <c r="AU126" s="39" t="str">
        <f t="shared" si="48"/>
        <v/>
      </c>
      <c r="AX126" s="21">
        <f>HLOOKUP($AX$9&amp;$AX$10,Data!$A$1:$ZZ$2000,(MATCH($C126,Data!$A$1:$A$2000,0)),FALSE)</f>
        <v>73.804820666151898</v>
      </c>
      <c r="AY126" s="103"/>
      <c r="AZ126" s="21"/>
    </row>
    <row r="127" spans="1:52">
      <c r="A127" s="56" t="str">
        <f>$D$1&amp;117</f>
        <v>SD117</v>
      </c>
      <c r="B127" s="57">
        <f>IF(ISERROR(VLOOKUP(A127,classifications!A:C,3,FALSE)),0,VLOOKUP(A127,classifications!A:C,3,FALSE))</f>
        <v>0</v>
      </c>
      <c r="C127" s="8" t="s">
        <v>72</v>
      </c>
      <c r="D127" s="26" t="str">
        <f>VLOOKUP($C127,classifications!$C:$J,4,FALSE)</f>
        <v>SD</v>
      </c>
      <c r="E127" s="26">
        <f>VLOOKUP(C127,classifications!C:K,9,FALSE)</f>
        <v>0</v>
      </c>
      <c r="F127" s="36">
        <f t="shared" si="26"/>
        <v>83.136481738788177</v>
      </c>
      <c r="G127" s="71"/>
      <c r="H127" s="37">
        <f t="shared" si="27"/>
        <v>83.136481738788177</v>
      </c>
      <c r="I127" s="77">
        <f>IF(H127="","",IF($I$8="A",(RANK(H127,H$11:H$368,1)+COUNTIF(H$11:H127,H127)-1),(RANK(H127,H$11:H$368)+COUNTIF(H$11:H127,H127)-1)))</f>
        <v>56</v>
      </c>
      <c r="J127" s="35"/>
      <c r="K127" s="28">
        <f t="shared" si="35"/>
        <v>117</v>
      </c>
      <c r="L127" s="36" t="str">
        <f t="shared" si="28"/>
        <v>Watford</v>
      </c>
      <c r="M127" s="102">
        <f t="shared" si="36"/>
        <v>79.921381954611164</v>
      </c>
      <c r="N127" s="101">
        <f t="shared" si="37"/>
        <v>79.921381954611164</v>
      </c>
      <c r="O127" s="94" t="str">
        <f t="shared" si="29"/>
        <v/>
      </c>
      <c r="P127" s="94" t="str">
        <f t="shared" si="45"/>
        <v/>
      </c>
      <c r="Q127" s="94">
        <f t="shared" si="46"/>
        <v>79.921381954611164</v>
      </c>
      <c r="R127" s="90" t="str">
        <f t="shared" si="47"/>
        <v/>
      </c>
      <c r="S127" s="37" t="str">
        <f t="shared" si="38"/>
        <v/>
      </c>
      <c r="T127" s="176">
        <f>IF(L127="","",VLOOKUP(L127,classifications!C:K,9,FALSE))</f>
        <v>0</v>
      </c>
      <c r="U127" s="183" t="str">
        <f t="shared" si="30"/>
        <v/>
      </c>
      <c r="V127" s="184" t="str">
        <f>IF(U127="","",IF($I$8="A",(RANK(U127,U$11:U$368)+COUNTIF(U$11:U127,U127)-1),(RANK(U127,U$11:U$368,1)+COUNTIF(U$11:U127,U127)-1)))</f>
        <v/>
      </c>
      <c r="W127" s="185"/>
      <c r="X127" s="38" t="str">
        <f>IF(L127="","",VLOOKUP($L127,classifications!$C:$J,6,FALSE))</f>
        <v>Urban with Major Conurbation</v>
      </c>
      <c r="Y127" s="26" t="str">
        <f t="shared" si="31"/>
        <v/>
      </c>
      <c r="Z127" s="34" t="str">
        <f>IF(Y127="","",IF(I$8="A",(RANK(Y127,Y$11:Y$368,1)+COUNTIF(Y$11:Y127,Y127)-1),(RANK(Y127,Y$11:Y$368)+COUNTIF(Y$11:Y127,Y127)-1)))</f>
        <v/>
      </c>
      <c r="AA127" s="188" t="str">
        <f>IF(L127="","",VLOOKUP($L127,classifications!C:I,7,FALSE))</f>
        <v>Predominantly Urban</v>
      </c>
      <c r="AB127" s="184" t="str">
        <f t="shared" si="39"/>
        <v/>
      </c>
      <c r="AC127" s="184" t="str">
        <f>IF(AB127="","",IF($I$8="A",(RANK(AB127,AB$11:AB$368)+COUNTIF(AB$11:AB127,AB127)-1),(RANK(AB127,AB$11:AB$368,1)+COUNTIF(AB$11:AB127,AB127)-1)))</f>
        <v/>
      </c>
      <c r="AD127" s="184"/>
      <c r="AE127" s="28" t="str">
        <f t="shared" si="49"/>
        <v/>
      </c>
      <c r="AG127" s="96"/>
      <c r="AH127" s="29"/>
      <c r="AI127" s="38" t="str">
        <f>IF(L127="","",VLOOKUP($L127,classifications!$C:$J,8,FALSE))</f>
        <v>Hertfordshire</v>
      </c>
      <c r="AJ127" s="39" t="str">
        <f t="shared" si="32"/>
        <v/>
      </c>
      <c r="AK127" s="34" t="str">
        <f>IF(AJ127="","",IF(I$8="A",(RANK(AJ127,AJ$11:AJ$368,1)+COUNTIF(AJ$11:AJ127,AJ127)-1),(RANK(AJ127,AJ$11:AJ$368)+COUNTIF(AJ$11:AJ127,AJ127)-1)))</f>
        <v/>
      </c>
      <c r="AL127" s="29" t="str">
        <f t="shared" si="40"/>
        <v/>
      </c>
      <c r="AM127" s="8" t="str">
        <f t="shared" si="33"/>
        <v/>
      </c>
      <c r="AN127" s="8" t="str">
        <f t="shared" si="41"/>
        <v/>
      </c>
      <c r="AP127" s="38" t="str">
        <f>IF(L127="","",VLOOKUP($L127,classifications!$C:$E,3,FALSE))</f>
        <v>East of England</v>
      </c>
      <c r="AQ127" s="39" t="str">
        <f t="shared" si="42"/>
        <v/>
      </c>
      <c r="AR127" s="34" t="str">
        <f>IF(AQ127="","",IF(I$8="A",(RANK(AQ127,AQ$11:AQ$368,1)+COUNTIF(AQ$11:AQ127,AQ127)-1),(RANK(AQ127,AQ$11:AQ$368)+COUNTIF(AQ$11:AQ127,AQ127)-1)))</f>
        <v/>
      </c>
      <c r="AS127" s="29" t="str">
        <f t="shared" si="43"/>
        <v/>
      </c>
      <c r="AT127" s="34" t="str">
        <f t="shared" si="34"/>
        <v/>
      </c>
      <c r="AU127" s="39" t="str">
        <f t="shared" si="48"/>
        <v/>
      </c>
      <c r="AX127" s="21">
        <f>HLOOKUP($AX$9&amp;$AX$10,Data!$A$1:$ZZ$2000,(MATCH($C127,Data!$A$1:$A$2000,0)),FALSE)</f>
        <v>83.136481738788177</v>
      </c>
      <c r="AY127" s="103"/>
      <c r="AZ127" s="21"/>
    </row>
    <row r="128" spans="1:52">
      <c r="A128" s="56" t="str">
        <f>$D$1&amp;118</f>
        <v>SD118</v>
      </c>
      <c r="B128" s="57">
        <f>IF(ISERROR(VLOOKUP(A128,classifications!A:C,3,FALSE)),0,VLOOKUP(A128,classifications!A:C,3,FALSE))</f>
        <v>0</v>
      </c>
      <c r="C128" s="8" t="s">
        <v>73</v>
      </c>
      <c r="D128" s="26" t="str">
        <f>VLOOKUP($C128,classifications!$C:$J,4,FALSE)</f>
        <v>SD</v>
      </c>
      <c r="E128" s="26">
        <f>VLOOKUP(C128,classifications!C:K,9,FALSE)</f>
        <v>0</v>
      </c>
      <c r="F128" s="36">
        <f t="shared" si="26"/>
        <v>79.622714647428467</v>
      </c>
      <c r="G128" s="71"/>
      <c r="H128" s="37">
        <f t="shared" si="27"/>
        <v>79.622714647428467</v>
      </c>
      <c r="I128" s="77">
        <f>IF(H128="","",IF($I$8="A",(RANK(H128,H$11:H$368,1)+COUNTIF(H$11:H128,H128)-1),(RANK(H128,H$11:H$368)+COUNTIF(H$11:H128,H128)-1)))</f>
        <v>125</v>
      </c>
      <c r="J128" s="35"/>
      <c r="K128" s="28">
        <f t="shared" si="35"/>
        <v>118</v>
      </c>
      <c r="L128" s="36" t="str">
        <f t="shared" si="28"/>
        <v>South Bucks</v>
      </c>
      <c r="M128" s="102">
        <f t="shared" si="36"/>
        <v>79.916617070522307</v>
      </c>
      <c r="N128" s="101">
        <f t="shared" si="37"/>
        <v>79.916617070522307</v>
      </c>
      <c r="O128" s="94" t="str">
        <f t="shared" si="29"/>
        <v/>
      </c>
      <c r="P128" s="94" t="str">
        <f t="shared" si="45"/>
        <v/>
      </c>
      <c r="Q128" s="94">
        <f t="shared" si="46"/>
        <v>79.916617070522307</v>
      </c>
      <c r="R128" s="90" t="str">
        <f t="shared" si="47"/>
        <v/>
      </c>
      <c r="S128" s="37" t="str">
        <f t="shared" si="38"/>
        <v/>
      </c>
      <c r="T128" s="176">
        <f>IF(L128="","",VLOOKUP(L128,classifications!C:K,9,FALSE))</f>
        <v>0</v>
      </c>
      <c r="U128" s="183" t="str">
        <f t="shared" si="30"/>
        <v/>
      </c>
      <c r="V128" s="184" t="str">
        <f>IF(U128="","",IF($I$8="A",(RANK(U128,U$11:U$368)+COUNTIF(U$11:U128,U128)-1),(RANK(U128,U$11:U$368,1)+COUNTIF(U$11:U128,U128)-1)))</f>
        <v/>
      </c>
      <c r="W128" s="185"/>
      <c r="X128" s="38" t="str">
        <f>IF(L128="","",VLOOKUP($L128,classifications!$C:$J,6,FALSE))</f>
        <v>Urban with Significant Rural (rural including hub towns 26-49%)</v>
      </c>
      <c r="Y128" s="26" t="str">
        <f t="shared" si="31"/>
        <v/>
      </c>
      <c r="Z128" s="34" t="str">
        <f>IF(Y128="","",IF(I$8="A",(RANK(Y128,Y$11:Y$368,1)+COUNTIF(Y$11:Y128,Y128)-1),(RANK(Y128,Y$11:Y$368)+COUNTIF(Y$11:Y128,Y128)-1)))</f>
        <v/>
      </c>
      <c r="AA128" s="188" t="str">
        <f>IF(L128="","",VLOOKUP($L128,classifications!C:I,7,FALSE))</f>
        <v>Significant Rural</v>
      </c>
      <c r="AB128" s="184" t="str">
        <f t="shared" si="39"/>
        <v/>
      </c>
      <c r="AC128" s="184" t="str">
        <f>IF(AB128="","",IF($I$8="A",(RANK(AB128,AB$11:AB$368)+COUNTIF(AB$11:AB128,AB128)-1),(RANK(AB128,AB$11:AB$368,1)+COUNTIF(AB$11:AB128,AB128)-1)))</f>
        <v/>
      </c>
      <c r="AD128" s="184"/>
      <c r="AE128" s="28" t="str">
        <f t="shared" si="49"/>
        <v/>
      </c>
      <c r="AG128" s="96"/>
      <c r="AH128" s="29"/>
      <c r="AI128" s="38" t="str">
        <f>IF(L128="","",VLOOKUP($L128,classifications!$C:$J,8,FALSE))</f>
        <v>Buckinghamshire</v>
      </c>
      <c r="AJ128" s="39" t="str">
        <f t="shared" si="32"/>
        <v/>
      </c>
      <c r="AK128" s="34" t="str">
        <f>IF(AJ128="","",IF(I$8="A",(RANK(AJ128,AJ$11:AJ$368,1)+COUNTIF(AJ$11:AJ128,AJ128)-1),(RANK(AJ128,AJ$11:AJ$368)+COUNTIF(AJ$11:AJ128,AJ128)-1)))</f>
        <v/>
      </c>
      <c r="AL128" s="29" t="str">
        <f t="shared" si="40"/>
        <v/>
      </c>
      <c r="AM128" s="8" t="str">
        <f t="shared" si="33"/>
        <v/>
      </c>
      <c r="AN128" s="8" t="str">
        <f t="shared" si="41"/>
        <v/>
      </c>
      <c r="AP128" s="38" t="str">
        <f>IF(L128="","",VLOOKUP($L128,classifications!$C:$E,3,FALSE))</f>
        <v>South East</v>
      </c>
      <c r="AQ128" s="39" t="str">
        <f t="shared" si="42"/>
        <v/>
      </c>
      <c r="AR128" s="34" t="str">
        <f>IF(AQ128="","",IF(I$8="A",(RANK(AQ128,AQ$11:AQ$368,1)+COUNTIF(AQ$11:AQ128,AQ128)-1),(RANK(AQ128,AQ$11:AQ$368)+COUNTIF(AQ$11:AQ128,AQ128)-1)))</f>
        <v/>
      </c>
      <c r="AS128" s="29" t="str">
        <f t="shared" si="43"/>
        <v/>
      </c>
      <c r="AT128" s="34" t="str">
        <f t="shared" si="34"/>
        <v/>
      </c>
      <c r="AU128" s="39" t="str">
        <f t="shared" si="48"/>
        <v/>
      </c>
      <c r="AX128" s="21">
        <f>HLOOKUP($AX$9&amp;$AX$10,Data!$A$1:$ZZ$2000,(MATCH($C128,Data!$A$1:$A$2000,0)),FALSE)</f>
        <v>79.622714647428467</v>
      </c>
      <c r="AY128" s="103"/>
      <c r="AZ128" s="21"/>
    </row>
    <row r="129" spans="1:52">
      <c r="A129" s="56" t="str">
        <f>$D$1&amp;119</f>
        <v>SD119</v>
      </c>
      <c r="B129" s="57">
        <f>IF(ISERROR(VLOOKUP(A129,classifications!A:C,3,FALSE)),0,VLOOKUP(A129,classifications!A:C,3,FALSE))</f>
        <v>0</v>
      </c>
      <c r="C129" s="8" t="s">
        <v>312</v>
      </c>
      <c r="D129" s="26" t="str">
        <f>VLOOKUP($C129,classifications!$C:$J,4,FALSE)</f>
        <v>SC</v>
      </c>
      <c r="E129" s="26">
        <f>VLOOKUP(C129,classifications!C:K,9,FALSE)</f>
        <v>0</v>
      </c>
      <c r="F129" s="36">
        <f t="shared" si="26"/>
        <v>82.723919519421813</v>
      </c>
      <c r="G129" s="71"/>
      <c r="H129" s="37" t="str">
        <f t="shared" si="27"/>
        <v/>
      </c>
      <c r="I129" s="77" t="str">
        <f>IF(H129="","",IF($I$8="A",(RANK(H129,H$11:H$368,1)+COUNTIF(H$11:H129,H129)-1),(RANK(H129,H$11:H$368)+COUNTIF(H$11:H129,H129)-1)))</f>
        <v/>
      </c>
      <c r="J129" s="35"/>
      <c r="K129" s="28">
        <f t="shared" si="35"/>
        <v>119</v>
      </c>
      <c r="L129" s="36" t="str">
        <f t="shared" si="28"/>
        <v>East Lindsey</v>
      </c>
      <c r="M129" s="102">
        <f t="shared" si="36"/>
        <v>79.865505920133472</v>
      </c>
      <c r="N129" s="101">
        <f t="shared" si="37"/>
        <v>79.865505920133472</v>
      </c>
      <c r="O129" s="94" t="str">
        <f t="shared" si="29"/>
        <v/>
      </c>
      <c r="P129" s="94" t="str">
        <f t="shared" si="45"/>
        <v/>
      </c>
      <c r="Q129" s="94">
        <f t="shared" si="46"/>
        <v>79.865505920133472</v>
      </c>
      <c r="R129" s="90" t="str">
        <f t="shared" si="47"/>
        <v/>
      </c>
      <c r="S129" s="37" t="str">
        <f t="shared" si="38"/>
        <v/>
      </c>
      <c r="T129" s="176" t="str">
        <f>IF(L129="","",VLOOKUP(L129,classifications!C:K,9,FALSE))</f>
        <v>Sparse</v>
      </c>
      <c r="U129" s="183">
        <f t="shared" si="30"/>
        <v>79.865505920133472</v>
      </c>
      <c r="V129" s="184">
        <f>IF(U129="","",IF($I$8="A",(RANK(U129,U$11:U$368)+COUNTIF(U$11:U129,U129)-1),(RANK(U129,U$11:U$368,1)+COUNTIF(U$11:U129,U129)-1)))</f>
        <v>24</v>
      </c>
      <c r="W129" s="185"/>
      <c r="X129" s="38" t="str">
        <f>IF(L129="","",VLOOKUP($L129,classifications!$C:$J,6,FALSE))</f>
        <v xml:space="preserve">Mainly Rural (rural including hub towns &gt;=80%) </v>
      </c>
      <c r="Y129" s="26">
        <f t="shared" si="31"/>
        <v>79.865505920133472</v>
      </c>
      <c r="Z129" s="34">
        <f>IF(Y129="","",IF(I$8="A",(RANK(Y129,Y$11:Y$368,1)+COUNTIF(Y$11:Y129,Y129)-1),(RANK(Y129,Y$11:Y$368)+COUNTIF(Y$11:Y129,Y129)-1)))</f>
        <v>30</v>
      </c>
      <c r="AA129" s="188" t="str">
        <f>IF(L129="","",VLOOKUP($L129,classifications!C:I,7,FALSE))</f>
        <v>Predominantly Rural</v>
      </c>
      <c r="AB129" s="184">
        <f t="shared" si="39"/>
        <v>79.865505920133472</v>
      </c>
      <c r="AC129" s="184">
        <f>IF(AB129="","",IF($I$8="A",(RANK(AB129,AB$11:AB$368)+COUNTIF(AB$11:AB129,AB129)-1),(RANK(AB129,AB$11:AB$368,1)+COUNTIF(AB$11:AB129,AB129)-1)))</f>
        <v>24</v>
      </c>
      <c r="AD129" s="184"/>
      <c r="AE129" s="28" t="str">
        <f t="shared" si="49"/>
        <v/>
      </c>
      <c r="AG129" s="96"/>
      <c r="AH129" s="29"/>
      <c r="AI129" s="38" t="str">
        <f>IF(L129="","",VLOOKUP($L129,classifications!$C:$J,8,FALSE))</f>
        <v>Lincolnshire</v>
      </c>
      <c r="AJ129" s="39" t="str">
        <f t="shared" si="32"/>
        <v/>
      </c>
      <c r="AK129" s="34" t="str">
        <f>IF(AJ129="","",IF(I$8="A",(RANK(AJ129,AJ$11:AJ$368,1)+COUNTIF(AJ$11:AJ129,AJ129)-1),(RANK(AJ129,AJ$11:AJ$368)+COUNTIF(AJ$11:AJ129,AJ129)-1)))</f>
        <v/>
      </c>
      <c r="AL129" s="29" t="str">
        <f t="shared" si="40"/>
        <v/>
      </c>
      <c r="AM129" s="8" t="str">
        <f t="shared" si="33"/>
        <v/>
      </c>
      <c r="AN129" s="8" t="str">
        <f t="shared" si="41"/>
        <v/>
      </c>
      <c r="AP129" s="38" t="str">
        <f>IF(L129="","",VLOOKUP($L129,classifications!$C:$E,3,FALSE))</f>
        <v>East Midlands</v>
      </c>
      <c r="AQ129" s="39" t="str">
        <f t="shared" si="42"/>
        <v/>
      </c>
      <c r="AR129" s="34" t="str">
        <f>IF(AQ129="","",IF(I$8="A",(RANK(AQ129,AQ$11:AQ$368,1)+COUNTIF(AQ$11:AQ129,AQ129)-1),(RANK(AQ129,AQ$11:AQ$368)+COUNTIF(AQ$11:AQ129,AQ129)-1)))</f>
        <v/>
      </c>
      <c r="AS129" s="29" t="str">
        <f t="shared" si="43"/>
        <v/>
      </c>
      <c r="AT129" s="34" t="str">
        <f t="shared" si="34"/>
        <v/>
      </c>
      <c r="AU129" s="39" t="str">
        <f t="shared" si="48"/>
        <v/>
      </c>
      <c r="AX129" s="21">
        <f>HLOOKUP($AX$9&amp;$AX$10,Data!$A$1:$ZZ$2000,(MATCH($C129,Data!$A$1:$A$2000,0)),FALSE)</f>
        <v>82.723919519421813</v>
      </c>
      <c r="AY129" s="103"/>
      <c r="AZ129" s="21"/>
    </row>
    <row r="130" spans="1:52">
      <c r="A130" s="56" t="str">
        <f>$D$1&amp;120</f>
        <v>SD120</v>
      </c>
      <c r="B130" s="57">
        <f>IF(ISERROR(VLOOKUP(A130,classifications!A:C,3,FALSE)),0,VLOOKUP(A130,classifications!A:C,3,FALSE))</f>
        <v>0</v>
      </c>
      <c r="C130" s="8" t="s">
        <v>74</v>
      </c>
      <c r="D130" s="26" t="str">
        <f>VLOOKUP($C130,classifications!$C:$J,4,FALSE)</f>
        <v>SD</v>
      </c>
      <c r="E130" s="26">
        <f>VLOOKUP(C130,classifications!C:K,9,FALSE)</f>
        <v>0</v>
      </c>
      <c r="F130" s="36">
        <f t="shared" si="26"/>
        <v>74.018597968929896</v>
      </c>
      <c r="G130" s="71"/>
      <c r="H130" s="37">
        <f t="shared" si="27"/>
        <v>74.018597968929896</v>
      </c>
      <c r="I130" s="77">
        <f>IF(H130="","",IF($I$8="A",(RANK(H130,H$11:H$368,1)+COUNTIF(H$11:H130,H130)-1),(RANK(H130,H$11:H$368)+COUNTIF(H$11:H130,H130)-1)))</f>
        <v>183</v>
      </c>
      <c r="J130" s="35"/>
      <c r="K130" s="28">
        <f t="shared" si="35"/>
        <v>120</v>
      </c>
      <c r="L130" s="36" t="str">
        <f t="shared" si="28"/>
        <v>North Kesteven</v>
      </c>
      <c r="M130" s="102">
        <f t="shared" si="36"/>
        <v>79.864117668556673</v>
      </c>
      <c r="N130" s="101">
        <f t="shared" si="37"/>
        <v>79.864117668556673</v>
      </c>
      <c r="O130" s="94" t="str">
        <f t="shared" si="29"/>
        <v/>
      </c>
      <c r="P130" s="94" t="str">
        <f t="shared" si="45"/>
        <v/>
      </c>
      <c r="Q130" s="94">
        <f t="shared" si="46"/>
        <v>79.864117668556673</v>
      </c>
      <c r="R130" s="90" t="str">
        <f t="shared" si="47"/>
        <v/>
      </c>
      <c r="S130" s="37" t="str">
        <f t="shared" si="38"/>
        <v/>
      </c>
      <c r="T130" s="176" t="str">
        <f>IF(L130="","",VLOOKUP(L130,classifications!C:K,9,FALSE))</f>
        <v>Sparse</v>
      </c>
      <c r="U130" s="183">
        <f t="shared" si="30"/>
        <v>79.864117668556673</v>
      </c>
      <c r="V130" s="184">
        <f>IF(U130="","",IF($I$8="A",(RANK(U130,U$11:U$368)+COUNTIF(U$11:U130,U130)-1),(RANK(U130,U$11:U$368,1)+COUNTIF(U$11:U130,U130)-1)))</f>
        <v>23</v>
      </c>
      <c r="W130" s="185"/>
      <c r="X130" s="38" t="str">
        <f>IF(L130="","",VLOOKUP($L130,classifications!$C:$J,6,FALSE))</f>
        <v xml:space="preserve">Mainly Rural (rural including hub towns &gt;=80%) </v>
      </c>
      <c r="Y130" s="26">
        <f t="shared" si="31"/>
        <v>79.864117668556673</v>
      </c>
      <c r="Z130" s="34">
        <f>IF(Y130="","",IF(I$8="A",(RANK(Y130,Y$11:Y$368,1)+COUNTIF(Y$11:Y130,Y130)-1),(RANK(Y130,Y$11:Y$368)+COUNTIF(Y$11:Y130,Y130)-1)))</f>
        <v>31</v>
      </c>
      <c r="AA130" s="188" t="str">
        <f>IF(L130="","",VLOOKUP($L130,classifications!C:I,7,FALSE))</f>
        <v>Predominantly Rural</v>
      </c>
      <c r="AB130" s="184">
        <f t="shared" si="39"/>
        <v>79.864117668556673</v>
      </c>
      <c r="AC130" s="184">
        <f>IF(AB130="","",IF($I$8="A",(RANK(AB130,AB$11:AB$368)+COUNTIF(AB$11:AB130,AB130)-1),(RANK(AB130,AB$11:AB$368,1)+COUNTIF(AB$11:AB130,AB130)-1)))</f>
        <v>23</v>
      </c>
      <c r="AD130" s="184"/>
      <c r="AE130" s="28" t="str">
        <f t="shared" si="49"/>
        <v/>
      </c>
      <c r="AG130" s="96"/>
      <c r="AH130" s="29"/>
      <c r="AI130" s="38" t="str">
        <f>IF(L130="","",VLOOKUP($L130,classifications!$C:$J,8,FALSE))</f>
        <v>Lincolnshire</v>
      </c>
      <c r="AJ130" s="39" t="str">
        <f t="shared" si="32"/>
        <v/>
      </c>
      <c r="AK130" s="34" t="str">
        <f>IF(AJ130="","",IF(I$8="A",(RANK(AJ130,AJ$11:AJ$368,1)+COUNTIF(AJ$11:AJ130,AJ130)-1),(RANK(AJ130,AJ$11:AJ$368)+COUNTIF(AJ$11:AJ130,AJ130)-1)))</f>
        <v/>
      </c>
      <c r="AL130" s="29" t="str">
        <f t="shared" si="40"/>
        <v/>
      </c>
      <c r="AM130" s="8" t="str">
        <f t="shared" si="33"/>
        <v/>
      </c>
      <c r="AN130" s="8" t="str">
        <f t="shared" si="41"/>
        <v/>
      </c>
      <c r="AP130" s="38" t="str">
        <f>IF(L130="","",VLOOKUP($L130,classifications!$C:$E,3,FALSE))</f>
        <v>East Midlands</v>
      </c>
      <c r="AQ130" s="39" t="str">
        <f t="shared" si="42"/>
        <v/>
      </c>
      <c r="AR130" s="34" t="str">
        <f>IF(AQ130="","",IF(I$8="A",(RANK(AQ130,AQ$11:AQ$368,1)+COUNTIF(AQ$11:AQ130,AQ130)-1),(RANK(AQ130,AQ$11:AQ$368)+COUNTIF(AQ$11:AQ130,AQ130)-1)))</f>
        <v/>
      </c>
      <c r="AS130" s="29" t="str">
        <f t="shared" si="43"/>
        <v/>
      </c>
      <c r="AT130" s="34" t="str">
        <f t="shared" si="34"/>
        <v/>
      </c>
      <c r="AU130" s="39" t="str">
        <f t="shared" si="48"/>
        <v/>
      </c>
      <c r="AX130" s="21">
        <f>HLOOKUP($AX$9&amp;$AX$10,Data!$A$1:$ZZ$2000,(MATCH($C130,Data!$A$1:$A$2000,0)),FALSE)</f>
        <v>74.018597968929896</v>
      </c>
      <c r="AY130" s="103"/>
      <c r="AZ130" s="21"/>
    </row>
    <row r="131" spans="1:52">
      <c r="A131" s="56" t="str">
        <f>$D$1&amp;121</f>
        <v>SD121</v>
      </c>
      <c r="B131" s="57">
        <f>IF(ISERROR(VLOOKUP(A131,classifications!A:C,3,FALSE)),0,VLOOKUP(A131,classifications!A:C,3,FALSE))</f>
        <v>0</v>
      </c>
      <c r="C131" s="8" t="s">
        <v>75</v>
      </c>
      <c r="D131" s="26" t="str">
        <f>VLOOKUP($C131,classifications!$C:$J,4,FALSE)</f>
        <v>SD</v>
      </c>
      <c r="E131" s="26">
        <f>VLOOKUP(C131,classifications!C:K,9,FALSE)</f>
        <v>0</v>
      </c>
      <c r="F131" s="36">
        <f t="shared" si="26"/>
        <v>74.189896490200681</v>
      </c>
      <c r="G131" s="71"/>
      <c r="H131" s="37">
        <f t="shared" si="27"/>
        <v>74.189896490200681</v>
      </c>
      <c r="I131" s="77">
        <f>IF(H131="","",IF($I$8="A",(RANK(H131,H$11:H$368,1)+COUNTIF(H$11:H131,H131)-1),(RANK(H131,H$11:H$368)+COUNTIF(H$11:H131,H131)-1)))</f>
        <v>182</v>
      </c>
      <c r="J131" s="35"/>
      <c r="K131" s="28">
        <f t="shared" si="35"/>
        <v>121</v>
      </c>
      <c r="L131" s="36" t="str">
        <f t="shared" si="28"/>
        <v>North Devon</v>
      </c>
      <c r="M131" s="102">
        <f t="shared" si="36"/>
        <v>79.811729444586859</v>
      </c>
      <c r="N131" s="101">
        <f t="shared" si="37"/>
        <v>79.811729444586859</v>
      </c>
      <c r="O131" s="94" t="str">
        <f t="shared" si="29"/>
        <v/>
      </c>
      <c r="P131" s="94" t="str">
        <f t="shared" si="45"/>
        <v/>
      </c>
      <c r="Q131" s="94">
        <f t="shared" si="46"/>
        <v>79.811729444586859</v>
      </c>
      <c r="R131" s="90" t="str">
        <f t="shared" si="47"/>
        <v/>
      </c>
      <c r="S131" s="37" t="str">
        <f t="shared" si="38"/>
        <v/>
      </c>
      <c r="T131" s="176" t="str">
        <f>IF(L131="","",VLOOKUP(L131,classifications!C:K,9,FALSE))</f>
        <v>Sparse</v>
      </c>
      <c r="U131" s="183">
        <f t="shared" si="30"/>
        <v>79.811729444586859</v>
      </c>
      <c r="V131" s="184">
        <f>IF(U131="","",IF($I$8="A",(RANK(U131,U$11:U$368)+COUNTIF(U$11:U131,U131)-1),(RANK(U131,U$11:U$368,1)+COUNTIF(U$11:U131,U131)-1)))</f>
        <v>22</v>
      </c>
      <c r="W131" s="185"/>
      <c r="X131" s="38" t="str">
        <f>IF(L131="","",VLOOKUP($L131,classifications!$C:$J,6,FALSE))</f>
        <v xml:space="preserve">Largely Rural (rural including hub towns 50-79%) </v>
      </c>
      <c r="Y131" s="26" t="str">
        <f t="shared" si="31"/>
        <v/>
      </c>
      <c r="Z131" s="34" t="str">
        <f>IF(Y131="","",IF(I$8="A",(RANK(Y131,Y$11:Y$368,1)+COUNTIF(Y$11:Y131,Y131)-1),(RANK(Y131,Y$11:Y$368)+COUNTIF(Y$11:Y131,Y131)-1)))</f>
        <v/>
      </c>
      <c r="AA131" s="188" t="str">
        <f>IF(L131="","",VLOOKUP($L131,classifications!C:I,7,FALSE))</f>
        <v>Predominantly Rural</v>
      </c>
      <c r="AB131" s="184">
        <f t="shared" si="39"/>
        <v>79.811729444586859</v>
      </c>
      <c r="AC131" s="184">
        <f>IF(AB131="","",IF($I$8="A",(RANK(AB131,AB$11:AB$368)+COUNTIF(AB$11:AB131,AB131)-1),(RANK(AB131,AB$11:AB$368,1)+COUNTIF(AB$11:AB131,AB131)-1)))</f>
        <v>22</v>
      </c>
      <c r="AD131" s="184"/>
      <c r="AE131" s="28" t="str">
        <f t="shared" si="49"/>
        <v/>
      </c>
      <c r="AG131" s="96"/>
      <c r="AH131" s="29"/>
      <c r="AI131" s="38" t="str">
        <f>IF(L131="","",VLOOKUP($L131,classifications!$C:$J,8,FALSE))</f>
        <v>Devon</v>
      </c>
      <c r="AJ131" s="39" t="str">
        <f t="shared" si="32"/>
        <v/>
      </c>
      <c r="AK131" s="34" t="str">
        <f>IF(AJ131="","",IF(I$8="A",(RANK(AJ131,AJ$11:AJ$368,1)+COUNTIF(AJ$11:AJ131,AJ131)-1),(RANK(AJ131,AJ$11:AJ$368)+COUNTIF(AJ$11:AJ131,AJ131)-1)))</f>
        <v/>
      </c>
      <c r="AL131" s="29" t="str">
        <f t="shared" si="40"/>
        <v/>
      </c>
      <c r="AM131" s="8" t="str">
        <f t="shared" si="33"/>
        <v/>
      </c>
      <c r="AN131" s="8" t="str">
        <f t="shared" si="41"/>
        <v/>
      </c>
      <c r="AP131" s="38" t="str">
        <f>IF(L131="","",VLOOKUP($L131,classifications!$C:$E,3,FALSE))</f>
        <v>South West</v>
      </c>
      <c r="AQ131" s="39" t="str">
        <f t="shared" si="42"/>
        <v/>
      </c>
      <c r="AR131" s="34" t="str">
        <f>IF(AQ131="","",IF(I$8="A",(RANK(AQ131,AQ$11:AQ$368,1)+COUNTIF(AQ$11:AQ131,AQ131)-1),(RANK(AQ131,AQ$11:AQ$368)+COUNTIF(AQ$11:AQ131,AQ131)-1)))</f>
        <v/>
      </c>
      <c r="AS131" s="29" t="str">
        <f t="shared" si="43"/>
        <v/>
      </c>
      <c r="AT131" s="34" t="str">
        <f t="shared" si="34"/>
        <v/>
      </c>
      <c r="AU131" s="39" t="str">
        <f t="shared" si="48"/>
        <v/>
      </c>
      <c r="AX131" s="21">
        <f>HLOOKUP($AX$9&amp;$AX$10,Data!$A$1:$ZZ$2000,(MATCH($C131,Data!$A$1:$A$2000,0)),FALSE)</f>
        <v>74.189896490200681</v>
      </c>
      <c r="AY131" s="103"/>
      <c r="AZ131" s="21"/>
    </row>
    <row r="132" spans="1:52">
      <c r="A132" s="56" t="str">
        <f>$D$1&amp;122</f>
        <v>SD122</v>
      </c>
      <c r="B132" s="57">
        <f>IF(ISERROR(VLOOKUP(A132,classifications!A:C,3,FALSE)),0,VLOOKUP(A132,classifications!A:C,3,FALSE))</f>
        <v>0</v>
      </c>
      <c r="C132" s="8" t="s">
        <v>76</v>
      </c>
      <c r="D132" s="26" t="str">
        <f>VLOOKUP($C132,classifications!$C:$J,4,FALSE)</f>
        <v>SD</v>
      </c>
      <c r="E132" s="26">
        <f>VLOOKUP(C132,classifications!C:K,9,FALSE)</f>
        <v>0</v>
      </c>
      <c r="F132" s="36">
        <f t="shared" si="26"/>
        <v>76.235813453967452</v>
      </c>
      <c r="G132" s="71"/>
      <c r="H132" s="37">
        <f t="shared" si="27"/>
        <v>76.235813453967452</v>
      </c>
      <c r="I132" s="77">
        <f>IF(H132="","",IF($I$8="A",(RANK(H132,H$11:H$368,1)+COUNTIF(H$11:H132,H132)-1),(RANK(H132,H$11:H$368)+COUNTIF(H$11:H132,H132)-1)))</f>
        <v>168</v>
      </c>
      <c r="J132" s="35"/>
      <c r="K132" s="28">
        <f t="shared" si="35"/>
        <v>122</v>
      </c>
      <c r="L132" s="36" t="str">
        <f t="shared" si="28"/>
        <v>Stafford</v>
      </c>
      <c r="M132" s="102">
        <f t="shared" si="36"/>
        <v>79.769579178071908</v>
      </c>
      <c r="N132" s="101">
        <f t="shared" si="37"/>
        <v>79.769579178071908</v>
      </c>
      <c r="O132" s="94" t="str">
        <f t="shared" si="29"/>
        <v/>
      </c>
      <c r="P132" s="94" t="str">
        <f t="shared" si="45"/>
        <v/>
      </c>
      <c r="Q132" s="94">
        <f t="shared" si="46"/>
        <v>79.769579178071908</v>
      </c>
      <c r="R132" s="90" t="str">
        <f t="shared" si="47"/>
        <v/>
      </c>
      <c r="S132" s="37" t="str">
        <f t="shared" si="38"/>
        <v/>
      </c>
      <c r="T132" s="176" t="str">
        <f>IF(L132="","",VLOOKUP(L132,classifications!C:K,9,FALSE))</f>
        <v>Sparse</v>
      </c>
      <c r="U132" s="183">
        <f t="shared" si="30"/>
        <v>79.769579178071908</v>
      </c>
      <c r="V132" s="184">
        <f>IF(U132="","",IF($I$8="A",(RANK(U132,U$11:U$368)+COUNTIF(U$11:U132,U132)-1),(RANK(U132,U$11:U$368,1)+COUNTIF(U$11:U132,U132)-1)))</f>
        <v>21</v>
      </c>
      <c r="W132" s="185"/>
      <c r="X132" s="38" t="str">
        <f>IF(L132="","",VLOOKUP($L132,classifications!$C:$J,6,FALSE))</f>
        <v>Urban with Significant Rural (rural including hub towns 26-49%)</v>
      </c>
      <c r="Y132" s="26" t="str">
        <f t="shared" si="31"/>
        <v/>
      </c>
      <c r="Z132" s="34" t="str">
        <f>IF(Y132="","",IF(I$8="A",(RANK(Y132,Y$11:Y$368,1)+COUNTIF(Y$11:Y132,Y132)-1),(RANK(Y132,Y$11:Y$368)+COUNTIF(Y$11:Y132,Y132)-1)))</f>
        <v/>
      </c>
      <c r="AA132" s="188" t="str">
        <f>IF(L132="","",VLOOKUP($L132,classifications!C:I,7,FALSE))</f>
        <v>Significant Rural</v>
      </c>
      <c r="AB132" s="184" t="str">
        <f t="shared" si="39"/>
        <v/>
      </c>
      <c r="AC132" s="184" t="str">
        <f>IF(AB132="","",IF($I$8="A",(RANK(AB132,AB$11:AB$368)+COUNTIF(AB$11:AB132,AB132)-1),(RANK(AB132,AB$11:AB$368,1)+COUNTIF(AB$11:AB132,AB132)-1)))</f>
        <v/>
      </c>
      <c r="AD132" s="184"/>
      <c r="AE132" s="28" t="str">
        <f t="shared" si="49"/>
        <v/>
      </c>
      <c r="AG132" s="96"/>
      <c r="AH132" s="29"/>
      <c r="AI132" s="38" t="str">
        <f>IF(L132="","",VLOOKUP($L132,classifications!$C:$J,8,FALSE))</f>
        <v>Staffordshire</v>
      </c>
      <c r="AJ132" s="39" t="str">
        <f t="shared" si="32"/>
        <v/>
      </c>
      <c r="AK132" s="34" t="str">
        <f>IF(AJ132="","",IF(I$8="A",(RANK(AJ132,AJ$11:AJ$368,1)+COUNTIF(AJ$11:AJ132,AJ132)-1),(RANK(AJ132,AJ$11:AJ$368)+COUNTIF(AJ$11:AJ132,AJ132)-1)))</f>
        <v/>
      </c>
      <c r="AL132" s="29" t="str">
        <f t="shared" si="40"/>
        <v/>
      </c>
      <c r="AM132" s="8" t="str">
        <f t="shared" si="33"/>
        <v/>
      </c>
      <c r="AN132" s="8" t="str">
        <f t="shared" si="41"/>
        <v/>
      </c>
      <c r="AP132" s="38" t="str">
        <f>IF(L132="","",VLOOKUP($L132,classifications!$C:$E,3,FALSE))</f>
        <v>West Midlands</v>
      </c>
      <c r="AQ132" s="39" t="str">
        <f t="shared" si="42"/>
        <v/>
      </c>
      <c r="AR132" s="34" t="str">
        <f>IF(AQ132="","",IF(I$8="A",(RANK(AQ132,AQ$11:AQ$368,1)+COUNTIF(AQ$11:AQ132,AQ132)-1),(RANK(AQ132,AQ$11:AQ$368)+COUNTIF(AQ$11:AQ132,AQ132)-1)))</f>
        <v/>
      </c>
      <c r="AS132" s="29" t="str">
        <f t="shared" si="43"/>
        <v/>
      </c>
      <c r="AT132" s="34" t="str">
        <f t="shared" si="34"/>
        <v/>
      </c>
      <c r="AU132" s="39" t="str">
        <f t="shared" si="48"/>
        <v/>
      </c>
      <c r="AX132" s="21">
        <f>HLOOKUP($AX$9&amp;$AX$10,Data!$A$1:$ZZ$2000,(MATCH($C132,Data!$A$1:$A$2000,0)),FALSE)</f>
        <v>76.235813453967452</v>
      </c>
      <c r="AY132" s="103"/>
      <c r="AZ132" s="21"/>
    </row>
    <row r="133" spans="1:52">
      <c r="A133" s="56" t="str">
        <f>$D$1&amp;123</f>
        <v>SD123</v>
      </c>
      <c r="B133" s="57">
        <f>IF(ISERROR(VLOOKUP(A133,classifications!A:C,3,FALSE)),0,VLOOKUP(A133,classifications!A:C,3,FALSE))</f>
        <v>0</v>
      </c>
      <c r="C133" s="8" t="s">
        <v>204</v>
      </c>
      <c r="D133" s="26" t="str">
        <f>VLOOKUP($C133,classifications!$C:$J,4,FALSE)</f>
        <v>L</v>
      </c>
      <c r="E133" s="26">
        <f>VLOOKUP(C133,classifications!C:K,9,FALSE)</f>
        <v>0</v>
      </c>
      <c r="F133" s="36">
        <f t="shared" si="26"/>
        <v>79.847074731240838</v>
      </c>
      <c r="G133" s="71"/>
      <c r="H133" s="37" t="str">
        <f t="shared" si="27"/>
        <v/>
      </c>
      <c r="I133" s="77" t="str">
        <f>IF(H133="","",IF($I$8="A",(RANK(H133,H$11:H$368,1)+COUNTIF(H$11:H133,H133)-1),(RANK(H133,H$11:H$368)+COUNTIF(H$11:H133,H133)-1)))</f>
        <v/>
      </c>
      <c r="J133" s="35"/>
      <c r="K133" s="28">
        <f t="shared" si="35"/>
        <v>123</v>
      </c>
      <c r="L133" s="36" t="str">
        <f t="shared" si="28"/>
        <v>Kettering</v>
      </c>
      <c r="M133" s="102">
        <f t="shared" si="36"/>
        <v>79.658934383201213</v>
      </c>
      <c r="N133" s="101">
        <f t="shared" si="37"/>
        <v>79.658934383201213</v>
      </c>
      <c r="O133" s="94" t="str">
        <f t="shared" si="29"/>
        <v/>
      </c>
      <c r="P133" s="94" t="str">
        <f t="shared" si="45"/>
        <v/>
      </c>
      <c r="Q133" s="94">
        <f t="shared" si="46"/>
        <v>79.658934383201213</v>
      </c>
      <c r="R133" s="90" t="str">
        <f t="shared" si="47"/>
        <v/>
      </c>
      <c r="S133" s="37" t="str">
        <f t="shared" si="38"/>
        <v/>
      </c>
      <c r="T133" s="176">
        <f>IF(L133="","",VLOOKUP(L133,classifications!C:K,9,FALSE))</f>
        <v>0</v>
      </c>
      <c r="U133" s="183" t="str">
        <f t="shared" si="30"/>
        <v/>
      </c>
      <c r="V133" s="184" t="str">
        <f>IF(U133="","",IF($I$8="A",(RANK(U133,U$11:U$368)+COUNTIF(U$11:U133,U133)-1),(RANK(U133,U$11:U$368,1)+COUNTIF(U$11:U133,U133)-1)))</f>
        <v/>
      </c>
      <c r="W133" s="185"/>
      <c r="X133" s="38" t="str">
        <f>IF(L133="","",VLOOKUP($L133,classifications!$C:$J,6,FALSE))</f>
        <v>Urban with City and Town</v>
      </c>
      <c r="Y133" s="26" t="str">
        <f t="shared" si="31"/>
        <v/>
      </c>
      <c r="Z133" s="34" t="str">
        <f>IF(Y133="","",IF(I$8="A",(RANK(Y133,Y$11:Y$368,1)+COUNTIF(Y$11:Y133,Y133)-1),(RANK(Y133,Y$11:Y$368)+COUNTIF(Y$11:Y133,Y133)-1)))</f>
        <v/>
      </c>
      <c r="AA133" s="188" t="str">
        <f>IF(L133="","",VLOOKUP($L133,classifications!C:I,7,FALSE))</f>
        <v>Predominantly Urban</v>
      </c>
      <c r="AB133" s="184" t="str">
        <f t="shared" si="39"/>
        <v/>
      </c>
      <c r="AC133" s="184" t="str">
        <f>IF(AB133="","",IF($I$8="A",(RANK(AB133,AB$11:AB$368)+COUNTIF(AB$11:AB133,AB133)-1),(RANK(AB133,AB$11:AB$368,1)+COUNTIF(AB$11:AB133,AB133)-1)))</f>
        <v/>
      </c>
      <c r="AD133" s="184"/>
      <c r="AE133" s="28" t="str">
        <f t="shared" si="49"/>
        <v/>
      </c>
      <c r="AG133" s="96"/>
      <c r="AH133" s="29"/>
      <c r="AI133" s="38" t="str">
        <f>IF(L133="","",VLOOKUP($L133,classifications!$C:$J,8,FALSE))</f>
        <v>Northamptonshire</v>
      </c>
      <c r="AJ133" s="39" t="str">
        <f t="shared" si="32"/>
        <v/>
      </c>
      <c r="AK133" s="34" t="str">
        <f>IF(AJ133="","",IF(I$8="A",(RANK(AJ133,AJ$11:AJ$368,1)+COUNTIF(AJ$11:AJ133,AJ133)-1),(RANK(AJ133,AJ$11:AJ$368)+COUNTIF(AJ$11:AJ133,AJ133)-1)))</f>
        <v/>
      </c>
      <c r="AL133" s="29" t="str">
        <f t="shared" si="40"/>
        <v/>
      </c>
      <c r="AM133" s="8" t="str">
        <f t="shared" si="33"/>
        <v/>
      </c>
      <c r="AN133" s="8" t="str">
        <f t="shared" si="41"/>
        <v/>
      </c>
      <c r="AP133" s="38" t="str">
        <f>IF(L133="","",VLOOKUP($L133,classifications!$C:$E,3,FALSE))</f>
        <v>East Midlands</v>
      </c>
      <c r="AQ133" s="39" t="str">
        <f t="shared" si="42"/>
        <v/>
      </c>
      <c r="AR133" s="34" t="str">
        <f>IF(AQ133="","",IF(I$8="A",(RANK(AQ133,AQ$11:AQ$368,1)+COUNTIF(AQ$11:AQ133,AQ133)-1),(RANK(AQ133,AQ$11:AQ$368)+COUNTIF(AQ$11:AQ133,AQ133)-1)))</f>
        <v/>
      </c>
      <c r="AS133" s="29" t="str">
        <f t="shared" si="43"/>
        <v/>
      </c>
      <c r="AT133" s="34" t="str">
        <f t="shared" si="34"/>
        <v/>
      </c>
      <c r="AU133" s="39" t="str">
        <f t="shared" si="48"/>
        <v/>
      </c>
      <c r="AX133" s="21">
        <f>HLOOKUP($AX$9&amp;$AX$10,Data!$A$1:$ZZ$2000,(MATCH($C133,Data!$A$1:$A$2000,0)),FALSE)</f>
        <v>79.847074731240838</v>
      </c>
      <c r="AY133" s="103"/>
      <c r="AZ133" s="21"/>
    </row>
    <row r="134" spans="1:52">
      <c r="A134" s="56" t="str">
        <f>$D$1&amp;124</f>
        <v>SD124</v>
      </c>
      <c r="B134" s="57">
        <f>IF(ISERROR(VLOOKUP(A134,classifications!A:C,3,FALSE)),0,VLOOKUP(A134,classifications!A:C,3,FALSE))</f>
        <v>0</v>
      </c>
      <c r="C134" s="8" t="s">
        <v>77</v>
      </c>
      <c r="D134" s="26" t="str">
        <f>VLOOKUP($C134,classifications!$C:$J,4,FALSE)</f>
        <v>SD</v>
      </c>
      <c r="E134" s="26">
        <f>VLOOKUP(C134,classifications!C:K,9,FALSE)</f>
        <v>0</v>
      </c>
      <c r="F134" s="36">
        <f t="shared" si="26"/>
        <v>80.952621005839859</v>
      </c>
      <c r="G134" s="71"/>
      <c r="H134" s="37">
        <f t="shared" si="27"/>
        <v>80.952621005839859</v>
      </c>
      <c r="I134" s="77">
        <f>IF(H134="","",IF($I$8="A",(RANK(H134,H$11:H$368,1)+COUNTIF(H$11:H134,H134)-1),(RANK(H134,H$11:H$368)+COUNTIF(H$11:H134,H134)-1)))</f>
        <v>97</v>
      </c>
      <c r="J134" s="35"/>
      <c r="K134" s="28">
        <f t="shared" si="35"/>
        <v>124</v>
      </c>
      <c r="L134" s="36" t="str">
        <f t="shared" si="28"/>
        <v>Hastings</v>
      </c>
      <c r="M134" s="102">
        <f t="shared" si="36"/>
        <v>79.634605853074532</v>
      </c>
      <c r="N134" s="101">
        <f t="shared" si="37"/>
        <v>79.634605853074532</v>
      </c>
      <c r="O134" s="94" t="str">
        <f t="shared" si="29"/>
        <v/>
      </c>
      <c r="P134" s="94" t="str">
        <f t="shared" si="45"/>
        <v/>
      </c>
      <c r="Q134" s="94">
        <f t="shared" si="46"/>
        <v>79.634605853074532</v>
      </c>
      <c r="R134" s="90" t="str">
        <f t="shared" si="47"/>
        <v/>
      </c>
      <c r="S134" s="37" t="str">
        <f t="shared" si="38"/>
        <v/>
      </c>
      <c r="T134" s="176">
        <f>IF(L134="","",VLOOKUP(L134,classifications!C:K,9,FALSE))</f>
        <v>0</v>
      </c>
      <c r="U134" s="183" t="str">
        <f t="shared" si="30"/>
        <v/>
      </c>
      <c r="V134" s="184" t="str">
        <f>IF(U134="","",IF($I$8="A",(RANK(U134,U$11:U$368)+COUNTIF(U$11:U134,U134)-1),(RANK(U134,U$11:U$368,1)+COUNTIF(U$11:U134,U134)-1)))</f>
        <v/>
      </c>
      <c r="W134" s="185"/>
      <c r="X134" s="38" t="str">
        <f>IF(L134="","",VLOOKUP($L134,classifications!$C:$J,6,FALSE))</f>
        <v>Urban with City and Town</v>
      </c>
      <c r="Y134" s="26" t="str">
        <f t="shared" si="31"/>
        <v/>
      </c>
      <c r="Z134" s="34" t="str">
        <f>IF(Y134="","",IF(I$8="A",(RANK(Y134,Y$11:Y$368,1)+COUNTIF(Y$11:Y134,Y134)-1),(RANK(Y134,Y$11:Y$368)+COUNTIF(Y$11:Y134,Y134)-1)))</f>
        <v/>
      </c>
      <c r="AA134" s="188" t="str">
        <f>IF(L134="","",VLOOKUP($L134,classifications!C:I,7,FALSE))</f>
        <v>Predominantly Urban</v>
      </c>
      <c r="AB134" s="184" t="str">
        <f t="shared" si="39"/>
        <v/>
      </c>
      <c r="AC134" s="184" t="str">
        <f>IF(AB134="","",IF($I$8="A",(RANK(AB134,AB$11:AB$368)+COUNTIF(AB$11:AB134,AB134)-1),(RANK(AB134,AB$11:AB$368,1)+COUNTIF(AB$11:AB134,AB134)-1)))</f>
        <v/>
      </c>
      <c r="AD134" s="184"/>
      <c r="AE134" s="28" t="str">
        <f t="shared" si="49"/>
        <v/>
      </c>
      <c r="AG134" s="96"/>
      <c r="AH134" s="29"/>
      <c r="AI134" s="38" t="str">
        <f>IF(L134="","",VLOOKUP($L134,classifications!$C:$J,8,FALSE))</f>
        <v>East Sussex</v>
      </c>
      <c r="AJ134" s="39" t="str">
        <f t="shared" si="32"/>
        <v/>
      </c>
      <c r="AK134" s="34" t="str">
        <f>IF(AJ134="","",IF(I$8="A",(RANK(AJ134,AJ$11:AJ$368,1)+COUNTIF(AJ$11:AJ134,AJ134)-1),(RANK(AJ134,AJ$11:AJ$368)+COUNTIF(AJ$11:AJ134,AJ134)-1)))</f>
        <v/>
      </c>
      <c r="AL134" s="29" t="str">
        <f t="shared" si="40"/>
        <v/>
      </c>
      <c r="AM134" s="8" t="str">
        <f t="shared" si="33"/>
        <v/>
      </c>
      <c r="AN134" s="8" t="str">
        <f t="shared" si="41"/>
        <v/>
      </c>
      <c r="AP134" s="38" t="str">
        <f>IF(L134="","",VLOOKUP($L134,classifications!$C:$E,3,FALSE))</f>
        <v>South East</v>
      </c>
      <c r="AQ134" s="39" t="str">
        <f t="shared" si="42"/>
        <v/>
      </c>
      <c r="AR134" s="34" t="str">
        <f>IF(AQ134="","",IF(I$8="A",(RANK(AQ134,AQ$11:AQ$368,1)+COUNTIF(AQ$11:AQ134,AQ134)-1),(RANK(AQ134,AQ$11:AQ$368)+COUNTIF(AQ$11:AQ134,AQ134)-1)))</f>
        <v/>
      </c>
      <c r="AS134" s="29" t="str">
        <f t="shared" si="43"/>
        <v/>
      </c>
      <c r="AT134" s="34" t="str">
        <f t="shared" si="34"/>
        <v/>
      </c>
      <c r="AU134" s="39" t="str">
        <f t="shared" si="48"/>
        <v/>
      </c>
      <c r="AX134" s="21">
        <f>HLOOKUP($AX$9&amp;$AX$10,Data!$A$1:$ZZ$2000,(MATCH($C134,Data!$A$1:$A$2000,0)),FALSE)</f>
        <v>80.952621005839859</v>
      </c>
      <c r="AY134" s="103"/>
      <c r="AZ134" s="21"/>
    </row>
    <row r="135" spans="1:52">
      <c r="A135" s="56" t="str">
        <f>$D$1&amp;125</f>
        <v>SD125</v>
      </c>
      <c r="B135" s="57">
        <f>IF(ISERROR(VLOOKUP(A135,classifications!A:C,3,FALSE)),0,VLOOKUP(A135,classifications!A:C,3,FALSE))</f>
        <v>0</v>
      </c>
      <c r="C135" s="8" t="s">
        <v>205</v>
      </c>
      <c r="D135" s="26" t="str">
        <f>VLOOKUP($C135,classifications!$C:$J,4,FALSE)</f>
        <v>L</v>
      </c>
      <c r="E135" s="26">
        <f>VLOOKUP(C135,classifications!C:K,9,FALSE)</f>
        <v>0</v>
      </c>
      <c r="F135" s="36">
        <f t="shared" si="26"/>
        <v>81.364370207667918</v>
      </c>
      <c r="G135" s="71"/>
      <c r="H135" s="37" t="str">
        <f t="shared" si="27"/>
        <v/>
      </c>
      <c r="I135" s="77" t="str">
        <f>IF(H135="","",IF($I$8="A",(RANK(H135,H$11:H$368,1)+COUNTIF(H$11:H135,H135)-1),(RANK(H135,H$11:H$368)+COUNTIF(H$11:H135,H135)-1)))</f>
        <v/>
      </c>
      <c r="J135" s="35"/>
      <c r="K135" s="28">
        <f t="shared" si="35"/>
        <v>125</v>
      </c>
      <c r="L135" s="36" t="str">
        <f t="shared" si="28"/>
        <v>Gloucester</v>
      </c>
      <c r="M135" s="102">
        <f t="shared" si="36"/>
        <v>79.622714647428467</v>
      </c>
      <c r="N135" s="101">
        <f t="shared" si="37"/>
        <v>79.622714647428467</v>
      </c>
      <c r="O135" s="94" t="str">
        <f t="shared" si="29"/>
        <v/>
      </c>
      <c r="P135" s="94" t="str">
        <f t="shared" si="45"/>
        <v/>
      </c>
      <c r="Q135" s="94">
        <f t="shared" si="46"/>
        <v>79.622714647428467</v>
      </c>
      <c r="R135" s="90" t="str">
        <f t="shared" si="47"/>
        <v/>
      </c>
      <c r="S135" s="37" t="str">
        <f t="shared" si="38"/>
        <v/>
      </c>
      <c r="T135" s="176">
        <f>IF(L135="","",VLOOKUP(L135,classifications!C:K,9,FALSE))</f>
        <v>0</v>
      </c>
      <c r="U135" s="183" t="str">
        <f t="shared" si="30"/>
        <v/>
      </c>
      <c r="V135" s="184" t="str">
        <f>IF(U135="","",IF($I$8="A",(RANK(U135,U$11:U$368)+COUNTIF(U$11:U135,U135)-1),(RANK(U135,U$11:U$368,1)+COUNTIF(U$11:U135,U135)-1)))</f>
        <v/>
      </c>
      <c r="W135" s="185"/>
      <c r="X135" s="38" t="str">
        <f>IF(L135="","",VLOOKUP($L135,classifications!$C:$J,6,FALSE))</f>
        <v>Urban with City and Town</v>
      </c>
      <c r="Y135" s="26" t="str">
        <f t="shared" si="31"/>
        <v/>
      </c>
      <c r="Z135" s="34" t="str">
        <f>IF(Y135="","",IF(I$8="A",(RANK(Y135,Y$11:Y$368,1)+COUNTIF(Y$11:Y135,Y135)-1),(RANK(Y135,Y$11:Y$368)+COUNTIF(Y$11:Y135,Y135)-1)))</f>
        <v/>
      </c>
      <c r="AA135" s="188" t="str">
        <f>IF(L135="","",VLOOKUP($L135,classifications!C:I,7,FALSE))</f>
        <v>Predominantly Urban</v>
      </c>
      <c r="AB135" s="184" t="str">
        <f t="shared" si="39"/>
        <v/>
      </c>
      <c r="AC135" s="184" t="str">
        <f>IF(AB135="","",IF($I$8="A",(RANK(AB135,AB$11:AB$368)+COUNTIF(AB$11:AB135,AB135)-1),(RANK(AB135,AB$11:AB$368,1)+COUNTIF(AB$11:AB135,AB135)-1)))</f>
        <v/>
      </c>
      <c r="AD135" s="184"/>
      <c r="AE135" s="28" t="str">
        <f t="shared" si="49"/>
        <v/>
      </c>
      <c r="AG135" s="96"/>
      <c r="AH135" s="29"/>
      <c r="AI135" s="38" t="str">
        <f>IF(L135="","",VLOOKUP($L135,classifications!$C:$J,8,FALSE))</f>
        <v>Gloucestershire</v>
      </c>
      <c r="AJ135" s="39" t="str">
        <f t="shared" si="32"/>
        <v/>
      </c>
      <c r="AK135" s="34" t="str">
        <f>IF(AJ135="","",IF(I$8="A",(RANK(AJ135,AJ$11:AJ$368,1)+COUNTIF(AJ$11:AJ135,AJ135)-1),(RANK(AJ135,AJ$11:AJ$368)+COUNTIF(AJ$11:AJ135,AJ135)-1)))</f>
        <v/>
      </c>
      <c r="AL135" s="29" t="str">
        <f t="shared" si="40"/>
        <v/>
      </c>
      <c r="AM135" s="8" t="str">
        <f t="shared" si="33"/>
        <v/>
      </c>
      <c r="AN135" s="8" t="str">
        <f t="shared" si="41"/>
        <v/>
      </c>
      <c r="AP135" s="38" t="str">
        <f>IF(L135="","",VLOOKUP($L135,classifications!$C:$E,3,FALSE))</f>
        <v>South West</v>
      </c>
      <c r="AQ135" s="39" t="str">
        <f t="shared" si="42"/>
        <v/>
      </c>
      <c r="AR135" s="34" t="str">
        <f>IF(AQ135="","",IF(I$8="A",(RANK(AQ135,AQ$11:AQ$368,1)+COUNTIF(AQ$11:AQ135,AQ135)-1),(RANK(AQ135,AQ$11:AQ$368)+COUNTIF(AQ$11:AQ135,AQ135)-1)))</f>
        <v/>
      </c>
      <c r="AS135" s="29" t="str">
        <f t="shared" si="43"/>
        <v/>
      </c>
      <c r="AT135" s="34" t="str">
        <f t="shared" si="34"/>
        <v/>
      </c>
      <c r="AU135" s="39" t="str">
        <f t="shared" si="48"/>
        <v/>
      </c>
      <c r="AX135" s="21">
        <f>HLOOKUP($AX$9&amp;$AX$10,Data!$A$1:$ZZ$2000,(MATCH($C135,Data!$A$1:$A$2000,0)),FALSE)</f>
        <v>81.364370207667918</v>
      </c>
      <c r="AY135" s="103"/>
      <c r="AZ135" s="21"/>
    </row>
    <row r="136" spans="1:52">
      <c r="A136" s="56" t="str">
        <f>$D$1&amp;126</f>
        <v>SD126</v>
      </c>
      <c r="B136" s="57">
        <f>IF(ISERROR(VLOOKUP(A136,classifications!A:C,3,FALSE)),0,VLOOKUP(A136,classifications!A:C,3,FALSE))</f>
        <v>0</v>
      </c>
      <c r="C136" s="8" t="s">
        <v>268</v>
      </c>
      <c r="D136" s="26" t="str">
        <f>VLOOKUP($C136,classifications!$C:$J,4,FALSE)</f>
        <v>UA</v>
      </c>
      <c r="E136" s="26">
        <f>VLOOKUP(C136,classifications!C:K,9,FALSE)</f>
        <v>0</v>
      </c>
      <c r="F136" s="36">
        <f t="shared" si="26"/>
        <v>74.781242105060386</v>
      </c>
      <c r="G136" s="71"/>
      <c r="H136" s="37" t="str">
        <f t="shared" si="27"/>
        <v/>
      </c>
      <c r="I136" s="77" t="str">
        <f>IF(H136="","",IF($I$8="A",(RANK(H136,H$11:H$368,1)+COUNTIF(H$11:H136,H136)-1),(RANK(H136,H$11:H$368)+COUNTIF(H$11:H136,H136)-1)))</f>
        <v/>
      </c>
      <c r="J136" s="35"/>
      <c r="K136" s="28">
        <f t="shared" si="35"/>
        <v>126</v>
      </c>
      <c r="L136" s="36" t="str">
        <f t="shared" si="28"/>
        <v>Sedgemoor</v>
      </c>
      <c r="M136" s="102">
        <f t="shared" si="36"/>
        <v>79.605148666688692</v>
      </c>
      <c r="N136" s="101">
        <f t="shared" si="37"/>
        <v>79.605148666688692</v>
      </c>
      <c r="O136" s="94" t="str">
        <f t="shared" si="29"/>
        <v/>
      </c>
      <c r="P136" s="94" t="str">
        <f t="shared" si="45"/>
        <v/>
      </c>
      <c r="Q136" s="94">
        <f t="shared" si="46"/>
        <v>79.605148666688692</v>
      </c>
      <c r="R136" s="90" t="str">
        <f t="shared" si="47"/>
        <v/>
      </c>
      <c r="S136" s="37" t="str">
        <f t="shared" si="38"/>
        <v/>
      </c>
      <c r="T136" s="176" t="str">
        <f>IF(L136="","",VLOOKUP(L136,classifications!C:K,9,FALSE))</f>
        <v>Sparse</v>
      </c>
      <c r="U136" s="183">
        <f t="shared" si="30"/>
        <v>79.605148666688692</v>
      </c>
      <c r="V136" s="184">
        <f>IF(U136="","",IF($I$8="A",(RANK(U136,U$11:U$368)+COUNTIF(U$11:U136,U136)-1),(RANK(U136,U$11:U$368,1)+COUNTIF(U$11:U136,U136)-1)))</f>
        <v>20</v>
      </c>
      <c r="W136" s="185"/>
      <c r="X136" s="38" t="str">
        <f>IF(L136="","",VLOOKUP($L136,classifications!$C:$J,6,FALSE))</f>
        <v xml:space="preserve">Largely Rural (rural including hub towns 50-79%) </v>
      </c>
      <c r="Y136" s="26" t="str">
        <f t="shared" si="31"/>
        <v/>
      </c>
      <c r="Z136" s="34" t="str">
        <f>IF(Y136="","",IF(I$8="A",(RANK(Y136,Y$11:Y$368,1)+COUNTIF(Y$11:Y136,Y136)-1),(RANK(Y136,Y$11:Y$368)+COUNTIF(Y$11:Y136,Y136)-1)))</f>
        <v/>
      </c>
      <c r="AA136" s="188" t="str">
        <f>IF(L136="","",VLOOKUP($L136,classifications!C:I,7,FALSE))</f>
        <v>Predominantly Rural</v>
      </c>
      <c r="AB136" s="184">
        <f t="shared" si="39"/>
        <v>79.605148666688692</v>
      </c>
      <c r="AC136" s="184">
        <f>IF(AB136="","",IF($I$8="A",(RANK(AB136,AB$11:AB$368)+COUNTIF(AB$11:AB136,AB136)-1),(RANK(AB136,AB$11:AB$368,1)+COUNTIF(AB$11:AB136,AB136)-1)))</f>
        <v>21</v>
      </c>
      <c r="AD136" s="184"/>
      <c r="AE136" s="28" t="str">
        <f t="shared" si="49"/>
        <v/>
      </c>
      <c r="AG136" s="96"/>
      <c r="AH136" s="29"/>
      <c r="AI136" s="38" t="str">
        <f>IF(L136="","",VLOOKUP($L136,classifications!$C:$J,8,FALSE))</f>
        <v>Somerset</v>
      </c>
      <c r="AJ136" s="39" t="str">
        <f t="shared" si="32"/>
        <v/>
      </c>
      <c r="AK136" s="34" t="str">
        <f>IF(AJ136="","",IF(I$8="A",(RANK(AJ136,AJ$11:AJ$368,1)+COUNTIF(AJ$11:AJ136,AJ136)-1),(RANK(AJ136,AJ$11:AJ$368)+COUNTIF(AJ$11:AJ136,AJ136)-1)))</f>
        <v/>
      </c>
      <c r="AL136" s="29" t="str">
        <f t="shared" si="40"/>
        <v/>
      </c>
      <c r="AM136" s="8" t="str">
        <f t="shared" si="33"/>
        <v/>
      </c>
      <c r="AN136" s="8" t="str">
        <f t="shared" si="41"/>
        <v/>
      </c>
      <c r="AP136" s="38" t="str">
        <f>IF(L136="","",VLOOKUP($L136,classifications!$C:$E,3,FALSE))</f>
        <v>South West</v>
      </c>
      <c r="AQ136" s="39" t="str">
        <f t="shared" si="42"/>
        <v/>
      </c>
      <c r="AR136" s="34" t="str">
        <f>IF(AQ136="","",IF(I$8="A",(RANK(AQ136,AQ$11:AQ$368,1)+COUNTIF(AQ$11:AQ136,AQ136)-1),(RANK(AQ136,AQ$11:AQ$368)+COUNTIF(AQ$11:AQ136,AQ136)-1)))</f>
        <v/>
      </c>
      <c r="AS136" s="29" t="str">
        <f t="shared" si="43"/>
        <v/>
      </c>
      <c r="AT136" s="34" t="str">
        <f t="shared" si="34"/>
        <v/>
      </c>
      <c r="AU136" s="39" t="str">
        <f t="shared" si="48"/>
        <v/>
      </c>
      <c r="AX136" s="21">
        <f>HLOOKUP($AX$9&amp;$AX$10,Data!$A$1:$ZZ$2000,(MATCH($C136,Data!$A$1:$A$2000,0)),FALSE)</f>
        <v>74.781242105060386</v>
      </c>
      <c r="AY136" s="103"/>
      <c r="AZ136" s="21"/>
    </row>
    <row r="137" spans="1:52">
      <c r="A137" s="56" t="str">
        <f>$D$1&amp;127</f>
        <v>SD127</v>
      </c>
      <c r="B137" s="57">
        <f>IF(ISERROR(VLOOKUP(A137,classifications!A:C,3,FALSE)),0,VLOOKUP(A137,classifications!A:C,3,FALSE))</f>
        <v>0</v>
      </c>
      <c r="C137" s="8" t="s">
        <v>78</v>
      </c>
      <c r="D137" s="26" t="str">
        <f>VLOOKUP($C137,classifications!$C:$J,4,FALSE)</f>
        <v>SD</v>
      </c>
      <c r="E137" s="26" t="str">
        <f>VLOOKUP(C137,classifications!C:K,9,FALSE)</f>
        <v>Sparse</v>
      </c>
      <c r="F137" s="36">
        <f t="shared" si="26"/>
        <v>83.210609729168269</v>
      </c>
      <c r="G137" s="71"/>
      <c r="H137" s="37">
        <f t="shared" si="27"/>
        <v>83.210609729168269</v>
      </c>
      <c r="I137" s="77">
        <f>IF(H137="","",IF($I$8="A",(RANK(H137,H$11:H$368,1)+COUNTIF(H$11:H137,H137)-1),(RANK(H137,H$11:H$368)+COUNTIF(H$11:H137,H137)-1)))</f>
        <v>55</v>
      </c>
      <c r="J137" s="35"/>
      <c r="K137" s="28">
        <f t="shared" si="35"/>
        <v>127</v>
      </c>
      <c r="L137" s="36" t="str">
        <f t="shared" si="28"/>
        <v>Stratford-on-Avon</v>
      </c>
      <c r="M137" s="102">
        <f t="shared" si="36"/>
        <v>79.476376362365343</v>
      </c>
      <c r="N137" s="101">
        <f t="shared" si="37"/>
        <v>79.476376362365343</v>
      </c>
      <c r="O137" s="94" t="str">
        <f t="shared" si="29"/>
        <v/>
      </c>
      <c r="P137" s="94" t="str">
        <f t="shared" si="45"/>
        <v/>
      </c>
      <c r="Q137" s="94">
        <f t="shared" si="46"/>
        <v>79.476376362365343</v>
      </c>
      <c r="R137" s="90" t="str">
        <f t="shared" si="47"/>
        <v/>
      </c>
      <c r="S137" s="37" t="str">
        <f t="shared" si="38"/>
        <v/>
      </c>
      <c r="T137" s="176" t="str">
        <f>IF(L137="","",VLOOKUP(L137,classifications!C:K,9,FALSE))</f>
        <v>Sparse</v>
      </c>
      <c r="U137" s="183">
        <f t="shared" si="30"/>
        <v>79.476376362365343</v>
      </c>
      <c r="V137" s="184">
        <f>IF(U137="","",IF($I$8="A",(RANK(U137,U$11:U$368)+COUNTIF(U$11:U137,U137)-1),(RANK(U137,U$11:U$368,1)+COUNTIF(U$11:U137,U137)-1)))</f>
        <v>19</v>
      </c>
      <c r="W137" s="185"/>
      <c r="X137" s="38" t="str">
        <f>IF(L137="","",VLOOKUP($L137,classifications!$C:$J,6,FALSE))</f>
        <v xml:space="preserve">Mainly Rural (rural including hub towns &gt;=80%) </v>
      </c>
      <c r="Y137" s="26">
        <f t="shared" si="31"/>
        <v>79.476376362365343</v>
      </c>
      <c r="Z137" s="34">
        <f>IF(Y137="","",IF(I$8="A",(RANK(Y137,Y$11:Y$368,1)+COUNTIF(Y$11:Y137,Y137)-1),(RANK(Y137,Y$11:Y$368)+COUNTIF(Y$11:Y137,Y137)-1)))</f>
        <v>32</v>
      </c>
      <c r="AA137" s="188" t="str">
        <f>IF(L137="","",VLOOKUP($L137,classifications!C:I,7,FALSE))</f>
        <v>Predominantly Rural</v>
      </c>
      <c r="AB137" s="184">
        <f t="shared" si="39"/>
        <v>79.476376362365343</v>
      </c>
      <c r="AC137" s="184">
        <f>IF(AB137="","",IF($I$8="A",(RANK(AB137,AB$11:AB$368)+COUNTIF(AB$11:AB137,AB137)-1),(RANK(AB137,AB$11:AB$368,1)+COUNTIF(AB$11:AB137,AB137)-1)))</f>
        <v>20</v>
      </c>
      <c r="AD137" s="184"/>
      <c r="AE137" s="28" t="str">
        <f t="shared" si="49"/>
        <v/>
      </c>
      <c r="AG137" s="96"/>
      <c r="AH137" s="29"/>
      <c r="AI137" s="38" t="str">
        <f>IF(L137="","",VLOOKUP($L137,classifications!$C:$J,8,FALSE))</f>
        <v>Warwickshire</v>
      </c>
      <c r="AJ137" s="39" t="str">
        <f t="shared" si="32"/>
        <v/>
      </c>
      <c r="AK137" s="34" t="str">
        <f>IF(AJ137="","",IF(I$8="A",(RANK(AJ137,AJ$11:AJ$368,1)+COUNTIF(AJ$11:AJ137,AJ137)-1),(RANK(AJ137,AJ$11:AJ$368)+COUNTIF(AJ$11:AJ137,AJ137)-1)))</f>
        <v/>
      </c>
      <c r="AL137" s="29" t="str">
        <f t="shared" si="40"/>
        <v/>
      </c>
      <c r="AM137" s="8" t="str">
        <f t="shared" si="33"/>
        <v/>
      </c>
      <c r="AN137" s="8" t="str">
        <f t="shared" si="41"/>
        <v/>
      </c>
      <c r="AP137" s="38" t="str">
        <f>IF(L137="","",VLOOKUP($L137,classifications!$C:$E,3,FALSE))</f>
        <v>West Midlands</v>
      </c>
      <c r="AQ137" s="39" t="str">
        <f t="shared" si="42"/>
        <v/>
      </c>
      <c r="AR137" s="34" t="str">
        <f>IF(AQ137="","",IF(I$8="A",(RANK(AQ137,AQ$11:AQ$368,1)+COUNTIF(AQ$11:AQ137,AQ137)-1),(RANK(AQ137,AQ$11:AQ$368)+COUNTIF(AQ$11:AQ137,AQ137)-1)))</f>
        <v/>
      </c>
      <c r="AS137" s="29" t="str">
        <f t="shared" si="43"/>
        <v/>
      </c>
      <c r="AT137" s="34" t="str">
        <f t="shared" si="34"/>
        <v/>
      </c>
      <c r="AU137" s="39" t="str">
        <f t="shared" si="48"/>
        <v/>
      </c>
      <c r="AX137" s="21">
        <f>HLOOKUP($AX$9&amp;$AX$10,Data!$A$1:$ZZ$2000,(MATCH($C137,Data!$A$1:$A$2000,0)),FALSE)</f>
        <v>83.210609729168269</v>
      </c>
      <c r="AY137" s="103"/>
      <c r="AZ137" s="21"/>
    </row>
    <row r="138" spans="1:52">
      <c r="A138" s="56" t="str">
        <f>$D$1&amp;128</f>
        <v>SD128</v>
      </c>
      <c r="B138" s="57">
        <f>IF(ISERROR(VLOOKUP(A138,classifications!A:C,3,FALSE)),0,VLOOKUP(A138,classifications!A:C,3,FALSE))</f>
        <v>0</v>
      </c>
      <c r="C138" s="8" t="s">
        <v>336</v>
      </c>
      <c r="D138" s="26" t="str">
        <f>VLOOKUP($C138,classifications!$C:$J,4,FALSE)</f>
        <v>L</v>
      </c>
      <c r="E138" s="26">
        <f>VLOOKUP(C138,classifications!C:K,9,FALSE)</f>
        <v>0</v>
      </c>
      <c r="F138" s="36">
        <f t="shared" si="26"/>
        <v>87.723838659617925</v>
      </c>
      <c r="G138" s="71"/>
      <c r="H138" s="37" t="str">
        <f t="shared" si="27"/>
        <v/>
      </c>
      <c r="I138" s="77" t="str">
        <f>IF(H138="","",IF($I$8="A",(RANK(H138,H$11:H$368,1)+COUNTIF(H$11:H138,H138)-1),(RANK(H138,H$11:H$368)+COUNTIF(H$11:H138,H138)-1)))</f>
        <v/>
      </c>
      <c r="J138" s="35"/>
      <c r="K138" s="28">
        <f t="shared" si="35"/>
        <v>128</v>
      </c>
      <c r="L138" s="36" t="str">
        <f t="shared" si="28"/>
        <v>Welwyn Hatfield</v>
      </c>
      <c r="M138" s="102">
        <f t="shared" si="36"/>
        <v>79.473990455873462</v>
      </c>
      <c r="N138" s="101">
        <f t="shared" si="37"/>
        <v>79.473990455873462</v>
      </c>
      <c r="O138" s="94" t="str">
        <f t="shared" si="29"/>
        <v/>
      </c>
      <c r="P138" s="94" t="str">
        <f t="shared" si="45"/>
        <v/>
      </c>
      <c r="Q138" s="94">
        <f t="shared" si="46"/>
        <v>79.473990455873462</v>
      </c>
      <c r="R138" s="90" t="str">
        <f t="shared" si="47"/>
        <v/>
      </c>
      <c r="S138" s="37" t="str">
        <f t="shared" si="38"/>
        <v/>
      </c>
      <c r="T138" s="176">
        <f>IF(L138="","",VLOOKUP(L138,classifications!C:K,9,FALSE))</f>
        <v>0</v>
      </c>
      <c r="U138" s="183" t="str">
        <f t="shared" si="30"/>
        <v/>
      </c>
      <c r="V138" s="184" t="str">
        <f>IF(U138="","",IF($I$8="A",(RANK(U138,U$11:U$368)+COUNTIF(U$11:U138,U138)-1),(RANK(U138,U$11:U$368,1)+COUNTIF(U$11:U138,U138)-1)))</f>
        <v/>
      </c>
      <c r="W138" s="185"/>
      <c r="X138" s="38" t="str">
        <f>IF(L138="","",VLOOKUP($L138,classifications!$C:$J,6,FALSE))</f>
        <v>Urban with City and Town</v>
      </c>
      <c r="Y138" s="26" t="str">
        <f t="shared" si="31"/>
        <v/>
      </c>
      <c r="Z138" s="34" t="str">
        <f>IF(Y138="","",IF(I$8="A",(RANK(Y138,Y$11:Y$368,1)+COUNTIF(Y$11:Y138,Y138)-1),(RANK(Y138,Y$11:Y$368)+COUNTIF(Y$11:Y138,Y138)-1)))</f>
        <v/>
      </c>
      <c r="AA138" s="188" t="str">
        <f>IF(L138="","",VLOOKUP($L138,classifications!C:I,7,FALSE))</f>
        <v>Predominantly Urban</v>
      </c>
      <c r="AB138" s="184" t="str">
        <f t="shared" si="39"/>
        <v/>
      </c>
      <c r="AC138" s="184" t="str">
        <f>IF(AB138="","",IF($I$8="A",(RANK(AB138,AB$11:AB$368)+COUNTIF(AB$11:AB138,AB138)-1),(RANK(AB138,AB$11:AB$368,1)+COUNTIF(AB$11:AB138,AB138)-1)))</f>
        <v/>
      </c>
      <c r="AD138" s="184"/>
      <c r="AE138" s="28" t="str">
        <f t="shared" si="49"/>
        <v/>
      </c>
      <c r="AG138" s="96"/>
      <c r="AH138" s="29"/>
      <c r="AI138" s="38" t="str">
        <f>IF(L138="","",VLOOKUP($L138,classifications!$C:$J,8,FALSE))</f>
        <v>Hertfordshire</v>
      </c>
      <c r="AJ138" s="39" t="str">
        <f t="shared" si="32"/>
        <v/>
      </c>
      <c r="AK138" s="34" t="str">
        <f>IF(AJ138="","",IF(I$8="A",(RANK(AJ138,AJ$11:AJ$368,1)+COUNTIF(AJ$11:AJ138,AJ138)-1),(RANK(AJ138,AJ$11:AJ$368)+COUNTIF(AJ$11:AJ138,AJ138)-1)))</f>
        <v/>
      </c>
      <c r="AL138" s="29" t="str">
        <f t="shared" si="40"/>
        <v/>
      </c>
      <c r="AM138" s="8" t="str">
        <f t="shared" si="33"/>
        <v/>
      </c>
      <c r="AN138" s="8" t="str">
        <f t="shared" si="41"/>
        <v/>
      </c>
      <c r="AP138" s="38" t="str">
        <f>IF(L138="","",VLOOKUP($L138,classifications!$C:$E,3,FALSE))</f>
        <v>East of England</v>
      </c>
      <c r="AQ138" s="39" t="str">
        <f t="shared" si="42"/>
        <v/>
      </c>
      <c r="AR138" s="34" t="str">
        <f>IF(AQ138="","",IF(I$8="A",(RANK(AQ138,AQ$11:AQ$368,1)+COUNTIF(AQ$11:AQ138,AQ138)-1),(RANK(AQ138,AQ$11:AQ$368)+COUNTIF(AQ$11:AQ138,AQ138)-1)))</f>
        <v/>
      </c>
      <c r="AS138" s="29" t="str">
        <f t="shared" si="43"/>
        <v/>
      </c>
      <c r="AT138" s="34" t="str">
        <f t="shared" si="34"/>
        <v/>
      </c>
      <c r="AU138" s="39" t="str">
        <f t="shared" si="48"/>
        <v/>
      </c>
      <c r="AX138" s="21">
        <f>HLOOKUP($AX$9&amp;$AX$10,Data!$A$1:$ZZ$2000,(MATCH($C138,Data!$A$1:$A$2000,0)),FALSE)</f>
        <v>87.723838659617925</v>
      </c>
      <c r="AY138" s="103"/>
      <c r="AZ138" s="21"/>
    </row>
    <row r="139" spans="1:52">
      <c r="A139" s="56" t="str">
        <f>$D$1&amp;129</f>
        <v>SD129</v>
      </c>
      <c r="B139" s="57">
        <f>IF(ISERROR(VLOOKUP(A139,classifications!A:C,3,FALSE)),0,VLOOKUP(A139,classifications!A:C,3,FALSE))</f>
        <v>0</v>
      </c>
      <c r="C139" s="8" t="s">
        <v>313</v>
      </c>
      <c r="D139" s="26" t="str">
        <f>VLOOKUP($C139,classifications!$C:$J,4,FALSE)</f>
        <v>SC</v>
      </c>
      <c r="E139" s="26" t="str">
        <f>VLOOKUP(C139,classifications!C:K,9,FALSE)</f>
        <v>Sparse</v>
      </c>
      <c r="F139" s="36">
        <f t="shared" ref="F139:F202" si="50">HLOOKUP($D$6,AX$10:ZX$368,ROW()-9,FALSE)</f>
        <v>81.409518600750758</v>
      </c>
      <c r="G139" s="71"/>
      <c r="H139" s="37" t="str">
        <f t="shared" ref="H139:H202" si="51">IF(D139=$D$1,HLOOKUP($D$6,$AX$10:$ZZ$368,ROW()-9,FALSE),"")</f>
        <v/>
      </c>
      <c r="I139" s="77" t="str">
        <f>IF(H139="","",IF($I$8="A",(RANK(H139,H$11:H$368,1)+COUNTIF(H$11:H139,H139)-1),(RANK(H139,H$11:H$368)+COUNTIF(H$11:H139,H139)-1)))</f>
        <v/>
      </c>
      <c r="J139" s="35"/>
      <c r="K139" s="28">
        <f t="shared" si="35"/>
        <v>129</v>
      </c>
      <c r="L139" s="36" t="str">
        <f t="shared" ref="L139:L202" si="52">IF(K139="","",INDEX(C$11:C$368,MATCH(K139,I$11:I$368,0)))</f>
        <v>Blaby</v>
      </c>
      <c r="M139" s="102">
        <f t="shared" si="36"/>
        <v>79.438780140503624</v>
      </c>
      <c r="N139" s="101">
        <f t="shared" si="37"/>
        <v>79.438780140503624</v>
      </c>
      <c r="O139" s="94" t="str">
        <f t="shared" ref="O139:O202" si="53">IF(I$8="A",IF(N139&gt;=$P$7,IF(N139&lt;=$O$10,N139,""),""),IF(N139&lt;=$P$7,IF(N139&gt;=$O$10,N139,""),""))</f>
        <v/>
      </c>
      <c r="P139" s="94" t="str">
        <f t="shared" si="45"/>
        <v/>
      </c>
      <c r="Q139" s="94">
        <f t="shared" si="46"/>
        <v>79.438780140503624</v>
      </c>
      <c r="R139" s="90" t="str">
        <f t="shared" si="47"/>
        <v/>
      </c>
      <c r="S139" s="37" t="str">
        <f t="shared" si="38"/>
        <v/>
      </c>
      <c r="T139" s="176">
        <f>IF(L139="","",VLOOKUP(L139,classifications!C:K,9,FALSE))</f>
        <v>0</v>
      </c>
      <c r="U139" s="183" t="str">
        <f t="shared" ref="U139:U202" si="54">IF(T139="Sparse",M139,"")</f>
        <v/>
      </c>
      <c r="V139" s="184" t="str">
        <f>IF(U139="","",IF($I$8="A",(RANK(U139,U$11:U$368)+COUNTIF(U$11:U139,U139)-1),(RANK(U139,U$11:U$368,1)+COUNTIF(U$11:U139,U139)-1)))</f>
        <v/>
      </c>
      <c r="W139" s="185"/>
      <c r="X139" s="38" t="str">
        <f>IF(L139="","",VLOOKUP($L139,classifications!$C:$J,6,FALSE))</f>
        <v>Urban with City and Town</v>
      </c>
      <c r="Y139" s="26" t="str">
        <f t="shared" ref="Y139:Y202" si="55">IF($D$1="UA",IF(X139="Largely Rural (rural including hub towns 50-79%) ",M139,IF(X139="Mainly Rural (rural including hub towns &gt;=80%) ",M139,IF(X139="Urban with Significant Rural (rural including hub towns 26-49%)",M139,""))),IF($D$1="SD",IF(X139=$H$3,M139,"")))</f>
        <v/>
      </c>
      <c r="Z139" s="34" t="str">
        <f>IF(Y139="","",IF(I$8="A",(RANK(Y139,Y$11:Y$368,1)+COUNTIF(Y$11:Y139,Y139)-1),(RANK(Y139,Y$11:Y$368)+COUNTIF(Y$11:Y139,Y139)-1)))</f>
        <v/>
      </c>
      <c r="AA139" s="188" t="str">
        <f>IF(L139="","",VLOOKUP($L139,classifications!C:I,7,FALSE))</f>
        <v>Predominantly Urban</v>
      </c>
      <c r="AB139" s="184" t="str">
        <f t="shared" si="39"/>
        <v/>
      </c>
      <c r="AC139" s="184" t="str">
        <f>IF(AB139="","",IF($I$8="A",(RANK(AB139,AB$11:AB$368)+COUNTIF(AB$11:AB139,AB139)-1),(RANK(AB139,AB$11:AB$368,1)+COUNTIF(AB$11:AB139,AB139)-1)))</f>
        <v/>
      </c>
      <c r="AD139" s="184"/>
      <c r="AE139" s="28" t="str">
        <f t="shared" si="49"/>
        <v/>
      </c>
      <c r="AG139" s="96"/>
      <c r="AH139" s="29"/>
      <c r="AI139" s="38" t="str">
        <f>IF(L139="","",VLOOKUP($L139,classifications!$C:$J,8,FALSE))</f>
        <v>Leicestershire</v>
      </c>
      <c r="AJ139" s="39" t="str">
        <f t="shared" ref="AJ139:AJ202" si="56">IF(AI139=$I$3,M139,"")</f>
        <v/>
      </c>
      <c r="AK139" s="34" t="str">
        <f>IF(AJ139="","",IF(I$8="A",(RANK(AJ139,AJ$11:AJ$368,1)+COUNTIF(AJ$11:AJ139,AJ139)-1),(RANK(AJ139,AJ$11:AJ$368)+COUNTIF(AJ$11:AJ139,AJ139)-1)))</f>
        <v/>
      </c>
      <c r="AL139" s="29" t="str">
        <f t="shared" si="40"/>
        <v/>
      </c>
      <c r="AM139" s="8" t="str">
        <f t="shared" ref="AM139:AM202" si="57">IF(ISNA(IF(AL139="","",INDEX(L$11:L$368,MATCH(AL139,AK$11:AK$368,0)))),"",(IF(AL139="","",INDEX(L$11:L$368,MATCH(AL139,AK$11:AK$368,0)))))</f>
        <v/>
      </c>
      <c r="AN139" s="8" t="str">
        <f t="shared" si="41"/>
        <v/>
      </c>
      <c r="AP139" s="38" t="str">
        <f>IF(L139="","",VLOOKUP($L139,classifications!$C:$E,3,FALSE))</f>
        <v>East Midlands</v>
      </c>
      <c r="AQ139" s="39" t="str">
        <f t="shared" si="42"/>
        <v/>
      </c>
      <c r="AR139" s="34" t="str">
        <f>IF(AQ139="","",IF(I$8="A",(RANK(AQ139,AQ$11:AQ$368,1)+COUNTIF(AQ$11:AQ139,AQ139)-1),(RANK(AQ139,AQ$11:AQ$368)+COUNTIF(AQ$11:AQ139,AQ139)-1)))</f>
        <v/>
      </c>
      <c r="AS139" s="29" t="str">
        <f t="shared" si="43"/>
        <v/>
      </c>
      <c r="AT139" s="34" t="str">
        <f t="shared" ref="AT139:AT202" si="58">IF(AS139="","",INDEX(L$11:L$368,MATCH(AS139,AR$11:AR$368,0)))</f>
        <v/>
      </c>
      <c r="AU139" s="39" t="str">
        <f t="shared" si="48"/>
        <v/>
      </c>
      <c r="AX139" s="21">
        <f>HLOOKUP($AX$9&amp;$AX$10,Data!$A$1:$ZZ$2000,(MATCH($C139,Data!$A$1:$A$2000,0)),FALSE)</f>
        <v>81.409518600750758</v>
      </c>
      <c r="AY139" s="103"/>
      <c r="AZ139" s="21"/>
    </row>
    <row r="140" spans="1:52">
      <c r="A140" s="56" t="str">
        <f>$D$1&amp;130</f>
        <v>SD130</v>
      </c>
      <c r="B140" s="57">
        <f>IF(ISERROR(VLOOKUP(A140,classifications!A:C,3,FALSE)),0,VLOOKUP(A140,classifications!A:C,3,FALSE))</f>
        <v>0</v>
      </c>
      <c r="C140" s="8" t="s">
        <v>79</v>
      </c>
      <c r="D140" s="26" t="str">
        <f>VLOOKUP($C140,classifications!$C:$J,4,FALSE)</f>
        <v>SD</v>
      </c>
      <c r="E140" s="26" t="str">
        <f>VLOOKUP(C140,classifications!C:K,9,FALSE)</f>
        <v>Sparse</v>
      </c>
      <c r="F140" s="36">
        <f t="shared" si="50"/>
        <v>80.522649706930295</v>
      </c>
      <c r="G140" s="71"/>
      <c r="H140" s="37">
        <f t="shared" si="51"/>
        <v>80.522649706930295</v>
      </c>
      <c r="I140" s="77">
        <f>IF(H140="","",IF($I$8="A",(RANK(H140,H$11:H$368,1)+COUNTIF(H$11:H140,H140)-1),(RANK(H140,H$11:H$368)+COUNTIF(H$11:H140,H140)-1)))</f>
        <v>108</v>
      </c>
      <c r="J140" s="35"/>
      <c r="K140" s="28">
        <f t="shared" ref="K140:K203" si="59">IF(K139="","",IF(K139+1&gt;(COUNT(H$11:H$368)),"",K139+1))</f>
        <v>130</v>
      </c>
      <c r="L140" s="36" t="str">
        <f t="shared" si="52"/>
        <v>Chorley</v>
      </c>
      <c r="M140" s="102">
        <f t="shared" ref="M140:M203" si="60">IF(L140="","",IF(VLOOKUP(L140,C:D,2,FALSE)=$F$3,VLOOKUP(L140,C:H,6,FALSE),""))</f>
        <v>79.374804851569777</v>
      </c>
      <c r="N140" s="101">
        <f t="shared" ref="N140:N203" si="61">IF(L140="","",IF($H$8="%%",M140*100,M140))</f>
        <v>79.374804851569777</v>
      </c>
      <c r="O140" s="94" t="str">
        <f t="shared" si="53"/>
        <v/>
      </c>
      <c r="P140" s="94" t="str">
        <f t="shared" si="45"/>
        <v/>
      </c>
      <c r="Q140" s="94">
        <f t="shared" si="46"/>
        <v>79.374804851569777</v>
      </c>
      <c r="R140" s="90" t="str">
        <f t="shared" si="47"/>
        <v/>
      </c>
      <c r="S140" s="37" t="str">
        <f t="shared" ref="S140:S203" si="62">IF(L140=D$3,"u","")</f>
        <v/>
      </c>
      <c r="T140" s="176">
        <f>IF(L140="","",VLOOKUP(L140,classifications!C:K,9,FALSE))</f>
        <v>0</v>
      </c>
      <c r="U140" s="183" t="str">
        <f t="shared" si="54"/>
        <v/>
      </c>
      <c r="V140" s="184" t="str">
        <f>IF(U140="","",IF($I$8="A",(RANK(U140,U$11:U$368)+COUNTIF(U$11:U140,U140)-1),(RANK(U140,U$11:U$368,1)+COUNTIF(U$11:U140,U140)-1)))</f>
        <v/>
      </c>
      <c r="W140" s="185"/>
      <c r="X140" s="38" t="str">
        <f>IF(L140="","",VLOOKUP($L140,classifications!$C:$J,6,FALSE))</f>
        <v>Urban with Significant Rural (rural including hub towns 26-49%)</v>
      </c>
      <c r="Y140" s="26" t="str">
        <f t="shared" si="55"/>
        <v/>
      </c>
      <c r="Z140" s="34" t="str">
        <f>IF(Y140="","",IF(I$8="A",(RANK(Y140,Y$11:Y$368,1)+COUNTIF(Y$11:Y140,Y140)-1),(RANK(Y140,Y$11:Y$368)+COUNTIF(Y$11:Y140,Y140)-1)))</f>
        <v/>
      </c>
      <c r="AA140" s="188" t="str">
        <f>IF(L140="","",VLOOKUP($L140,classifications!C:I,7,FALSE))</f>
        <v>Significant Rural</v>
      </c>
      <c r="AB140" s="184" t="str">
        <f t="shared" ref="AB140:AB203" si="63">IF(AA140=$J$3,M140,"")</f>
        <v/>
      </c>
      <c r="AC140" s="184" t="str">
        <f>IF(AB140="","",IF($I$8="A",(RANK(AB140,AB$11:AB$368)+COUNTIF(AB$11:AB140,AB140)-1),(RANK(AB140,AB$11:AB$368,1)+COUNTIF(AB$11:AB140,AB140)-1)))</f>
        <v/>
      </c>
      <c r="AD140" s="184"/>
      <c r="AE140" s="28" t="str">
        <f t="shared" si="49"/>
        <v/>
      </c>
      <c r="AG140" s="96"/>
      <c r="AH140" s="29"/>
      <c r="AI140" s="38" t="str">
        <f>IF(L140="","",VLOOKUP($L140,classifications!$C:$J,8,FALSE))</f>
        <v>Lancashire</v>
      </c>
      <c r="AJ140" s="39" t="str">
        <f t="shared" si="56"/>
        <v/>
      </c>
      <c r="AK140" s="34" t="str">
        <f>IF(AJ140="","",IF(I$8="A",(RANK(AJ140,AJ$11:AJ$368,1)+COUNTIF(AJ$11:AJ140,AJ140)-1),(RANK(AJ140,AJ$11:AJ$368)+COUNTIF(AJ$11:AJ140,AJ140)-1)))</f>
        <v/>
      </c>
      <c r="AL140" s="29" t="str">
        <f t="shared" ref="AL140:AL203" si="64">IF(AL139="","",IF(AL139+1&gt;(COUNT(AJ$11:AJ$368)),"",AL139+1))</f>
        <v/>
      </c>
      <c r="AM140" s="8" t="str">
        <f t="shared" si="57"/>
        <v/>
      </c>
      <c r="AN140" s="8" t="str">
        <f t="shared" ref="AN140:AN203" si="65">(VLOOKUP(AM140,L:M,2,FALSE))</f>
        <v/>
      </c>
      <c r="AP140" s="38" t="str">
        <f>IF(L140="","",VLOOKUP($L140,classifications!$C:$E,3,FALSE))</f>
        <v>North West</v>
      </c>
      <c r="AQ140" s="39">
        <f t="shared" ref="AQ140:AQ203" si="66">IF(AP140=$G$3,$M140,"")</f>
        <v>79.374804851569777</v>
      </c>
      <c r="AR140" s="34">
        <f>IF(AQ140="","",IF(I$8="A",(RANK(AQ140,AQ$11:AQ$368,1)+COUNTIF(AQ$11:AQ140,AQ140)-1),(RANK(AQ140,AQ$11:AQ$368)+COUNTIF(AQ$11:AQ140,AQ140)-1)))</f>
        <v>9</v>
      </c>
      <c r="AS140" s="29" t="str">
        <f t="shared" ref="AS140:AS203" si="67">IF(AS139="","",IF(AS139+1&gt;(COUNT(AQ$11:AQ$368)),"",AS139+1))</f>
        <v/>
      </c>
      <c r="AT140" s="34" t="str">
        <f t="shared" si="58"/>
        <v/>
      </c>
      <c r="AU140" s="39" t="str">
        <f t="shared" si="48"/>
        <v/>
      </c>
      <c r="AX140" s="21">
        <f>HLOOKUP($AX$9&amp;$AX$10,Data!$A$1:$ZZ$2000,(MATCH($C140,Data!$A$1:$A$2000,0)),FALSE)</f>
        <v>80.522649706930295</v>
      </c>
      <c r="AY140" s="103"/>
      <c r="AZ140" s="21"/>
    </row>
    <row r="141" spans="1:52">
      <c r="A141" s="56" t="str">
        <f>$D$1&amp;131</f>
        <v>SD131</v>
      </c>
      <c r="B141" s="57">
        <f>IF(ISERROR(VLOOKUP(A141,classifications!A:C,3,FALSE)),0,VLOOKUP(A141,classifications!A:C,3,FALSE))</f>
        <v>0</v>
      </c>
      <c r="C141" s="8" t="s">
        <v>206</v>
      </c>
      <c r="D141" s="26" t="str">
        <f>VLOOKUP($C141,classifications!$C:$J,4,FALSE)</f>
        <v>L</v>
      </c>
      <c r="E141" s="26">
        <f>VLOOKUP(C141,classifications!C:K,9,FALSE)</f>
        <v>0</v>
      </c>
      <c r="F141" s="36">
        <f t="shared" si="50"/>
        <v>82.821474190105661</v>
      </c>
      <c r="G141" s="71"/>
      <c r="H141" s="37" t="str">
        <f t="shared" si="51"/>
        <v/>
      </c>
      <c r="I141" s="77" t="str">
        <f>IF(H141="","",IF($I$8="A",(RANK(H141,H$11:H$368,1)+COUNTIF(H$11:H141,H141)-1),(RANK(H141,H$11:H$368)+COUNTIF(H$11:H141,H141)-1)))</f>
        <v/>
      </c>
      <c r="J141" s="35"/>
      <c r="K141" s="28">
        <f t="shared" si="59"/>
        <v>131</v>
      </c>
      <c r="L141" s="36" t="str">
        <f t="shared" si="52"/>
        <v>Broxbourne</v>
      </c>
      <c r="M141" s="102">
        <f t="shared" si="60"/>
        <v>79.348127844807593</v>
      </c>
      <c r="N141" s="101">
        <f t="shared" si="61"/>
        <v>79.348127844807593</v>
      </c>
      <c r="O141" s="94" t="str">
        <f t="shared" si="53"/>
        <v/>
      </c>
      <c r="P141" s="94" t="str">
        <f t="shared" ref="P141:P204" si="68">IF(I$8="A",IF(N141&gt;$O$10,IF(N141&lt;=$P$10,N141,""),""),IF(N141&lt;$O$10,IF(N141&gt;=$P$10,N141,""),""))</f>
        <v/>
      </c>
      <c r="Q141" s="94">
        <f t="shared" ref="Q141:Q204" si="69">IF(I$8="A",IF(N141&gt;$P$10,IF(N141&lt;=$Q$10,N141,""),""),IF(N141&lt;$P$10,IF(N141&gt;=$Q$10,N141,""),""))</f>
        <v>79.348127844807593</v>
      </c>
      <c r="R141" s="90" t="str">
        <f t="shared" ref="R141:R204" si="70">IF(I$8="A",IF(N141&gt;$Q$10,N141,""),IF(N141&lt;$Q$10,N141,""))</f>
        <v/>
      </c>
      <c r="S141" s="37" t="str">
        <f t="shared" si="62"/>
        <v/>
      </c>
      <c r="T141" s="176">
        <f>IF(L141="","",VLOOKUP(L141,classifications!C:K,9,FALSE))</f>
        <v>0</v>
      </c>
      <c r="U141" s="183" t="str">
        <f t="shared" si="54"/>
        <v/>
      </c>
      <c r="V141" s="184" t="str">
        <f>IF(U141="","",IF($I$8="A",(RANK(U141,U$11:U$368)+COUNTIF(U$11:U141,U141)-1),(RANK(U141,U$11:U$368,1)+COUNTIF(U$11:U141,U141)-1)))</f>
        <v/>
      </c>
      <c r="W141" s="185"/>
      <c r="X141" s="38" t="str">
        <f>IF(L141="","",VLOOKUP($L141,classifications!$C:$J,6,FALSE))</f>
        <v>Urban with Major Conurbation</v>
      </c>
      <c r="Y141" s="26" t="str">
        <f t="shared" si="55"/>
        <v/>
      </c>
      <c r="Z141" s="34" t="str">
        <f>IF(Y141="","",IF(I$8="A",(RANK(Y141,Y$11:Y$368,1)+COUNTIF(Y$11:Y141,Y141)-1),(RANK(Y141,Y$11:Y$368)+COUNTIF(Y$11:Y141,Y141)-1)))</f>
        <v/>
      </c>
      <c r="AA141" s="188" t="str">
        <f>IF(L141="","",VLOOKUP($L141,classifications!C:I,7,FALSE))</f>
        <v>Predominantly Urban</v>
      </c>
      <c r="AB141" s="184" t="str">
        <f t="shared" si="63"/>
        <v/>
      </c>
      <c r="AC141" s="184" t="str">
        <f>IF(AB141="","",IF($I$8="A",(RANK(AB141,AB$11:AB$368)+COUNTIF(AB$11:AB141,AB141)-1),(RANK(AB141,AB$11:AB$368,1)+COUNTIF(AB$11:AB141,AB141)-1)))</f>
        <v/>
      </c>
      <c r="AD141" s="184"/>
      <c r="AE141" s="28" t="str">
        <f t="shared" si="49"/>
        <v/>
      </c>
      <c r="AG141" s="96"/>
      <c r="AH141" s="29"/>
      <c r="AI141" s="38" t="str">
        <f>IF(L141="","",VLOOKUP($L141,classifications!$C:$J,8,FALSE))</f>
        <v>Hertfordshire</v>
      </c>
      <c r="AJ141" s="39" t="str">
        <f t="shared" si="56"/>
        <v/>
      </c>
      <c r="AK141" s="34" t="str">
        <f>IF(AJ141="","",IF(I$8="A",(RANK(AJ141,AJ$11:AJ$368,1)+COUNTIF(AJ$11:AJ141,AJ141)-1),(RANK(AJ141,AJ$11:AJ$368)+COUNTIF(AJ$11:AJ141,AJ141)-1)))</f>
        <v/>
      </c>
      <c r="AL141" s="29" t="str">
        <f t="shared" si="64"/>
        <v/>
      </c>
      <c r="AM141" s="8" t="str">
        <f t="shared" si="57"/>
        <v/>
      </c>
      <c r="AN141" s="8" t="str">
        <f t="shared" si="65"/>
        <v/>
      </c>
      <c r="AP141" s="38" t="str">
        <f>IF(L141="","",VLOOKUP($L141,classifications!$C:$E,3,FALSE))</f>
        <v>East of England</v>
      </c>
      <c r="AQ141" s="39" t="str">
        <f t="shared" si="66"/>
        <v/>
      </c>
      <c r="AR141" s="34" t="str">
        <f>IF(AQ141="","",IF(I$8="A",(RANK(AQ141,AQ$11:AQ$368,1)+COUNTIF(AQ$11:AQ141,AQ141)-1),(RANK(AQ141,AQ$11:AQ$368)+COUNTIF(AQ$11:AQ141,AQ141)-1)))</f>
        <v/>
      </c>
      <c r="AS141" s="29" t="str">
        <f t="shared" si="67"/>
        <v/>
      </c>
      <c r="AT141" s="34" t="str">
        <f t="shared" si="58"/>
        <v/>
      </c>
      <c r="AU141" s="39" t="str">
        <f t="shared" si="48"/>
        <v/>
      </c>
      <c r="AX141" s="21">
        <f>HLOOKUP($AX$9&amp;$AX$10,Data!$A$1:$ZZ$2000,(MATCH($C141,Data!$A$1:$A$2000,0)),FALSE)</f>
        <v>82.821474190105661</v>
      </c>
      <c r="AY141" s="103"/>
      <c r="AZ141" s="21"/>
    </row>
    <row r="142" spans="1:52">
      <c r="A142" s="56" t="str">
        <f>$D$1&amp;132</f>
        <v>SD132</v>
      </c>
      <c r="B142" s="57">
        <f>IF(ISERROR(VLOOKUP(A142,classifications!A:C,3,FALSE)),0,VLOOKUP(A142,classifications!A:C,3,FALSE))</f>
        <v>0</v>
      </c>
      <c r="C142" s="8" t="s">
        <v>80</v>
      </c>
      <c r="D142" s="26" t="str">
        <f>VLOOKUP($C142,classifications!$C:$J,4,FALSE)</f>
        <v>SD</v>
      </c>
      <c r="E142" s="26">
        <f>VLOOKUP(C142,classifications!C:K,9,FALSE)</f>
        <v>0</v>
      </c>
      <c r="F142" s="36">
        <f t="shared" si="50"/>
        <v>70.591637842088218</v>
      </c>
      <c r="G142" s="71"/>
      <c r="H142" s="37">
        <f t="shared" si="51"/>
        <v>70.591637842088218</v>
      </c>
      <c r="I142" s="77">
        <f>IF(H142="","",IF($I$8="A",(RANK(H142,H$11:H$368,1)+COUNTIF(H$11:H142,H142)-1),(RANK(H142,H$11:H$368)+COUNTIF(H$11:H142,H142)-1)))</f>
        <v>191</v>
      </c>
      <c r="J142" s="35"/>
      <c r="K142" s="28">
        <f t="shared" si="59"/>
        <v>132</v>
      </c>
      <c r="L142" s="36" t="str">
        <f t="shared" si="52"/>
        <v>Basingstoke &amp; Deane</v>
      </c>
      <c r="M142" s="102">
        <f t="shared" si="60"/>
        <v>79.330089108755686</v>
      </c>
      <c r="N142" s="101">
        <f t="shared" si="61"/>
        <v>79.330089108755686</v>
      </c>
      <c r="O142" s="94" t="str">
        <f t="shared" si="53"/>
        <v/>
      </c>
      <c r="P142" s="94" t="str">
        <f t="shared" si="68"/>
        <v/>
      </c>
      <c r="Q142" s="94">
        <f t="shared" si="69"/>
        <v>79.330089108755686</v>
      </c>
      <c r="R142" s="90" t="str">
        <f t="shared" si="70"/>
        <v/>
      </c>
      <c r="S142" s="37" t="str">
        <f t="shared" si="62"/>
        <v/>
      </c>
      <c r="T142" s="176">
        <f>IF(L142="","",VLOOKUP(L142,classifications!C:K,9,FALSE))</f>
        <v>0</v>
      </c>
      <c r="U142" s="183" t="str">
        <f t="shared" si="54"/>
        <v/>
      </c>
      <c r="V142" s="184" t="str">
        <f>IF(U142="","",IF($I$8="A",(RANK(U142,U$11:U$368)+COUNTIF(U$11:U142,U142)-1),(RANK(U142,U$11:U$368,1)+COUNTIF(U$11:U142,U142)-1)))</f>
        <v/>
      </c>
      <c r="W142" s="185"/>
      <c r="X142" s="38" t="str">
        <f>IF(L142="","",VLOOKUP($L142,classifications!$C:$J,6,FALSE))</f>
        <v>Urban with Significant Rural (rural including hub towns 26-49%)</v>
      </c>
      <c r="Y142" s="26" t="str">
        <f t="shared" si="55"/>
        <v/>
      </c>
      <c r="Z142" s="34" t="str">
        <f>IF(Y142="","",IF(I$8="A",(RANK(Y142,Y$11:Y$368,1)+COUNTIF(Y$11:Y142,Y142)-1),(RANK(Y142,Y$11:Y$368)+COUNTIF(Y$11:Y142,Y142)-1)))</f>
        <v/>
      </c>
      <c r="AA142" s="188" t="str">
        <f>IF(L142="","",VLOOKUP($L142,classifications!C:I,7,FALSE))</f>
        <v>Significant Rural</v>
      </c>
      <c r="AB142" s="184" t="str">
        <f t="shared" si="63"/>
        <v/>
      </c>
      <c r="AC142" s="184" t="str">
        <f>IF(AB142="","",IF($I$8="A",(RANK(AB142,AB$11:AB$368)+COUNTIF(AB$11:AB142,AB142)-1),(RANK(AB142,AB$11:AB$368,1)+COUNTIF(AB$11:AB142,AB142)-1)))</f>
        <v/>
      </c>
      <c r="AD142" s="184"/>
      <c r="AE142" s="28" t="str">
        <f t="shared" si="49"/>
        <v/>
      </c>
      <c r="AG142" s="96"/>
      <c r="AH142" s="29"/>
      <c r="AI142" s="38" t="str">
        <f>IF(L142="","",VLOOKUP($L142,classifications!$C:$J,8,FALSE))</f>
        <v>Hampshire</v>
      </c>
      <c r="AJ142" s="39" t="str">
        <f t="shared" si="56"/>
        <v/>
      </c>
      <c r="AK142" s="34" t="str">
        <f>IF(AJ142="","",IF(I$8="A",(RANK(AJ142,AJ$11:AJ$368,1)+COUNTIF(AJ$11:AJ142,AJ142)-1),(RANK(AJ142,AJ$11:AJ$368)+COUNTIF(AJ$11:AJ142,AJ142)-1)))</f>
        <v/>
      </c>
      <c r="AL142" s="29" t="str">
        <f t="shared" si="64"/>
        <v/>
      </c>
      <c r="AM142" s="8" t="str">
        <f t="shared" si="57"/>
        <v/>
      </c>
      <c r="AN142" s="8" t="str">
        <f t="shared" si="65"/>
        <v/>
      </c>
      <c r="AP142" s="38" t="str">
        <f>IF(L142="","",VLOOKUP($L142,classifications!$C:$E,3,FALSE))</f>
        <v>South East</v>
      </c>
      <c r="AQ142" s="39" t="str">
        <f t="shared" si="66"/>
        <v/>
      </c>
      <c r="AR142" s="34" t="str">
        <f>IF(AQ142="","",IF(I$8="A",(RANK(AQ142,AQ$11:AQ$368,1)+COUNTIF(AQ$11:AQ142,AQ142)-1),(RANK(AQ142,AQ$11:AQ$368)+COUNTIF(AQ$11:AQ142,AQ142)-1)))</f>
        <v/>
      </c>
      <c r="AS142" s="29" t="str">
        <f t="shared" si="67"/>
        <v/>
      </c>
      <c r="AT142" s="34" t="str">
        <f t="shared" si="58"/>
        <v/>
      </c>
      <c r="AU142" s="39" t="str">
        <f t="shared" si="48"/>
        <v/>
      </c>
      <c r="AX142" s="21">
        <f>HLOOKUP($AX$9&amp;$AX$10,Data!$A$1:$ZZ$2000,(MATCH($C142,Data!$A$1:$A$2000,0)),FALSE)</f>
        <v>70.591637842088218</v>
      </c>
      <c r="AY142" s="103"/>
      <c r="AZ142" s="21"/>
    </row>
    <row r="143" spans="1:52">
      <c r="A143" s="56" t="str">
        <f>$D$1&amp;133</f>
        <v>SD133</v>
      </c>
      <c r="B143" s="57">
        <f>IF(ISERROR(VLOOKUP(A143,classifications!A:C,3,FALSE)),0,VLOOKUP(A143,classifications!A:C,3,FALSE))</f>
        <v>0</v>
      </c>
      <c r="C143" s="8" t="s">
        <v>81</v>
      </c>
      <c r="D143" s="26" t="str">
        <f>VLOOKUP($C143,classifications!$C:$J,4,FALSE)</f>
        <v>SD</v>
      </c>
      <c r="E143" s="26" t="str">
        <f>VLOOKUP(C143,classifications!C:K,9,FALSE)</f>
        <v>Sparse</v>
      </c>
      <c r="F143" s="36">
        <f t="shared" si="50"/>
        <v>84.940364870534182</v>
      </c>
      <c r="G143" s="71"/>
      <c r="H143" s="37">
        <f t="shared" si="51"/>
        <v>84.940364870534182</v>
      </c>
      <c r="I143" s="77">
        <f>IF(H143="","",IF($I$8="A",(RANK(H143,H$11:H$368,1)+COUNTIF(H$11:H143,H143)-1),(RANK(H143,H$11:H$368)+COUNTIF(H$11:H143,H143)-1)))</f>
        <v>31</v>
      </c>
      <c r="J143" s="35"/>
      <c r="K143" s="28">
        <f t="shared" si="59"/>
        <v>133</v>
      </c>
      <c r="L143" s="36" t="str">
        <f t="shared" si="52"/>
        <v>Huntingdonshire</v>
      </c>
      <c r="M143" s="102">
        <f t="shared" si="60"/>
        <v>79.285588018207903</v>
      </c>
      <c r="N143" s="101">
        <f t="shared" si="61"/>
        <v>79.285588018207903</v>
      </c>
      <c r="O143" s="94" t="str">
        <f t="shared" si="53"/>
        <v/>
      </c>
      <c r="P143" s="94" t="str">
        <f t="shared" si="68"/>
        <v/>
      </c>
      <c r="Q143" s="94">
        <f t="shared" si="69"/>
        <v>79.285588018207903</v>
      </c>
      <c r="R143" s="90" t="str">
        <f t="shared" si="70"/>
        <v/>
      </c>
      <c r="S143" s="37" t="str">
        <f t="shared" si="62"/>
        <v/>
      </c>
      <c r="T143" s="176" t="str">
        <f>IF(L143="","",VLOOKUP(L143,classifications!C:K,9,FALSE))</f>
        <v>Sparse</v>
      </c>
      <c r="U143" s="183">
        <f t="shared" si="54"/>
        <v>79.285588018207903</v>
      </c>
      <c r="V143" s="184">
        <f>IF(U143="","",IF($I$8="A",(RANK(U143,U$11:U$368)+COUNTIF(U$11:U143,U143)-1),(RANK(U143,U$11:U$368,1)+COUNTIF(U$11:U143,U143)-1)))</f>
        <v>18</v>
      </c>
      <c r="W143" s="185"/>
      <c r="X143" s="38" t="str">
        <f>IF(L143="","",VLOOKUP($L143,classifications!$C:$J,6,FALSE))</f>
        <v xml:space="preserve">Mainly Rural (rural including hub towns &gt;=80%) </v>
      </c>
      <c r="Y143" s="26">
        <f t="shared" si="55"/>
        <v>79.285588018207903</v>
      </c>
      <c r="Z143" s="34">
        <f>IF(Y143="","",IF(I$8="A",(RANK(Y143,Y$11:Y$368,1)+COUNTIF(Y$11:Y143,Y143)-1),(RANK(Y143,Y$11:Y$368)+COUNTIF(Y$11:Y143,Y143)-1)))</f>
        <v>33</v>
      </c>
      <c r="AA143" s="188" t="str">
        <f>IF(L143="","",VLOOKUP($L143,classifications!C:I,7,FALSE))</f>
        <v>Predominantly Rural</v>
      </c>
      <c r="AB143" s="184">
        <f t="shared" si="63"/>
        <v>79.285588018207903</v>
      </c>
      <c r="AC143" s="184">
        <f>IF(AB143="","",IF($I$8="A",(RANK(AB143,AB$11:AB$368)+COUNTIF(AB$11:AB143,AB143)-1),(RANK(AB143,AB$11:AB$368,1)+COUNTIF(AB$11:AB143,AB143)-1)))</f>
        <v>19</v>
      </c>
      <c r="AD143" s="184"/>
      <c r="AE143" s="28" t="str">
        <f t="shared" si="49"/>
        <v/>
      </c>
      <c r="AG143" s="96"/>
      <c r="AH143" s="29"/>
      <c r="AI143" s="38" t="str">
        <f>IF(L143="","",VLOOKUP($L143,classifications!$C:$J,8,FALSE))</f>
        <v>Cambridgeshire</v>
      </c>
      <c r="AJ143" s="39" t="str">
        <f t="shared" si="56"/>
        <v/>
      </c>
      <c r="AK143" s="34" t="str">
        <f>IF(AJ143="","",IF(I$8="A",(RANK(AJ143,AJ$11:AJ$368,1)+COUNTIF(AJ$11:AJ143,AJ143)-1),(RANK(AJ143,AJ$11:AJ$368)+COUNTIF(AJ$11:AJ143,AJ143)-1)))</f>
        <v/>
      </c>
      <c r="AL143" s="29" t="str">
        <f t="shared" si="64"/>
        <v/>
      </c>
      <c r="AM143" s="8" t="str">
        <f t="shared" si="57"/>
        <v/>
      </c>
      <c r="AN143" s="8" t="str">
        <f t="shared" si="65"/>
        <v/>
      </c>
      <c r="AP143" s="38" t="str">
        <f>IF(L143="","",VLOOKUP($L143,classifications!$C:$E,3,FALSE))</f>
        <v>East of England</v>
      </c>
      <c r="AQ143" s="39" t="str">
        <f t="shared" si="66"/>
        <v/>
      </c>
      <c r="AR143" s="34" t="str">
        <f>IF(AQ143="","",IF(I$8="A",(RANK(AQ143,AQ$11:AQ$368,1)+COUNTIF(AQ$11:AQ143,AQ143)-1),(RANK(AQ143,AQ$11:AQ$368)+COUNTIF(AQ$11:AQ143,AQ143)-1)))</f>
        <v/>
      </c>
      <c r="AS143" s="29" t="str">
        <f t="shared" si="67"/>
        <v/>
      </c>
      <c r="AT143" s="34" t="str">
        <f t="shared" si="58"/>
        <v/>
      </c>
      <c r="AU143" s="39" t="str">
        <f t="shared" si="48"/>
        <v/>
      </c>
      <c r="AX143" s="21">
        <f>HLOOKUP($AX$9&amp;$AX$10,Data!$A$1:$ZZ$2000,(MATCH($C143,Data!$A$1:$A$2000,0)),FALSE)</f>
        <v>84.940364870534182</v>
      </c>
      <c r="AY143" s="103"/>
      <c r="AZ143" s="21"/>
    </row>
    <row r="144" spans="1:52">
      <c r="A144" s="56" t="str">
        <f>$D$1&amp;134</f>
        <v>SD134</v>
      </c>
      <c r="B144" s="57">
        <f>IF(ISERROR(VLOOKUP(A144,classifications!A:C,3,FALSE)),0,VLOOKUP(A144,classifications!A:C,3,FALSE))</f>
        <v>0</v>
      </c>
      <c r="C144" s="8" t="s">
        <v>207</v>
      </c>
      <c r="D144" s="26" t="str">
        <f>VLOOKUP($C144,classifications!$C:$J,4,FALSE)</f>
        <v>L</v>
      </c>
      <c r="E144" s="26">
        <f>VLOOKUP(C144,classifications!C:K,9,FALSE)</f>
        <v>0</v>
      </c>
      <c r="F144" s="36">
        <f t="shared" si="50"/>
        <v>77.650688809818234</v>
      </c>
      <c r="G144" s="71"/>
      <c r="H144" s="37" t="str">
        <f t="shared" si="51"/>
        <v/>
      </c>
      <c r="I144" s="77" t="str">
        <f>IF(H144="","",IF($I$8="A",(RANK(H144,H$11:H$368,1)+COUNTIF(H$11:H144,H144)-1),(RANK(H144,H$11:H$368)+COUNTIF(H$11:H144,H144)-1)))</f>
        <v/>
      </c>
      <c r="J144" s="35"/>
      <c r="K144" s="28">
        <f t="shared" si="59"/>
        <v>134</v>
      </c>
      <c r="L144" s="36" t="str">
        <f t="shared" si="52"/>
        <v>Tandridge</v>
      </c>
      <c r="M144" s="102">
        <f t="shared" si="60"/>
        <v>79.266523104778315</v>
      </c>
      <c r="N144" s="101">
        <f t="shared" si="61"/>
        <v>79.266523104778315</v>
      </c>
      <c r="O144" s="94" t="str">
        <f t="shared" si="53"/>
        <v/>
      </c>
      <c r="P144" s="94" t="str">
        <f t="shared" si="68"/>
        <v/>
      </c>
      <c r="Q144" s="94">
        <f t="shared" si="69"/>
        <v>79.266523104778315</v>
      </c>
      <c r="R144" s="90" t="str">
        <f t="shared" si="70"/>
        <v/>
      </c>
      <c r="S144" s="37" t="str">
        <f t="shared" si="62"/>
        <v/>
      </c>
      <c r="T144" s="176" t="str">
        <f>IF(L144="","",VLOOKUP(L144,classifications!C:K,9,FALSE))</f>
        <v>Sparse</v>
      </c>
      <c r="U144" s="183">
        <f t="shared" si="54"/>
        <v>79.266523104778315</v>
      </c>
      <c r="V144" s="184">
        <f>IF(U144="","",IF($I$8="A",(RANK(U144,U$11:U$368)+COUNTIF(U$11:U144,U144)-1),(RANK(U144,U$11:U$368,1)+COUNTIF(U$11:U144,U144)-1)))</f>
        <v>17</v>
      </c>
      <c r="W144" s="185"/>
      <c r="X144" s="38" t="str">
        <f>IF(L144="","",VLOOKUP($L144,classifications!$C:$J,6,FALSE))</f>
        <v>Urban with Significant Rural (rural including hub towns 26-49%)</v>
      </c>
      <c r="Y144" s="26" t="str">
        <f t="shared" si="55"/>
        <v/>
      </c>
      <c r="Z144" s="34" t="str">
        <f>IF(Y144="","",IF(I$8="A",(RANK(Y144,Y$11:Y$368,1)+COUNTIF(Y$11:Y144,Y144)-1),(RANK(Y144,Y$11:Y$368)+COUNTIF(Y$11:Y144,Y144)-1)))</f>
        <v/>
      </c>
      <c r="AA144" s="188" t="str">
        <f>IF(L144="","",VLOOKUP($L144,classifications!C:I,7,FALSE))</f>
        <v>Significant Rural</v>
      </c>
      <c r="AB144" s="184" t="str">
        <f t="shared" si="63"/>
        <v/>
      </c>
      <c r="AC144" s="184" t="str">
        <f>IF(AB144="","",IF($I$8="A",(RANK(AB144,AB$11:AB$368)+COUNTIF(AB$11:AB144,AB144)-1),(RANK(AB144,AB$11:AB$368,1)+COUNTIF(AB$11:AB144,AB144)-1)))</f>
        <v/>
      </c>
      <c r="AD144" s="184"/>
      <c r="AE144" s="28" t="str">
        <f t="shared" si="49"/>
        <v/>
      </c>
      <c r="AG144" s="96"/>
      <c r="AH144" s="29"/>
      <c r="AI144" s="38" t="str">
        <f>IF(L144="","",VLOOKUP($L144,classifications!$C:$J,8,FALSE))</f>
        <v>Surrey</v>
      </c>
      <c r="AJ144" s="39" t="str">
        <f t="shared" si="56"/>
        <v/>
      </c>
      <c r="AK144" s="34" t="str">
        <f>IF(AJ144="","",IF(I$8="A",(RANK(AJ144,AJ$11:AJ$368,1)+COUNTIF(AJ$11:AJ144,AJ144)-1),(RANK(AJ144,AJ$11:AJ$368)+COUNTIF(AJ$11:AJ144,AJ144)-1)))</f>
        <v/>
      </c>
      <c r="AL144" s="29" t="str">
        <f t="shared" si="64"/>
        <v/>
      </c>
      <c r="AM144" s="8" t="str">
        <f t="shared" si="57"/>
        <v/>
      </c>
      <c r="AN144" s="8" t="str">
        <f t="shared" si="65"/>
        <v/>
      </c>
      <c r="AP144" s="38" t="str">
        <f>IF(L144="","",VLOOKUP($L144,classifications!$C:$E,3,FALSE))</f>
        <v>South East</v>
      </c>
      <c r="AQ144" s="39" t="str">
        <f t="shared" si="66"/>
        <v/>
      </c>
      <c r="AR144" s="34" t="str">
        <f>IF(AQ144="","",IF(I$8="A",(RANK(AQ144,AQ$11:AQ$368,1)+COUNTIF(AQ$11:AQ144,AQ144)-1),(RANK(AQ144,AQ$11:AQ$368)+COUNTIF(AQ$11:AQ144,AQ144)-1)))</f>
        <v/>
      </c>
      <c r="AS144" s="29" t="str">
        <f t="shared" si="67"/>
        <v/>
      </c>
      <c r="AT144" s="34" t="str">
        <f t="shared" si="58"/>
        <v/>
      </c>
      <c r="AU144" s="39" t="str">
        <f t="shared" si="48"/>
        <v/>
      </c>
      <c r="AX144" s="21">
        <f>HLOOKUP($AX$9&amp;$AX$10,Data!$A$1:$ZZ$2000,(MATCH($C144,Data!$A$1:$A$2000,0)),FALSE)</f>
        <v>77.650688809818234</v>
      </c>
      <c r="AY144" s="103"/>
      <c r="AZ144" s="21"/>
    </row>
    <row r="145" spans="1:52">
      <c r="A145" s="56" t="str">
        <f>$D$1&amp;135</f>
        <v>SD135</v>
      </c>
      <c r="B145" s="57">
        <f>IF(ISERROR(VLOOKUP(A145,classifications!A:C,3,FALSE)),0,VLOOKUP(A145,classifications!A:C,3,FALSE))</f>
        <v>0</v>
      </c>
      <c r="C145" s="8" t="s">
        <v>82</v>
      </c>
      <c r="D145" s="26" t="str">
        <f>VLOOKUP($C145,classifications!$C:$J,4,FALSE)</f>
        <v>SD</v>
      </c>
      <c r="E145" s="26">
        <f>VLOOKUP(C145,classifications!C:K,9,FALSE)</f>
        <v>0</v>
      </c>
      <c r="F145" s="36">
        <f t="shared" si="50"/>
        <v>82.701001066661945</v>
      </c>
      <c r="G145" s="71"/>
      <c r="H145" s="37">
        <f t="shared" si="51"/>
        <v>82.701001066661945</v>
      </c>
      <c r="I145" s="77">
        <f>IF(H145="","",IF($I$8="A",(RANK(H145,H$11:H$368,1)+COUNTIF(H$11:H145,H145)-1),(RANK(H145,H$11:H$368)+COUNTIF(H$11:H145,H145)-1)))</f>
        <v>63</v>
      </c>
      <c r="J145" s="35"/>
      <c r="K145" s="28">
        <f t="shared" si="59"/>
        <v>135</v>
      </c>
      <c r="L145" s="36" t="str">
        <f t="shared" si="52"/>
        <v>Selby</v>
      </c>
      <c r="M145" s="102">
        <f t="shared" si="60"/>
        <v>79.19619175087098</v>
      </c>
      <c r="N145" s="101">
        <f t="shared" si="61"/>
        <v>79.19619175087098</v>
      </c>
      <c r="O145" s="94" t="str">
        <f t="shared" si="53"/>
        <v/>
      </c>
      <c r="P145" s="94" t="str">
        <f t="shared" si="68"/>
        <v/>
      </c>
      <c r="Q145" s="94">
        <f t="shared" si="69"/>
        <v>79.19619175087098</v>
      </c>
      <c r="R145" s="90" t="str">
        <f t="shared" si="70"/>
        <v/>
      </c>
      <c r="S145" s="37" t="str">
        <f t="shared" si="62"/>
        <v/>
      </c>
      <c r="T145" s="176" t="str">
        <f>IF(L145="","",VLOOKUP(L145,classifications!C:K,9,FALSE))</f>
        <v>Sparse</v>
      </c>
      <c r="U145" s="183">
        <f t="shared" si="54"/>
        <v>79.19619175087098</v>
      </c>
      <c r="V145" s="184">
        <f>IF(U145="","",IF($I$8="A",(RANK(U145,U$11:U$368)+COUNTIF(U$11:U145,U145)-1),(RANK(U145,U$11:U$368,1)+COUNTIF(U$11:U145,U145)-1)))</f>
        <v>16</v>
      </c>
      <c r="W145" s="185"/>
      <c r="X145" s="38" t="str">
        <f>IF(L145="","",VLOOKUP($L145,classifications!$C:$J,6,FALSE))</f>
        <v xml:space="preserve">Mainly Rural (rural including hub towns &gt;=80%) </v>
      </c>
      <c r="Y145" s="26">
        <f t="shared" si="55"/>
        <v>79.19619175087098</v>
      </c>
      <c r="Z145" s="34">
        <f>IF(Y145="","",IF(I$8="A",(RANK(Y145,Y$11:Y$368,1)+COUNTIF(Y$11:Y145,Y145)-1),(RANK(Y145,Y$11:Y$368)+COUNTIF(Y$11:Y145,Y145)-1)))</f>
        <v>34</v>
      </c>
      <c r="AA145" s="188" t="str">
        <f>IF(L145="","",VLOOKUP($L145,classifications!C:I,7,FALSE))</f>
        <v>Predominantly Rural</v>
      </c>
      <c r="AB145" s="184">
        <f t="shared" si="63"/>
        <v>79.19619175087098</v>
      </c>
      <c r="AC145" s="184">
        <f>IF(AB145="","",IF($I$8="A",(RANK(AB145,AB$11:AB$368)+COUNTIF(AB$11:AB145,AB145)-1),(RANK(AB145,AB$11:AB$368,1)+COUNTIF(AB$11:AB145,AB145)-1)))</f>
        <v>18</v>
      </c>
      <c r="AD145" s="184"/>
      <c r="AE145" s="28" t="str">
        <f t="shared" si="49"/>
        <v/>
      </c>
      <c r="AG145" s="96"/>
      <c r="AH145" s="29"/>
      <c r="AI145" s="38" t="str">
        <f>IF(L145="","",VLOOKUP($L145,classifications!$C:$J,8,FALSE))</f>
        <v>North Yorkshire</v>
      </c>
      <c r="AJ145" s="39" t="str">
        <f t="shared" si="56"/>
        <v/>
      </c>
      <c r="AK145" s="34" t="str">
        <f>IF(AJ145="","",IF(I$8="A",(RANK(AJ145,AJ$11:AJ$368,1)+COUNTIF(AJ$11:AJ145,AJ145)-1),(RANK(AJ145,AJ$11:AJ$368)+COUNTIF(AJ$11:AJ145,AJ145)-1)))</f>
        <v/>
      </c>
      <c r="AL145" s="29" t="str">
        <f t="shared" si="64"/>
        <v/>
      </c>
      <c r="AM145" s="8" t="str">
        <f t="shared" si="57"/>
        <v/>
      </c>
      <c r="AN145" s="8" t="str">
        <f t="shared" si="65"/>
        <v/>
      </c>
      <c r="AP145" s="38" t="str">
        <f>IF(L145="","",VLOOKUP($L145,classifications!$C:$E,3,FALSE))</f>
        <v>Yorkshire &amp; Humberside</v>
      </c>
      <c r="AQ145" s="39" t="str">
        <f t="shared" si="66"/>
        <v/>
      </c>
      <c r="AR145" s="34" t="str">
        <f>IF(AQ145="","",IF(I$8="A",(RANK(AQ145,AQ$11:AQ$368,1)+COUNTIF(AQ$11:AQ145,AQ145)-1),(RANK(AQ145,AQ$11:AQ$368)+COUNTIF(AQ$11:AQ145,AQ145)-1)))</f>
        <v/>
      </c>
      <c r="AS145" s="29" t="str">
        <f t="shared" si="67"/>
        <v/>
      </c>
      <c r="AT145" s="34" t="str">
        <f t="shared" si="58"/>
        <v/>
      </c>
      <c r="AU145" s="39" t="str">
        <f t="shared" si="48"/>
        <v/>
      </c>
      <c r="AX145" s="21">
        <f>HLOOKUP($AX$9&amp;$AX$10,Data!$A$1:$ZZ$2000,(MATCH($C145,Data!$A$1:$A$2000,0)),FALSE)</f>
        <v>82.701001066661945</v>
      </c>
      <c r="AY145" s="103"/>
      <c r="AZ145" s="21"/>
    </row>
    <row r="146" spans="1:52">
      <c r="A146" s="56" t="str">
        <f>$D$1&amp;136</f>
        <v>SD136</v>
      </c>
      <c r="B146" s="57">
        <f>IF(ISERROR(VLOOKUP(A146,classifications!A:C,3,FALSE)),0,VLOOKUP(A146,classifications!A:C,3,FALSE))</f>
        <v>0</v>
      </c>
      <c r="C146" s="8" t="s">
        <v>269</v>
      </c>
      <c r="D146" s="26" t="str">
        <f>VLOOKUP($C146,classifications!$C:$J,4,FALSE)</f>
        <v>UA</v>
      </c>
      <c r="E146" s="26">
        <f>VLOOKUP(C146,classifications!C:K,9,FALSE)</f>
        <v>0</v>
      </c>
      <c r="F146" s="36">
        <f t="shared" si="50"/>
        <v>71.707763932565882</v>
      </c>
      <c r="G146" s="71"/>
      <c r="H146" s="37" t="str">
        <f t="shared" si="51"/>
        <v/>
      </c>
      <c r="I146" s="77" t="str">
        <f>IF(H146="","",IF($I$8="A",(RANK(H146,H$11:H$368,1)+COUNTIF(H$11:H146,H146)-1),(RANK(H146,H$11:H$368)+COUNTIF(H$11:H146,H146)-1)))</f>
        <v/>
      </c>
      <c r="J146" s="35"/>
      <c r="K146" s="28">
        <f t="shared" si="59"/>
        <v>136</v>
      </c>
      <c r="L146" s="36" t="str">
        <f t="shared" si="52"/>
        <v>Tendring</v>
      </c>
      <c r="M146" s="102">
        <f t="shared" si="60"/>
        <v>78.956322709094479</v>
      </c>
      <c r="N146" s="101">
        <f t="shared" si="61"/>
        <v>78.956322709094479</v>
      </c>
      <c r="O146" s="94" t="str">
        <f t="shared" si="53"/>
        <v/>
      </c>
      <c r="P146" s="94" t="str">
        <f t="shared" si="68"/>
        <v/>
      </c>
      <c r="Q146" s="94">
        <f t="shared" si="69"/>
        <v>78.956322709094479</v>
      </c>
      <c r="R146" s="90" t="str">
        <f t="shared" si="70"/>
        <v/>
      </c>
      <c r="S146" s="37" t="str">
        <f t="shared" si="62"/>
        <v/>
      </c>
      <c r="T146" s="176">
        <f>IF(L146="","",VLOOKUP(L146,classifications!C:K,9,FALSE))</f>
        <v>0</v>
      </c>
      <c r="U146" s="183" t="str">
        <f t="shared" si="54"/>
        <v/>
      </c>
      <c r="V146" s="184" t="str">
        <f>IF(U146="","",IF($I$8="A",(RANK(U146,U$11:U$368)+COUNTIF(U$11:U146,U146)-1),(RANK(U146,U$11:U$368,1)+COUNTIF(U$11:U146,U146)-1)))</f>
        <v/>
      </c>
      <c r="W146" s="185"/>
      <c r="X146" s="38" t="str">
        <f>IF(L146="","",VLOOKUP($L146,classifications!$C:$J,6,FALSE))</f>
        <v xml:space="preserve">Largely Rural (rural including hub towns 50-79%) </v>
      </c>
      <c r="Y146" s="26" t="str">
        <f t="shared" si="55"/>
        <v/>
      </c>
      <c r="Z146" s="34" t="str">
        <f>IF(Y146="","",IF(I$8="A",(RANK(Y146,Y$11:Y$368,1)+COUNTIF(Y$11:Y146,Y146)-1),(RANK(Y146,Y$11:Y$368)+COUNTIF(Y$11:Y146,Y146)-1)))</f>
        <v/>
      </c>
      <c r="AA146" s="188" t="str">
        <f>IF(L146="","",VLOOKUP($L146,classifications!C:I,7,FALSE))</f>
        <v>Predominantly Rural</v>
      </c>
      <c r="AB146" s="184">
        <f t="shared" si="63"/>
        <v>78.956322709094479</v>
      </c>
      <c r="AC146" s="184">
        <f>IF(AB146="","",IF($I$8="A",(RANK(AB146,AB$11:AB$368)+COUNTIF(AB$11:AB146,AB146)-1),(RANK(AB146,AB$11:AB$368,1)+COUNTIF(AB$11:AB146,AB146)-1)))</f>
        <v>17</v>
      </c>
      <c r="AD146" s="184"/>
      <c r="AE146" s="28" t="str">
        <f t="shared" si="49"/>
        <v/>
      </c>
      <c r="AG146" s="96"/>
      <c r="AH146" s="29"/>
      <c r="AI146" s="38" t="str">
        <f>IF(L146="","",VLOOKUP($L146,classifications!$C:$J,8,FALSE))</f>
        <v>Essex</v>
      </c>
      <c r="AJ146" s="39" t="str">
        <f t="shared" si="56"/>
        <v/>
      </c>
      <c r="AK146" s="34" t="str">
        <f>IF(AJ146="","",IF(I$8="A",(RANK(AJ146,AJ$11:AJ$368,1)+COUNTIF(AJ$11:AJ146,AJ146)-1),(RANK(AJ146,AJ$11:AJ$368)+COUNTIF(AJ$11:AJ146,AJ146)-1)))</f>
        <v/>
      </c>
      <c r="AL146" s="29" t="str">
        <f t="shared" si="64"/>
        <v/>
      </c>
      <c r="AM146" s="8" t="str">
        <f t="shared" si="57"/>
        <v/>
      </c>
      <c r="AN146" s="8" t="str">
        <f t="shared" si="65"/>
        <v/>
      </c>
      <c r="AP146" s="38" t="str">
        <f>IF(L146="","",VLOOKUP($L146,classifications!$C:$E,3,FALSE))</f>
        <v>East of England</v>
      </c>
      <c r="AQ146" s="39" t="str">
        <f t="shared" si="66"/>
        <v/>
      </c>
      <c r="AR146" s="34" t="str">
        <f>IF(AQ146="","",IF(I$8="A",(RANK(AQ146,AQ$11:AQ$368,1)+COUNTIF(AQ$11:AQ146,AQ146)-1),(RANK(AQ146,AQ$11:AQ$368)+COUNTIF(AQ$11:AQ146,AQ146)-1)))</f>
        <v/>
      </c>
      <c r="AS146" s="29" t="str">
        <f t="shared" si="67"/>
        <v/>
      </c>
      <c r="AT146" s="34" t="str">
        <f t="shared" si="58"/>
        <v/>
      </c>
      <c r="AU146" s="39" t="str">
        <f t="shared" ref="AU146:AU209" si="71">IF(AT146="","",VLOOKUP(AT146,L:M,2,FALSE))</f>
        <v/>
      </c>
      <c r="AX146" s="21">
        <f>HLOOKUP($AX$9&amp;$AX$10,Data!$A$1:$ZZ$2000,(MATCH($C146,Data!$A$1:$A$2000,0)),FALSE)</f>
        <v>71.707763932565882</v>
      </c>
      <c r="AY146" s="103"/>
      <c r="AZ146" s="21"/>
    </row>
    <row r="147" spans="1:52">
      <c r="A147" s="56" t="str">
        <f>$D$1&amp;137</f>
        <v>SD137</v>
      </c>
      <c r="B147" s="57">
        <f>IF(ISERROR(VLOOKUP(A147,classifications!A:C,3,FALSE)),0,VLOOKUP(A147,classifications!A:C,3,FALSE))</f>
        <v>0</v>
      </c>
      <c r="C147" s="8" t="s">
        <v>83</v>
      </c>
      <c r="D147" s="26" t="str">
        <f>VLOOKUP($C147,classifications!$C:$J,4,FALSE)</f>
        <v>SD</v>
      </c>
      <c r="E147" s="26">
        <f>VLOOKUP(C147,classifications!C:K,9,FALSE)</f>
        <v>0</v>
      </c>
      <c r="F147" s="36">
        <f t="shared" si="50"/>
        <v>79.634605853074532</v>
      </c>
      <c r="G147" s="71"/>
      <c r="H147" s="37">
        <f t="shared" si="51"/>
        <v>79.634605853074532</v>
      </c>
      <c r="I147" s="77">
        <f>IF(H147="","",IF($I$8="A",(RANK(H147,H$11:H$368,1)+COUNTIF(H$11:H147,H147)-1),(RANK(H147,H$11:H$368)+COUNTIF(H$11:H147,H147)-1)))</f>
        <v>124</v>
      </c>
      <c r="J147" s="35"/>
      <c r="K147" s="28">
        <f t="shared" si="59"/>
        <v>137</v>
      </c>
      <c r="L147" s="36" t="str">
        <f t="shared" si="52"/>
        <v>Newark &amp; Sherwood</v>
      </c>
      <c r="M147" s="102">
        <f t="shared" si="60"/>
        <v>78.883653322357262</v>
      </c>
      <c r="N147" s="101">
        <f t="shared" si="61"/>
        <v>78.883653322357262</v>
      </c>
      <c r="O147" s="94" t="str">
        <f t="shared" si="53"/>
        <v/>
      </c>
      <c r="P147" s="94" t="str">
        <f t="shared" si="68"/>
        <v/>
      </c>
      <c r="Q147" s="94">
        <f t="shared" si="69"/>
        <v>78.883653322357262</v>
      </c>
      <c r="R147" s="90" t="str">
        <f t="shared" si="70"/>
        <v/>
      </c>
      <c r="S147" s="37" t="str">
        <f t="shared" si="62"/>
        <v/>
      </c>
      <c r="T147" s="176" t="str">
        <f>IF(L147="","",VLOOKUP(L147,classifications!C:K,9,FALSE))</f>
        <v>Sparse</v>
      </c>
      <c r="U147" s="183">
        <f t="shared" si="54"/>
        <v>78.883653322357262</v>
      </c>
      <c r="V147" s="184">
        <f>IF(U147="","",IF($I$8="A",(RANK(U147,U$11:U$368)+COUNTIF(U$11:U147,U147)-1),(RANK(U147,U$11:U$368,1)+COUNTIF(U$11:U147,U147)-1)))</f>
        <v>15</v>
      </c>
      <c r="W147" s="185"/>
      <c r="X147" s="38" t="str">
        <f>IF(L147="","",VLOOKUP($L147,classifications!$C:$J,6,FALSE))</f>
        <v xml:space="preserve">Largely Rural (rural including hub towns 50-79%) </v>
      </c>
      <c r="Y147" s="26" t="str">
        <f t="shared" si="55"/>
        <v/>
      </c>
      <c r="Z147" s="34" t="str">
        <f>IF(Y147="","",IF(I$8="A",(RANK(Y147,Y$11:Y$368,1)+COUNTIF(Y$11:Y147,Y147)-1),(RANK(Y147,Y$11:Y$368)+COUNTIF(Y$11:Y147,Y147)-1)))</f>
        <v/>
      </c>
      <c r="AA147" s="188" t="str">
        <f>IF(L147="","",VLOOKUP($L147,classifications!C:I,7,FALSE))</f>
        <v>Predominantly Rural</v>
      </c>
      <c r="AB147" s="184">
        <f t="shared" si="63"/>
        <v>78.883653322357262</v>
      </c>
      <c r="AC147" s="184">
        <f>IF(AB147="","",IF($I$8="A",(RANK(AB147,AB$11:AB$368)+COUNTIF(AB$11:AB147,AB147)-1),(RANK(AB147,AB$11:AB$368,1)+COUNTIF(AB$11:AB147,AB147)-1)))</f>
        <v>16</v>
      </c>
      <c r="AD147" s="184"/>
      <c r="AE147" s="28" t="str">
        <f t="shared" si="49"/>
        <v/>
      </c>
      <c r="AG147" s="96"/>
      <c r="AH147" s="29"/>
      <c r="AI147" s="38" t="str">
        <f>IF(L147="","",VLOOKUP($L147,classifications!$C:$J,8,FALSE))</f>
        <v>Nottinghamshire</v>
      </c>
      <c r="AJ147" s="39" t="str">
        <f t="shared" si="56"/>
        <v/>
      </c>
      <c r="AK147" s="34" t="str">
        <f>IF(AJ147="","",IF(I$8="A",(RANK(AJ147,AJ$11:AJ$368,1)+COUNTIF(AJ$11:AJ147,AJ147)-1),(RANK(AJ147,AJ$11:AJ$368)+COUNTIF(AJ$11:AJ147,AJ147)-1)))</f>
        <v/>
      </c>
      <c r="AL147" s="29" t="str">
        <f t="shared" si="64"/>
        <v/>
      </c>
      <c r="AM147" s="8" t="str">
        <f t="shared" si="57"/>
        <v/>
      </c>
      <c r="AN147" s="8" t="str">
        <f t="shared" si="65"/>
        <v/>
      </c>
      <c r="AP147" s="38" t="str">
        <f>IF(L147="","",VLOOKUP($L147,classifications!$C:$E,3,FALSE))</f>
        <v>East Midlands</v>
      </c>
      <c r="AQ147" s="39" t="str">
        <f t="shared" si="66"/>
        <v/>
      </c>
      <c r="AR147" s="34" t="str">
        <f>IF(AQ147="","",IF(I$8="A",(RANK(AQ147,AQ$11:AQ$368,1)+COUNTIF(AQ$11:AQ147,AQ147)-1),(RANK(AQ147,AQ$11:AQ$368)+COUNTIF(AQ$11:AQ147,AQ147)-1)))</f>
        <v/>
      </c>
      <c r="AS147" s="29" t="str">
        <f t="shared" si="67"/>
        <v/>
      </c>
      <c r="AT147" s="34" t="str">
        <f t="shared" si="58"/>
        <v/>
      </c>
      <c r="AU147" s="39" t="str">
        <f t="shared" si="71"/>
        <v/>
      </c>
      <c r="AX147" s="21">
        <f>HLOOKUP($AX$9&amp;$AX$10,Data!$A$1:$ZZ$2000,(MATCH($C147,Data!$A$1:$A$2000,0)),FALSE)</f>
        <v>79.634605853074532</v>
      </c>
      <c r="AY147" s="103"/>
      <c r="AZ147" s="21"/>
    </row>
    <row r="148" spans="1:52">
      <c r="A148" s="56" t="str">
        <f>$D$1&amp;138</f>
        <v>SD138</v>
      </c>
      <c r="B148" s="57">
        <f>IF(ISERROR(VLOOKUP(A148,classifications!A:C,3,FALSE)),0,VLOOKUP(A148,classifications!A:C,3,FALSE))</f>
        <v>0</v>
      </c>
      <c r="C148" s="8" t="s">
        <v>84</v>
      </c>
      <c r="D148" s="26" t="str">
        <f>VLOOKUP($C148,classifications!$C:$J,4,FALSE)</f>
        <v>SD</v>
      </c>
      <c r="E148" s="26">
        <f>VLOOKUP(C148,classifications!C:K,9,FALSE)</f>
        <v>0</v>
      </c>
      <c r="F148" s="36">
        <f t="shared" si="50"/>
        <v>82.982175152784492</v>
      </c>
      <c r="G148" s="71"/>
      <c r="H148" s="37">
        <f t="shared" si="51"/>
        <v>82.982175152784492</v>
      </c>
      <c r="I148" s="77">
        <f>IF(H148="","",IF($I$8="A",(RANK(H148,H$11:H$368,1)+COUNTIF(H$11:H148,H148)-1),(RANK(H148,H$11:H$368)+COUNTIF(H$11:H148,H148)-1)))</f>
        <v>60</v>
      </c>
      <c r="J148" s="35"/>
      <c r="K148" s="28">
        <f t="shared" si="59"/>
        <v>138</v>
      </c>
      <c r="L148" s="36" t="str">
        <f t="shared" si="52"/>
        <v>King's Lynn &amp; West Norfolk</v>
      </c>
      <c r="M148" s="102">
        <f t="shared" si="60"/>
        <v>78.824074242019719</v>
      </c>
      <c r="N148" s="101">
        <f t="shared" si="61"/>
        <v>78.824074242019719</v>
      </c>
      <c r="O148" s="94" t="str">
        <f t="shared" si="53"/>
        <v/>
      </c>
      <c r="P148" s="94" t="str">
        <f t="shared" si="68"/>
        <v/>
      </c>
      <c r="Q148" s="94">
        <f t="shared" si="69"/>
        <v>78.824074242019719</v>
      </c>
      <c r="R148" s="90" t="str">
        <f t="shared" si="70"/>
        <v/>
      </c>
      <c r="S148" s="37" t="str">
        <f t="shared" si="62"/>
        <v/>
      </c>
      <c r="T148" s="176" t="str">
        <f>IF(L148="","",VLOOKUP(L148,classifications!C:K,9,FALSE))</f>
        <v>Sparse</v>
      </c>
      <c r="U148" s="183">
        <f t="shared" si="54"/>
        <v>78.824074242019719</v>
      </c>
      <c r="V148" s="184">
        <f>IF(U148="","",IF($I$8="A",(RANK(U148,U$11:U$368)+COUNTIF(U$11:U148,U148)-1),(RANK(U148,U$11:U$368,1)+COUNTIF(U$11:U148,U148)-1)))</f>
        <v>14</v>
      </c>
      <c r="W148" s="185"/>
      <c r="X148" s="38" t="str">
        <f>IF(L148="","",VLOOKUP($L148,classifications!$C:$J,6,FALSE))</f>
        <v xml:space="preserve">Largely Rural (rural including hub towns 50-79%) </v>
      </c>
      <c r="Y148" s="26" t="str">
        <f t="shared" si="55"/>
        <v/>
      </c>
      <c r="Z148" s="34" t="str">
        <f>IF(Y148="","",IF(I$8="A",(RANK(Y148,Y$11:Y$368,1)+COUNTIF(Y$11:Y148,Y148)-1),(RANK(Y148,Y$11:Y$368)+COUNTIF(Y$11:Y148,Y148)-1)))</f>
        <v/>
      </c>
      <c r="AA148" s="188" t="str">
        <f>IF(L148="","",VLOOKUP($L148,classifications!C:I,7,FALSE))</f>
        <v>Predominantly Rural</v>
      </c>
      <c r="AB148" s="184">
        <f t="shared" si="63"/>
        <v>78.824074242019719</v>
      </c>
      <c r="AC148" s="184">
        <f>IF(AB148="","",IF($I$8="A",(RANK(AB148,AB$11:AB$368)+COUNTIF(AB$11:AB148,AB148)-1),(RANK(AB148,AB$11:AB$368,1)+COUNTIF(AB$11:AB148,AB148)-1)))</f>
        <v>15</v>
      </c>
      <c r="AD148" s="184"/>
      <c r="AE148" s="28" t="str">
        <f t="shared" si="49"/>
        <v/>
      </c>
      <c r="AG148" s="96"/>
      <c r="AH148" s="29"/>
      <c r="AI148" s="38" t="str">
        <f>IF(L148="","",VLOOKUP($L148,classifications!$C:$J,8,FALSE))</f>
        <v>Norfolk</v>
      </c>
      <c r="AJ148" s="39" t="str">
        <f t="shared" si="56"/>
        <v/>
      </c>
      <c r="AK148" s="34" t="str">
        <f>IF(AJ148="","",IF(I$8="A",(RANK(AJ148,AJ$11:AJ$368,1)+COUNTIF(AJ$11:AJ148,AJ148)-1),(RANK(AJ148,AJ$11:AJ$368)+COUNTIF(AJ$11:AJ148,AJ148)-1)))</f>
        <v/>
      </c>
      <c r="AL148" s="29" t="str">
        <f t="shared" si="64"/>
        <v/>
      </c>
      <c r="AM148" s="8" t="str">
        <f t="shared" si="57"/>
        <v/>
      </c>
      <c r="AN148" s="8" t="str">
        <f t="shared" si="65"/>
        <v/>
      </c>
      <c r="AP148" s="38" t="str">
        <f>IF(L148="","",VLOOKUP($L148,classifications!$C:$E,3,FALSE))</f>
        <v>East of England</v>
      </c>
      <c r="AQ148" s="39" t="str">
        <f t="shared" si="66"/>
        <v/>
      </c>
      <c r="AR148" s="34" t="str">
        <f>IF(AQ148="","",IF(I$8="A",(RANK(AQ148,AQ$11:AQ$368,1)+COUNTIF(AQ$11:AQ148,AQ148)-1),(RANK(AQ148,AQ$11:AQ$368)+COUNTIF(AQ$11:AQ148,AQ148)-1)))</f>
        <v/>
      </c>
      <c r="AS148" s="29" t="str">
        <f t="shared" si="67"/>
        <v/>
      </c>
      <c r="AT148" s="34" t="str">
        <f t="shared" si="58"/>
        <v/>
      </c>
      <c r="AU148" s="39" t="str">
        <f t="shared" si="71"/>
        <v/>
      </c>
      <c r="AX148" s="21">
        <f>HLOOKUP($AX$9&amp;$AX$10,Data!$A$1:$ZZ$2000,(MATCH($C148,Data!$A$1:$A$2000,0)),FALSE)</f>
        <v>82.982175152784492</v>
      </c>
      <c r="AY148" s="103"/>
      <c r="AZ148" s="21"/>
    </row>
    <row r="149" spans="1:52">
      <c r="A149" s="56" t="str">
        <f>$D$1&amp;139</f>
        <v>SD139</v>
      </c>
      <c r="B149" s="57">
        <f>IF(ISERROR(VLOOKUP(A149,classifications!A:C,3,FALSE)),0,VLOOKUP(A149,classifications!A:C,3,FALSE))</f>
        <v>0</v>
      </c>
      <c r="C149" s="8" t="s">
        <v>208</v>
      </c>
      <c r="D149" s="26" t="str">
        <f>VLOOKUP($C149,classifications!$C:$J,4,FALSE)</f>
        <v>L</v>
      </c>
      <c r="E149" s="26">
        <f>VLOOKUP(C149,classifications!C:K,9,FALSE)</f>
        <v>0</v>
      </c>
      <c r="F149" s="36">
        <f t="shared" si="50"/>
        <v>81.851695097398334</v>
      </c>
      <c r="G149" s="71"/>
      <c r="H149" s="37" t="str">
        <f t="shared" si="51"/>
        <v/>
      </c>
      <c r="I149" s="77" t="str">
        <f>IF(H149="","",IF($I$8="A",(RANK(H149,H$11:H$368,1)+COUNTIF(H$11:H149,H149)-1),(RANK(H149,H$11:H$368)+COUNTIF(H$11:H149,H149)-1)))</f>
        <v/>
      </c>
      <c r="J149" s="35"/>
      <c r="K149" s="28">
        <f t="shared" si="59"/>
        <v>139</v>
      </c>
      <c r="L149" s="36" t="str">
        <f t="shared" si="52"/>
        <v>Lincoln</v>
      </c>
      <c r="M149" s="102">
        <f t="shared" si="60"/>
        <v>78.803169739999944</v>
      </c>
      <c r="N149" s="101">
        <f t="shared" si="61"/>
        <v>78.803169739999944</v>
      </c>
      <c r="O149" s="94" t="str">
        <f t="shared" si="53"/>
        <v/>
      </c>
      <c r="P149" s="94" t="str">
        <f t="shared" si="68"/>
        <v/>
      </c>
      <c r="Q149" s="94">
        <f t="shared" si="69"/>
        <v>78.803169739999944</v>
      </c>
      <c r="R149" s="90" t="str">
        <f t="shared" si="70"/>
        <v/>
      </c>
      <c r="S149" s="37" t="str">
        <f t="shared" si="62"/>
        <v/>
      </c>
      <c r="T149" s="176">
        <f>IF(L149="","",VLOOKUP(L149,classifications!C:K,9,FALSE))</f>
        <v>0</v>
      </c>
      <c r="U149" s="183" t="str">
        <f t="shared" si="54"/>
        <v/>
      </c>
      <c r="V149" s="184" t="str">
        <f>IF(U149="","",IF($I$8="A",(RANK(U149,U$11:U$368)+COUNTIF(U$11:U149,U149)-1),(RANK(U149,U$11:U$368,1)+COUNTIF(U$11:U149,U149)-1)))</f>
        <v/>
      </c>
      <c r="W149" s="185"/>
      <c r="X149" s="38" t="str">
        <f>IF(L149="","",VLOOKUP($L149,classifications!$C:$J,6,FALSE))</f>
        <v>Urban with City and Town</v>
      </c>
      <c r="Y149" s="26" t="str">
        <f t="shared" si="55"/>
        <v/>
      </c>
      <c r="Z149" s="34" t="str">
        <f>IF(Y149="","",IF(I$8="A",(RANK(Y149,Y$11:Y$368,1)+COUNTIF(Y$11:Y149,Y149)-1),(RANK(Y149,Y$11:Y$368)+COUNTIF(Y$11:Y149,Y149)-1)))</f>
        <v/>
      </c>
      <c r="AA149" s="188" t="str">
        <f>IF(L149="","",VLOOKUP($L149,classifications!C:I,7,FALSE))</f>
        <v>Predominantly Urban</v>
      </c>
      <c r="AB149" s="184" t="str">
        <f t="shared" si="63"/>
        <v/>
      </c>
      <c r="AC149" s="184" t="str">
        <f>IF(AB149="","",IF($I$8="A",(RANK(AB149,AB$11:AB$368)+COUNTIF(AB$11:AB149,AB149)-1),(RANK(AB149,AB$11:AB$368,1)+COUNTIF(AB$11:AB149,AB149)-1)))</f>
        <v/>
      </c>
      <c r="AD149" s="184"/>
      <c r="AE149" s="28" t="str">
        <f t="shared" si="49"/>
        <v/>
      </c>
      <c r="AG149" s="96"/>
      <c r="AH149" s="29"/>
      <c r="AI149" s="38" t="str">
        <f>IF(L149="","",VLOOKUP($L149,classifications!$C:$J,8,FALSE))</f>
        <v>Lincolnshire</v>
      </c>
      <c r="AJ149" s="39" t="str">
        <f t="shared" si="56"/>
        <v/>
      </c>
      <c r="AK149" s="34" t="str">
        <f>IF(AJ149="","",IF(I$8="A",(RANK(AJ149,AJ$11:AJ$368,1)+COUNTIF(AJ$11:AJ149,AJ149)-1),(RANK(AJ149,AJ$11:AJ$368)+COUNTIF(AJ$11:AJ149,AJ149)-1)))</f>
        <v/>
      </c>
      <c r="AL149" s="29" t="str">
        <f t="shared" si="64"/>
        <v/>
      </c>
      <c r="AM149" s="8" t="str">
        <f t="shared" si="57"/>
        <v/>
      </c>
      <c r="AN149" s="8" t="str">
        <f t="shared" si="65"/>
        <v/>
      </c>
      <c r="AP149" s="38" t="str">
        <f>IF(L149="","",VLOOKUP($L149,classifications!$C:$E,3,FALSE))</f>
        <v>East Midlands</v>
      </c>
      <c r="AQ149" s="39" t="str">
        <f t="shared" si="66"/>
        <v/>
      </c>
      <c r="AR149" s="34" t="str">
        <f>IF(AQ149="","",IF(I$8="A",(RANK(AQ149,AQ$11:AQ$368,1)+COUNTIF(AQ$11:AQ149,AQ149)-1),(RANK(AQ149,AQ$11:AQ$368)+COUNTIF(AQ$11:AQ149,AQ149)-1)))</f>
        <v/>
      </c>
      <c r="AS149" s="29" t="str">
        <f t="shared" si="67"/>
        <v/>
      </c>
      <c r="AT149" s="34" t="str">
        <f t="shared" si="58"/>
        <v/>
      </c>
      <c r="AU149" s="39" t="str">
        <f t="shared" si="71"/>
        <v/>
      </c>
      <c r="AX149" s="21">
        <f>HLOOKUP($AX$9&amp;$AX$10,Data!$A$1:$ZZ$2000,(MATCH($C149,Data!$A$1:$A$2000,0)),FALSE)</f>
        <v>81.851695097398334</v>
      </c>
      <c r="AY149" s="103"/>
      <c r="AZ149" s="21"/>
    </row>
    <row r="150" spans="1:52">
      <c r="A150" s="56" t="str">
        <f>$D$1&amp;140</f>
        <v>SD140</v>
      </c>
      <c r="B150" s="57">
        <f>IF(ISERROR(VLOOKUP(A150,classifications!A:C,3,FALSE)),0,VLOOKUP(A150,classifications!A:C,3,FALSE))</f>
        <v>0</v>
      </c>
      <c r="C150" s="8" t="s">
        <v>816</v>
      </c>
      <c r="D150" s="26" t="str">
        <f>VLOOKUP($C150,classifications!$C:$J,4,FALSE)</f>
        <v>UA</v>
      </c>
      <c r="E150" s="26" t="str">
        <f>VLOOKUP(C150,classifications!C:K,9,FALSE)</f>
        <v>Sparse</v>
      </c>
      <c r="F150" s="36">
        <f t="shared" si="50"/>
        <v>78.245938782126004</v>
      </c>
      <c r="G150" s="71"/>
      <c r="H150" s="37" t="str">
        <f t="shared" si="51"/>
        <v/>
      </c>
      <c r="I150" s="77" t="str">
        <f>IF(H150="","",IF($I$8="A",(RANK(H150,H$11:H$368,1)+COUNTIF(H$11:H150,H150)-1),(RANK(H150,H$11:H$368)+COUNTIF(H$11:H150,H150)-1)))</f>
        <v/>
      </c>
      <c r="J150" s="35"/>
      <c r="K150" s="28">
        <f t="shared" si="59"/>
        <v>140</v>
      </c>
      <c r="L150" s="36" t="str">
        <f t="shared" si="52"/>
        <v>Folkestone &amp; Hythe</v>
      </c>
      <c r="M150" s="102">
        <f t="shared" si="60"/>
        <v>78.742156783431966</v>
      </c>
      <c r="N150" s="101">
        <f t="shared" si="61"/>
        <v>78.742156783431966</v>
      </c>
      <c r="O150" s="94" t="str">
        <f t="shared" si="53"/>
        <v/>
      </c>
      <c r="P150" s="94" t="str">
        <f t="shared" si="68"/>
        <v/>
      </c>
      <c r="Q150" s="94">
        <f t="shared" si="69"/>
        <v>78.742156783431966</v>
      </c>
      <c r="R150" s="90" t="str">
        <f t="shared" si="70"/>
        <v/>
      </c>
      <c r="S150" s="37" t="str">
        <f t="shared" si="62"/>
        <v/>
      </c>
      <c r="T150" s="176">
        <f>IF(L150="","",VLOOKUP(L150,classifications!C:K,9,FALSE))</f>
        <v>0</v>
      </c>
      <c r="U150" s="183" t="str">
        <f t="shared" si="54"/>
        <v/>
      </c>
      <c r="V150" s="184" t="str">
        <f>IF(U150="","",IF($I$8="A",(RANK(U150,U$11:U$368)+COUNTIF(U$11:U150,U150)-1),(RANK(U150,U$11:U$368,1)+COUNTIF(U$11:U150,U150)-1)))</f>
        <v/>
      </c>
      <c r="W150" s="185"/>
      <c r="X150" s="38" t="str">
        <f>IF(L150="","",VLOOKUP($L150,classifications!$C:$J,6,FALSE))</f>
        <v>Urban with Significant Rural (rural including hub towns 26-49%)</v>
      </c>
      <c r="Y150" s="26" t="str">
        <f t="shared" si="55"/>
        <v/>
      </c>
      <c r="Z150" s="34" t="str">
        <f>IF(Y150="","",IF(I$8="A",(RANK(Y150,Y$11:Y$368,1)+COUNTIF(Y$11:Y150,Y150)-1),(RANK(Y150,Y$11:Y$368)+COUNTIF(Y$11:Y150,Y150)-1)))</f>
        <v/>
      </c>
      <c r="AA150" s="188" t="str">
        <f>IF(L150="","",VLOOKUP($L150,classifications!C:I,7,FALSE))</f>
        <v>Significant Rural</v>
      </c>
      <c r="AB150" s="184" t="str">
        <f t="shared" si="63"/>
        <v/>
      </c>
      <c r="AC150" s="184" t="str">
        <f>IF(AB150="","",IF($I$8="A",(RANK(AB150,AB$11:AB$368)+COUNTIF(AB$11:AB150,AB150)-1),(RANK(AB150,AB$11:AB$368,1)+COUNTIF(AB$11:AB150,AB150)-1)))</f>
        <v/>
      </c>
      <c r="AD150" s="184"/>
      <c r="AE150" s="28" t="str">
        <f t="shared" si="49"/>
        <v/>
      </c>
      <c r="AG150" s="96"/>
      <c r="AH150" s="29"/>
      <c r="AI150" s="38" t="str">
        <f>IF(L150="","",VLOOKUP($L150,classifications!$C:$J,8,FALSE))</f>
        <v>Kent</v>
      </c>
      <c r="AJ150" s="39" t="str">
        <f t="shared" si="56"/>
        <v/>
      </c>
      <c r="AK150" s="34" t="str">
        <f>IF(AJ150="","",IF(I$8="A",(RANK(AJ150,AJ$11:AJ$368,1)+COUNTIF(AJ$11:AJ150,AJ150)-1),(RANK(AJ150,AJ$11:AJ$368)+COUNTIF(AJ$11:AJ150,AJ150)-1)))</f>
        <v/>
      </c>
      <c r="AL150" s="29" t="str">
        <f t="shared" si="64"/>
        <v/>
      </c>
      <c r="AM150" s="8" t="str">
        <f t="shared" si="57"/>
        <v/>
      </c>
      <c r="AN150" s="8" t="str">
        <f t="shared" si="65"/>
        <v/>
      </c>
      <c r="AP150" s="38" t="str">
        <f>IF(L150="","",VLOOKUP($L150,classifications!$C:$E,3,FALSE))</f>
        <v>South East</v>
      </c>
      <c r="AQ150" s="39" t="str">
        <f t="shared" si="66"/>
        <v/>
      </c>
      <c r="AR150" s="34" t="str">
        <f>IF(AQ150="","",IF(I$8="A",(RANK(AQ150,AQ$11:AQ$368,1)+COUNTIF(AQ$11:AQ150,AQ150)-1),(RANK(AQ150,AQ$11:AQ$368)+COUNTIF(AQ$11:AQ150,AQ150)-1)))</f>
        <v/>
      </c>
      <c r="AS150" s="29" t="str">
        <f t="shared" si="67"/>
        <v/>
      </c>
      <c r="AT150" s="34" t="str">
        <f t="shared" si="58"/>
        <v/>
      </c>
      <c r="AU150" s="39" t="str">
        <f t="shared" si="71"/>
        <v/>
      </c>
      <c r="AX150" s="21">
        <f>HLOOKUP($AX$9&amp;$AX$10,Data!$A$1:$ZZ$2000,(MATCH($C150,Data!$A$1:$A$2000,0)),FALSE)</f>
        <v>78.245938782126004</v>
      </c>
      <c r="AY150" s="103"/>
      <c r="AZ150" s="21"/>
    </row>
    <row r="151" spans="1:52">
      <c r="A151" s="56" t="str">
        <f>$D$1&amp;141</f>
        <v>SD141</v>
      </c>
      <c r="B151" s="57">
        <f>IF(ISERROR(VLOOKUP(A151,classifications!A:C,3,FALSE)),0,VLOOKUP(A151,classifications!A:C,3,FALSE))</f>
        <v>0</v>
      </c>
      <c r="C151" s="8" t="s">
        <v>314</v>
      </c>
      <c r="D151" s="26" t="str">
        <f>VLOOKUP($C151,classifications!$C:$J,4,FALSE)</f>
        <v>SC</v>
      </c>
      <c r="E151" s="26">
        <f>VLOOKUP(C151,classifications!C:K,9,FALSE)</f>
        <v>0</v>
      </c>
      <c r="F151" s="36">
        <f t="shared" si="50"/>
        <v>83.25996254354402</v>
      </c>
      <c r="G151" s="71"/>
      <c r="H151" s="37" t="str">
        <f t="shared" si="51"/>
        <v/>
      </c>
      <c r="I151" s="77" t="str">
        <f>IF(H151="","",IF($I$8="A",(RANK(H151,H$11:H$368,1)+COUNTIF(H$11:H151,H151)-1),(RANK(H151,H$11:H$368)+COUNTIF(H$11:H151,H151)-1)))</f>
        <v/>
      </c>
      <c r="J151" s="35"/>
      <c r="K151" s="28">
        <f t="shared" si="59"/>
        <v>141</v>
      </c>
      <c r="L151" s="36" t="str">
        <f t="shared" si="52"/>
        <v>Tamworth</v>
      </c>
      <c r="M151" s="102">
        <f t="shared" si="60"/>
        <v>78.669032275220886</v>
      </c>
      <c r="N151" s="101">
        <f t="shared" si="61"/>
        <v>78.669032275220886</v>
      </c>
      <c r="O151" s="94" t="str">
        <f t="shared" si="53"/>
        <v/>
      </c>
      <c r="P151" s="94" t="str">
        <f t="shared" si="68"/>
        <v/>
      </c>
      <c r="Q151" s="94">
        <f t="shared" si="69"/>
        <v>78.669032275220886</v>
      </c>
      <c r="R151" s="90" t="str">
        <f t="shared" si="70"/>
        <v/>
      </c>
      <c r="S151" s="37" t="str">
        <f t="shared" si="62"/>
        <v/>
      </c>
      <c r="T151" s="176">
        <f>IF(L151="","",VLOOKUP(L151,classifications!C:K,9,FALSE))</f>
        <v>0</v>
      </c>
      <c r="U151" s="183" t="str">
        <f t="shared" si="54"/>
        <v/>
      </c>
      <c r="V151" s="184" t="str">
        <f>IF(U151="","",IF($I$8="A",(RANK(U151,U$11:U$368)+COUNTIF(U$11:U151,U151)-1),(RANK(U151,U$11:U$368,1)+COUNTIF(U$11:U151,U151)-1)))</f>
        <v/>
      </c>
      <c r="W151" s="185"/>
      <c r="X151" s="38" t="str">
        <f>IF(L151="","",VLOOKUP($L151,classifications!$C:$J,6,FALSE))</f>
        <v>Urban with City and Town</v>
      </c>
      <c r="Y151" s="26" t="str">
        <f t="shared" si="55"/>
        <v/>
      </c>
      <c r="Z151" s="34" t="str">
        <f>IF(Y151="","",IF(I$8="A",(RANK(Y151,Y$11:Y$368,1)+COUNTIF(Y$11:Y151,Y151)-1),(RANK(Y151,Y$11:Y$368)+COUNTIF(Y$11:Y151,Y151)-1)))</f>
        <v/>
      </c>
      <c r="AA151" s="188" t="str">
        <f>IF(L151="","",VLOOKUP($L151,classifications!C:I,7,FALSE))</f>
        <v>Predominantly Urban</v>
      </c>
      <c r="AB151" s="184" t="str">
        <f t="shared" si="63"/>
        <v/>
      </c>
      <c r="AC151" s="184" t="str">
        <f>IF(AB151="","",IF($I$8="A",(RANK(AB151,AB$11:AB$368)+COUNTIF(AB$11:AB151,AB151)-1),(RANK(AB151,AB$11:AB$368,1)+COUNTIF(AB$11:AB151,AB151)-1)))</f>
        <v/>
      </c>
      <c r="AD151" s="184"/>
      <c r="AE151" s="28" t="str">
        <f t="shared" si="49"/>
        <v/>
      </c>
      <c r="AG151" s="96"/>
      <c r="AH151" s="29"/>
      <c r="AI151" s="38" t="str">
        <f>IF(L151="","",VLOOKUP($L151,classifications!$C:$J,8,FALSE))</f>
        <v>Staffordshire</v>
      </c>
      <c r="AJ151" s="39" t="str">
        <f t="shared" si="56"/>
        <v/>
      </c>
      <c r="AK151" s="34" t="str">
        <f>IF(AJ151="","",IF(I$8="A",(RANK(AJ151,AJ$11:AJ$368,1)+COUNTIF(AJ$11:AJ151,AJ151)-1),(RANK(AJ151,AJ$11:AJ$368)+COUNTIF(AJ$11:AJ151,AJ151)-1)))</f>
        <v/>
      </c>
      <c r="AL151" s="29" t="str">
        <f t="shared" si="64"/>
        <v/>
      </c>
      <c r="AM151" s="8" t="str">
        <f t="shared" si="57"/>
        <v/>
      </c>
      <c r="AN151" s="8" t="str">
        <f t="shared" si="65"/>
        <v/>
      </c>
      <c r="AP151" s="38" t="str">
        <f>IF(L151="","",VLOOKUP($L151,classifications!$C:$E,3,FALSE))</f>
        <v>West Midlands</v>
      </c>
      <c r="AQ151" s="39" t="str">
        <f t="shared" si="66"/>
        <v/>
      </c>
      <c r="AR151" s="34" t="str">
        <f>IF(AQ151="","",IF(I$8="A",(RANK(AQ151,AQ$11:AQ$368,1)+COUNTIF(AQ$11:AQ151,AQ151)-1),(RANK(AQ151,AQ$11:AQ$368)+COUNTIF(AQ$11:AQ151,AQ151)-1)))</f>
        <v/>
      </c>
      <c r="AS151" s="29" t="str">
        <f t="shared" si="67"/>
        <v/>
      </c>
      <c r="AT151" s="34" t="str">
        <f t="shared" si="58"/>
        <v/>
      </c>
      <c r="AU151" s="39" t="str">
        <f t="shared" si="71"/>
        <v/>
      </c>
      <c r="AX151" s="21">
        <f>HLOOKUP($AX$9&amp;$AX$10,Data!$A$1:$ZZ$2000,(MATCH($C151,Data!$A$1:$A$2000,0)),FALSE)</f>
        <v>83.25996254354402</v>
      </c>
      <c r="AY151" s="103"/>
      <c r="AZ151" s="21"/>
    </row>
    <row r="152" spans="1:52">
      <c r="A152" s="56" t="str">
        <f>$D$1&amp;142</f>
        <v>SD142</v>
      </c>
      <c r="B152" s="57">
        <f>IF(ISERROR(VLOOKUP(A152,classifications!A:C,3,FALSE)),0,VLOOKUP(A152,classifications!A:C,3,FALSE))</f>
        <v>0</v>
      </c>
      <c r="C152" s="8" t="s">
        <v>85</v>
      </c>
      <c r="D152" s="26" t="str">
        <f>VLOOKUP($C152,classifications!$C:$J,4,FALSE)</f>
        <v>SD</v>
      </c>
      <c r="E152" s="26">
        <f>VLOOKUP(C152,classifications!C:K,9,FALSE)</f>
        <v>0</v>
      </c>
      <c r="F152" s="36">
        <f t="shared" si="50"/>
        <v>85.480716182285775</v>
      </c>
      <c r="G152" s="71"/>
      <c r="H152" s="37">
        <f t="shared" si="51"/>
        <v>85.480716182285775</v>
      </c>
      <c r="I152" s="77">
        <f>IF(H152="","",IF($I$8="A",(RANK(H152,H$11:H$368,1)+COUNTIF(H$11:H152,H152)-1),(RANK(H152,H$11:H$368)+COUNTIF(H$11:H152,H152)-1)))</f>
        <v>23</v>
      </c>
      <c r="J152" s="35"/>
      <c r="K152" s="28">
        <f t="shared" si="59"/>
        <v>142</v>
      </c>
      <c r="L152" s="36" t="str">
        <f t="shared" si="52"/>
        <v>Fylde</v>
      </c>
      <c r="M152" s="102">
        <f t="shared" si="60"/>
        <v>78.660073450737343</v>
      </c>
      <c r="N152" s="101">
        <f t="shared" si="61"/>
        <v>78.660073450737343</v>
      </c>
      <c r="O152" s="94" t="str">
        <f t="shared" si="53"/>
        <v/>
      </c>
      <c r="P152" s="94" t="str">
        <f t="shared" si="68"/>
        <v/>
      </c>
      <c r="Q152" s="94">
        <f t="shared" si="69"/>
        <v>78.660073450737343</v>
      </c>
      <c r="R152" s="90" t="str">
        <f t="shared" si="70"/>
        <v/>
      </c>
      <c r="S152" s="37" t="str">
        <f t="shared" si="62"/>
        <v/>
      </c>
      <c r="T152" s="176">
        <f>IF(L152="","",VLOOKUP(L152,classifications!C:K,9,FALSE))</f>
        <v>0</v>
      </c>
      <c r="U152" s="183" t="str">
        <f t="shared" si="54"/>
        <v/>
      </c>
      <c r="V152" s="184" t="str">
        <f>IF(U152="","",IF($I$8="A",(RANK(U152,U$11:U$368)+COUNTIF(U$11:U152,U152)-1),(RANK(U152,U$11:U$368,1)+COUNTIF(U$11:U152,U152)-1)))</f>
        <v/>
      </c>
      <c r="W152" s="185"/>
      <c r="X152" s="38" t="str">
        <f>IF(L152="","",VLOOKUP($L152,classifications!$C:$J,6,FALSE))</f>
        <v>Urban with City and Town</v>
      </c>
      <c r="Y152" s="26" t="str">
        <f t="shared" si="55"/>
        <v/>
      </c>
      <c r="Z152" s="34" t="str">
        <f>IF(Y152="","",IF(I$8="A",(RANK(Y152,Y$11:Y$368,1)+COUNTIF(Y$11:Y152,Y152)-1),(RANK(Y152,Y$11:Y$368)+COUNTIF(Y$11:Y152,Y152)-1)))</f>
        <v/>
      </c>
      <c r="AA152" s="188" t="str">
        <f>IF(L152="","",VLOOKUP($L152,classifications!C:I,7,FALSE))</f>
        <v>Predominantly Urban</v>
      </c>
      <c r="AB152" s="184" t="str">
        <f t="shared" si="63"/>
        <v/>
      </c>
      <c r="AC152" s="184" t="str">
        <f>IF(AB152="","",IF($I$8="A",(RANK(AB152,AB$11:AB$368)+COUNTIF(AB$11:AB152,AB152)-1),(RANK(AB152,AB$11:AB$368,1)+COUNTIF(AB$11:AB152,AB152)-1)))</f>
        <v/>
      </c>
      <c r="AD152" s="184"/>
      <c r="AE152" s="28" t="str">
        <f t="shared" si="49"/>
        <v/>
      </c>
      <c r="AG152" s="96"/>
      <c r="AH152" s="29"/>
      <c r="AI152" s="38" t="str">
        <f>IF(L152="","",VLOOKUP($L152,classifications!$C:$J,8,FALSE))</f>
        <v>Lancashire</v>
      </c>
      <c r="AJ152" s="39" t="str">
        <f t="shared" si="56"/>
        <v/>
      </c>
      <c r="AK152" s="34" t="str">
        <f>IF(AJ152="","",IF(I$8="A",(RANK(AJ152,AJ$11:AJ$368,1)+COUNTIF(AJ$11:AJ152,AJ152)-1),(RANK(AJ152,AJ$11:AJ$368)+COUNTIF(AJ$11:AJ152,AJ152)-1)))</f>
        <v/>
      </c>
      <c r="AL152" s="29" t="str">
        <f t="shared" si="64"/>
        <v/>
      </c>
      <c r="AM152" s="8" t="str">
        <f t="shared" si="57"/>
        <v/>
      </c>
      <c r="AN152" s="8" t="str">
        <f t="shared" si="65"/>
        <v/>
      </c>
      <c r="AP152" s="38" t="str">
        <f>IF(L152="","",VLOOKUP($L152,classifications!$C:$E,3,FALSE))</f>
        <v>North West</v>
      </c>
      <c r="AQ152" s="39">
        <f t="shared" si="66"/>
        <v>78.660073450737343</v>
      </c>
      <c r="AR152" s="34">
        <f>IF(AQ152="","",IF(I$8="A",(RANK(AQ152,AQ$11:AQ$368,1)+COUNTIF(AQ$11:AQ152,AQ152)-1),(RANK(AQ152,AQ$11:AQ$368)+COUNTIF(AQ$11:AQ152,AQ152)-1)))</f>
        <v>10</v>
      </c>
      <c r="AS152" s="29" t="str">
        <f t="shared" si="67"/>
        <v/>
      </c>
      <c r="AT152" s="34" t="str">
        <f t="shared" si="58"/>
        <v/>
      </c>
      <c r="AU152" s="39" t="str">
        <f t="shared" si="71"/>
        <v/>
      </c>
      <c r="AX152" s="21">
        <f>HLOOKUP($AX$9&amp;$AX$10,Data!$A$1:$ZZ$2000,(MATCH($C152,Data!$A$1:$A$2000,0)),FALSE)</f>
        <v>85.480716182285775</v>
      </c>
      <c r="AY152" s="103"/>
      <c r="AZ152" s="21"/>
    </row>
    <row r="153" spans="1:52">
      <c r="A153" s="56" t="str">
        <f>$D$1&amp;143</f>
        <v>SD143</v>
      </c>
      <c r="B153" s="57">
        <f>IF(ISERROR(VLOOKUP(A153,classifications!A:C,3,FALSE)),0,VLOOKUP(A153,classifications!A:C,3,FALSE))</f>
        <v>0</v>
      </c>
      <c r="C153" s="8" t="s">
        <v>86</v>
      </c>
      <c r="D153" s="26" t="str">
        <f>VLOOKUP($C153,classifications!$C:$J,4,FALSE)</f>
        <v>SD</v>
      </c>
      <c r="E153" s="26">
        <f>VLOOKUP(C153,classifications!C:K,9,FALSE)</f>
        <v>0</v>
      </c>
      <c r="F153" s="36">
        <f t="shared" si="50"/>
        <v>86.379262892419391</v>
      </c>
      <c r="G153" s="71"/>
      <c r="H153" s="37">
        <f t="shared" si="51"/>
        <v>86.379262892419391</v>
      </c>
      <c r="I153" s="77">
        <f>IF(H153="","",IF($I$8="A",(RANK(H153,H$11:H$368,1)+COUNTIF(H$11:H153,H153)-1),(RANK(H153,H$11:H$368)+COUNTIF(H$11:H153,H153)-1)))</f>
        <v>15</v>
      </c>
      <c r="J153" s="35"/>
      <c r="K153" s="28">
        <f t="shared" si="59"/>
        <v>143</v>
      </c>
      <c r="L153" s="36" t="str">
        <f t="shared" si="52"/>
        <v>Maidstone</v>
      </c>
      <c r="M153" s="102">
        <f t="shared" si="60"/>
        <v>78.644615528903913</v>
      </c>
      <c r="N153" s="101">
        <f t="shared" si="61"/>
        <v>78.644615528903913</v>
      </c>
      <c r="O153" s="94" t="str">
        <f t="shared" si="53"/>
        <v/>
      </c>
      <c r="P153" s="94" t="str">
        <f t="shared" si="68"/>
        <v/>
      </c>
      <c r="Q153" s="94">
        <f t="shared" si="69"/>
        <v>78.644615528903913</v>
      </c>
      <c r="R153" s="90" t="str">
        <f t="shared" si="70"/>
        <v/>
      </c>
      <c r="S153" s="37" t="str">
        <f t="shared" si="62"/>
        <v/>
      </c>
      <c r="T153" s="176">
        <f>IF(L153="","",VLOOKUP(L153,classifications!C:K,9,FALSE))</f>
        <v>0</v>
      </c>
      <c r="U153" s="183" t="str">
        <f t="shared" si="54"/>
        <v/>
      </c>
      <c r="V153" s="184" t="str">
        <f>IF(U153="","",IF($I$8="A",(RANK(U153,U$11:U$368)+COUNTIF(U$11:U153,U153)-1),(RANK(U153,U$11:U$368,1)+COUNTIF(U$11:U153,U153)-1)))</f>
        <v/>
      </c>
      <c r="W153" s="185"/>
      <c r="X153" s="38" t="str">
        <f>IF(L153="","",VLOOKUP($L153,classifications!$C:$J,6,FALSE))</f>
        <v>Urban with Significant Rural (rural including hub towns 26-49%)</v>
      </c>
      <c r="Y153" s="26" t="str">
        <f t="shared" si="55"/>
        <v/>
      </c>
      <c r="Z153" s="34" t="str">
        <f>IF(Y153="","",IF(I$8="A",(RANK(Y153,Y$11:Y$368,1)+COUNTIF(Y$11:Y153,Y153)-1),(RANK(Y153,Y$11:Y$368)+COUNTIF(Y$11:Y153,Y153)-1)))</f>
        <v/>
      </c>
      <c r="AA153" s="188" t="str">
        <f>IF(L153="","",VLOOKUP($L153,classifications!C:I,7,FALSE))</f>
        <v>Significant Rural</v>
      </c>
      <c r="AB153" s="184" t="str">
        <f t="shared" si="63"/>
        <v/>
      </c>
      <c r="AC153" s="184" t="str">
        <f>IF(AB153="","",IF($I$8="A",(RANK(AB153,AB$11:AB$368)+COUNTIF(AB$11:AB153,AB153)-1),(RANK(AB153,AB$11:AB$368,1)+COUNTIF(AB$11:AB153,AB153)-1)))</f>
        <v/>
      </c>
      <c r="AD153" s="184"/>
      <c r="AE153" s="28" t="str">
        <f t="shared" si="49"/>
        <v/>
      </c>
      <c r="AG153" s="96"/>
      <c r="AH153" s="29"/>
      <c r="AI153" s="38" t="str">
        <f>IF(L153="","",VLOOKUP($L153,classifications!$C:$J,8,FALSE))</f>
        <v>Kent</v>
      </c>
      <c r="AJ153" s="39" t="str">
        <f t="shared" si="56"/>
        <v/>
      </c>
      <c r="AK153" s="34" t="str">
        <f>IF(AJ153="","",IF(I$8="A",(RANK(AJ153,AJ$11:AJ$368,1)+COUNTIF(AJ$11:AJ153,AJ153)-1),(RANK(AJ153,AJ$11:AJ$368)+COUNTIF(AJ$11:AJ153,AJ153)-1)))</f>
        <v/>
      </c>
      <c r="AL153" s="29" t="str">
        <f t="shared" si="64"/>
        <v/>
      </c>
      <c r="AM153" s="8" t="str">
        <f t="shared" si="57"/>
        <v/>
      </c>
      <c r="AN153" s="8" t="str">
        <f t="shared" si="65"/>
        <v/>
      </c>
      <c r="AP153" s="38" t="str">
        <f>IF(L153="","",VLOOKUP($L153,classifications!$C:$E,3,FALSE))</f>
        <v>South East</v>
      </c>
      <c r="AQ153" s="39" t="str">
        <f t="shared" si="66"/>
        <v/>
      </c>
      <c r="AR153" s="34" t="str">
        <f>IF(AQ153="","",IF(I$8="A",(RANK(AQ153,AQ$11:AQ$368,1)+COUNTIF(AQ$11:AQ153,AQ153)-1),(RANK(AQ153,AQ$11:AQ$368)+COUNTIF(AQ$11:AQ153,AQ153)-1)))</f>
        <v/>
      </c>
      <c r="AS153" s="29" t="str">
        <f t="shared" si="67"/>
        <v/>
      </c>
      <c r="AT153" s="34" t="str">
        <f t="shared" si="58"/>
        <v/>
      </c>
      <c r="AU153" s="39" t="str">
        <f t="shared" si="71"/>
        <v/>
      </c>
      <c r="AX153" s="21">
        <f>HLOOKUP($AX$9&amp;$AX$10,Data!$A$1:$ZZ$2000,(MATCH($C153,Data!$A$1:$A$2000,0)),FALSE)</f>
        <v>86.379262892419391</v>
      </c>
      <c r="AY153" s="103"/>
      <c r="AZ153" s="21"/>
    </row>
    <row r="154" spans="1:52">
      <c r="A154" s="56" t="str">
        <f>$D$1&amp;144</f>
        <v>SD144</v>
      </c>
      <c r="B154" s="57">
        <f>IF(ISERROR(VLOOKUP(A154,classifications!A:C,3,FALSE)),0,VLOOKUP(A154,classifications!A:C,3,FALSE))</f>
        <v>0</v>
      </c>
      <c r="C154" s="8" t="s">
        <v>209</v>
      </c>
      <c r="D154" s="26" t="str">
        <f>VLOOKUP($C154,classifications!$C:$J,4,FALSE)</f>
        <v>L</v>
      </c>
      <c r="E154" s="26">
        <f>VLOOKUP(C154,classifications!C:K,9,FALSE)</f>
        <v>0</v>
      </c>
      <c r="F154" s="36">
        <f t="shared" si="50"/>
        <v>75.717911795438766</v>
      </c>
      <c r="G154" s="71"/>
      <c r="H154" s="37" t="str">
        <f t="shared" si="51"/>
        <v/>
      </c>
      <c r="I154" s="77" t="str">
        <f>IF(H154="","",IF($I$8="A",(RANK(H154,H$11:H$368,1)+COUNTIF(H$11:H154,H154)-1),(RANK(H154,H$11:H$368)+COUNTIF(H$11:H154,H154)-1)))</f>
        <v/>
      </c>
      <c r="J154" s="35"/>
      <c r="K154" s="28">
        <f t="shared" si="59"/>
        <v>144</v>
      </c>
      <c r="L154" s="36" t="str">
        <f t="shared" si="52"/>
        <v>Carlisle</v>
      </c>
      <c r="M154" s="102">
        <f t="shared" si="60"/>
        <v>78.627178356786359</v>
      </c>
      <c r="N154" s="101">
        <f t="shared" si="61"/>
        <v>78.627178356786359</v>
      </c>
      <c r="O154" s="94" t="str">
        <f t="shared" si="53"/>
        <v/>
      </c>
      <c r="P154" s="94" t="str">
        <f t="shared" si="68"/>
        <v/>
      </c>
      <c r="Q154" s="94">
        <f t="shared" si="69"/>
        <v>78.627178356786359</v>
      </c>
      <c r="R154" s="90" t="str">
        <f t="shared" si="70"/>
        <v/>
      </c>
      <c r="S154" s="37" t="str">
        <f t="shared" si="62"/>
        <v/>
      </c>
      <c r="T154" s="176">
        <f>IF(L154="","",VLOOKUP(L154,classifications!C:K,9,FALSE))</f>
        <v>0</v>
      </c>
      <c r="U154" s="183" t="str">
        <f t="shared" si="54"/>
        <v/>
      </c>
      <c r="V154" s="184" t="str">
        <f>IF(U154="","",IF($I$8="A",(RANK(U154,U$11:U$368)+COUNTIF(U$11:U154,U154)-1),(RANK(U154,U$11:U$368,1)+COUNTIF(U$11:U154,U154)-1)))</f>
        <v/>
      </c>
      <c r="W154" s="185"/>
      <c r="X154" s="38" t="str">
        <f>IF(L154="","",VLOOKUP($L154,classifications!$C:$J,6,FALSE))</f>
        <v>Urban with Significant Rural (rural including hub towns 26-49%)</v>
      </c>
      <c r="Y154" s="26" t="str">
        <f t="shared" si="55"/>
        <v/>
      </c>
      <c r="Z154" s="34" t="str">
        <f>IF(Y154="","",IF(I$8="A",(RANK(Y154,Y$11:Y$368,1)+COUNTIF(Y$11:Y154,Y154)-1),(RANK(Y154,Y$11:Y$368)+COUNTIF(Y$11:Y154,Y154)-1)))</f>
        <v/>
      </c>
      <c r="AA154" s="188" t="str">
        <f>IF(L154="","",VLOOKUP($L154,classifications!C:I,7,FALSE))</f>
        <v>Significant Rural</v>
      </c>
      <c r="AB154" s="184" t="str">
        <f t="shared" si="63"/>
        <v/>
      </c>
      <c r="AC154" s="184" t="str">
        <f>IF(AB154="","",IF($I$8="A",(RANK(AB154,AB$11:AB$368)+COUNTIF(AB$11:AB154,AB154)-1),(RANK(AB154,AB$11:AB$368,1)+COUNTIF(AB$11:AB154,AB154)-1)))</f>
        <v/>
      </c>
      <c r="AD154" s="184"/>
      <c r="AE154" s="28" t="str">
        <f t="shared" si="49"/>
        <v/>
      </c>
      <c r="AG154" s="96"/>
      <c r="AH154" s="29"/>
      <c r="AI154" s="38" t="str">
        <f>IF(L154="","",VLOOKUP($L154,classifications!$C:$J,8,FALSE))</f>
        <v>Cumbria</v>
      </c>
      <c r="AJ154" s="39">
        <f t="shared" si="56"/>
        <v>78.627178356786359</v>
      </c>
      <c r="AK154" s="34">
        <f>IF(AJ154="","",IF(I$8="A",(RANK(AJ154,AJ$11:AJ$368,1)+COUNTIF(AJ$11:AJ154,AJ154)-1),(RANK(AJ154,AJ$11:AJ$368)+COUNTIF(AJ$11:AJ154,AJ154)-1)))</f>
        <v>6</v>
      </c>
      <c r="AL154" s="29" t="str">
        <f t="shared" si="64"/>
        <v/>
      </c>
      <c r="AM154" s="8" t="str">
        <f t="shared" si="57"/>
        <v/>
      </c>
      <c r="AN154" s="8" t="str">
        <f t="shared" si="65"/>
        <v/>
      </c>
      <c r="AP154" s="38" t="str">
        <f>IF(L154="","",VLOOKUP($L154,classifications!$C:$E,3,FALSE))</f>
        <v>North West</v>
      </c>
      <c r="AQ154" s="39">
        <f t="shared" si="66"/>
        <v>78.627178356786359</v>
      </c>
      <c r="AR154" s="34">
        <f>IF(AQ154="","",IF(I$8="A",(RANK(AQ154,AQ$11:AQ$368,1)+COUNTIF(AQ$11:AQ154,AQ154)-1),(RANK(AQ154,AQ$11:AQ$368)+COUNTIF(AQ$11:AQ154,AQ154)-1)))</f>
        <v>11</v>
      </c>
      <c r="AS154" s="29" t="str">
        <f t="shared" si="67"/>
        <v/>
      </c>
      <c r="AT154" s="34" t="str">
        <f t="shared" si="58"/>
        <v/>
      </c>
      <c r="AU154" s="39" t="str">
        <f t="shared" si="71"/>
        <v/>
      </c>
      <c r="AX154" s="21">
        <f>HLOOKUP($AX$9&amp;$AX$10,Data!$A$1:$ZZ$2000,(MATCH($C154,Data!$A$1:$A$2000,0)),FALSE)</f>
        <v>75.717911795438766</v>
      </c>
      <c r="AY154" s="103"/>
      <c r="AZ154" s="21"/>
    </row>
    <row r="155" spans="1:52">
      <c r="A155" s="56" t="str">
        <f>$D$1&amp;145</f>
        <v>SD145</v>
      </c>
      <c r="B155" s="57">
        <f>IF(ISERROR(VLOOKUP(A155,classifications!A:C,3,FALSE)),0,VLOOKUP(A155,classifications!A:C,3,FALSE))</f>
        <v>0</v>
      </c>
      <c r="C155" s="8" t="s">
        <v>344</v>
      </c>
      <c r="D155" s="26" t="str">
        <f>VLOOKUP($C155,classifications!$C:$J,4,FALSE)</f>
        <v>SD</v>
      </c>
      <c r="E155" s="26">
        <f>VLOOKUP(C155,classifications!C:K,9,FALSE)</f>
        <v>0</v>
      </c>
      <c r="F155" s="36">
        <f t="shared" si="50"/>
        <v>82.402575319559759</v>
      </c>
      <c r="G155" s="71"/>
      <c r="H155" s="37">
        <f t="shared" si="51"/>
        <v>82.402575319559759</v>
      </c>
      <c r="I155" s="77">
        <f>IF(H155="","",IF($I$8="A",(RANK(H155,H$11:H$368,1)+COUNTIF(H$11:H155,H155)-1),(RANK(H155,H$11:H$368)+COUNTIF(H$11:H155,H155)-1)))</f>
        <v>69</v>
      </c>
      <c r="J155" s="35"/>
      <c r="K155" s="28">
        <f t="shared" si="59"/>
        <v>145</v>
      </c>
      <c r="L155" s="36" t="str">
        <f t="shared" si="52"/>
        <v>Preston</v>
      </c>
      <c r="M155" s="102">
        <f t="shared" si="60"/>
        <v>78.614964147202414</v>
      </c>
      <c r="N155" s="101">
        <f t="shared" si="61"/>
        <v>78.614964147202414</v>
      </c>
      <c r="O155" s="94" t="str">
        <f t="shared" si="53"/>
        <v/>
      </c>
      <c r="P155" s="94" t="str">
        <f t="shared" si="68"/>
        <v/>
      </c>
      <c r="Q155" s="94" t="str">
        <f t="shared" si="69"/>
        <v/>
      </c>
      <c r="R155" s="90">
        <f t="shared" si="70"/>
        <v>78.614964147202414</v>
      </c>
      <c r="S155" s="37" t="str">
        <f t="shared" si="62"/>
        <v/>
      </c>
      <c r="T155" s="176">
        <f>IF(L155="","",VLOOKUP(L155,classifications!C:K,9,FALSE))</f>
        <v>0</v>
      </c>
      <c r="U155" s="183" t="str">
        <f t="shared" si="54"/>
        <v/>
      </c>
      <c r="V155" s="184" t="str">
        <f>IF(U155="","",IF($I$8="A",(RANK(U155,U$11:U$368)+COUNTIF(U$11:U155,U155)-1),(RANK(U155,U$11:U$368,1)+COUNTIF(U$11:U155,U155)-1)))</f>
        <v/>
      </c>
      <c r="W155" s="185"/>
      <c r="X155" s="38" t="str">
        <f>IF(L155="","",VLOOKUP($L155,classifications!$C:$J,6,FALSE))</f>
        <v>Urban with City and Town</v>
      </c>
      <c r="Y155" s="26" t="str">
        <f t="shared" si="55"/>
        <v/>
      </c>
      <c r="Z155" s="34" t="str">
        <f>IF(Y155="","",IF(I$8="A",(RANK(Y155,Y$11:Y$368,1)+COUNTIF(Y$11:Y155,Y155)-1),(RANK(Y155,Y$11:Y$368)+COUNTIF(Y$11:Y155,Y155)-1)))</f>
        <v/>
      </c>
      <c r="AA155" s="188" t="str">
        <f>IF(L155="","",VLOOKUP($L155,classifications!C:I,7,FALSE))</f>
        <v>Predominantly Urban</v>
      </c>
      <c r="AB155" s="184" t="str">
        <f t="shared" si="63"/>
        <v/>
      </c>
      <c r="AC155" s="184" t="str">
        <f>IF(AB155="","",IF($I$8="A",(RANK(AB155,AB$11:AB$368)+COUNTIF(AB$11:AB155,AB155)-1),(RANK(AB155,AB$11:AB$368,1)+COUNTIF(AB$11:AB155,AB155)-1)))</f>
        <v/>
      </c>
      <c r="AD155" s="184"/>
      <c r="AE155" s="28" t="str">
        <f t="shared" si="49"/>
        <v/>
      </c>
      <c r="AG155" s="96"/>
      <c r="AH155" s="29"/>
      <c r="AI155" s="38" t="str">
        <f>IF(L155="","",VLOOKUP($L155,classifications!$C:$J,8,FALSE))</f>
        <v>Lancashire</v>
      </c>
      <c r="AJ155" s="39" t="str">
        <f t="shared" si="56"/>
        <v/>
      </c>
      <c r="AK155" s="34" t="str">
        <f>IF(AJ155="","",IF(I$8="A",(RANK(AJ155,AJ$11:AJ$368,1)+COUNTIF(AJ$11:AJ155,AJ155)-1),(RANK(AJ155,AJ$11:AJ$368)+COUNTIF(AJ$11:AJ155,AJ155)-1)))</f>
        <v/>
      </c>
      <c r="AL155" s="29" t="str">
        <f t="shared" si="64"/>
        <v/>
      </c>
      <c r="AM155" s="8" t="str">
        <f t="shared" si="57"/>
        <v/>
      </c>
      <c r="AN155" s="8" t="str">
        <f t="shared" si="65"/>
        <v/>
      </c>
      <c r="AP155" s="38" t="str">
        <f>IF(L155="","",VLOOKUP($L155,classifications!$C:$E,3,FALSE))</f>
        <v>North West</v>
      </c>
      <c r="AQ155" s="39">
        <f t="shared" si="66"/>
        <v>78.614964147202414</v>
      </c>
      <c r="AR155" s="34">
        <f>IF(AQ155="","",IF(I$8="A",(RANK(AQ155,AQ$11:AQ$368,1)+COUNTIF(AQ$11:AQ155,AQ155)-1),(RANK(AQ155,AQ$11:AQ$368)+COUNTIF(AQ$11:AQ155,AQ155)-1)))</f>
        <v>12</v>
      </c>
      <c r="AS155" s="29" t="str">
        <f t="shared" si="67"/>
        <v/>
      </c>
      <c r="AT155" s="34" t="str">
        <f t="shared" si="58"/>
        <v/>
      </c>
      <c r="AU155" s="39" t="str">
        <f t="shared" si="71"/>
        <v/>
      </c>
      <c r="AX155" s="21">
        <f>HLOOKUP($AX$9&amp;$AX$10,Data!$A$1:$ZZ$2000,(MATCH($C155,Data!$A$1:$A$2000,0)),FALSE)</f>
        <v>82.402575319559759</v>
      </c>
      <c r="AY155" s="103"/>
      <c r="AZ155" s="21"/>
    </row>
    <row r="156" spans="1:52">
      <c r="A156" s="56" t="str">
        <f>$D$1&amp;146</f>
        <v>SD146</v>
      </c>
      <c r="B156" s="57">
        <f>IF(ISERROR(VLOOKUP(A156,classifications!A:C,3,FALSE)),0,VLOOKUP(A156,classifications!A:C,3,FALSE))</f>
        <v>0</v>
      </c>
      <c r="C156" s="8" t="s">
        <v>87</v>
      </c>
      <c r="D156" s="26" t="str">
        <f>VLOOKUP($C156,classifications!$C:$J,4,FALSE)</f>
        <v>SD</v>
      </c>
      <c r="E156" s="26">
        <f>VLOOKUP(C156,classifications!C:K,9,FALSE)</f>
        <v>0</v>
      </c>
      <c r="F156" s="36">
        <f t="shared" si="50"/>
        <v>84.906687458766484</v>
      </c>
      <c r="G156" s="71"/>
      <c r="H156" s="37">
        <f t="shared" si="51"/>
        <v>84.906687458766484</v>
      </c>
      <c r="I156" s="77">
        <f>IF(H156="","",IF($I$8="A",(RANK(H156,H$11:H$368,1)+COUNTIF(H$11:H156,H156)-1),(RANK(H156,H$11:H$368)+COUNTIF(H$11:H156,H156)-1)))</f>
        <v>32</v>
      </c>
      <c r="J156" s="35"/>
      <c r="K156" s="28">
        <f t="shared" si="59"/>
        <v>146</v>
      </c>
      <c r="L156" s="36" t="str">
        <f t="shared" si="52"/>
        <v>Ashford</v>
      </c>
      <c r="M156" s="102">
        <f t="shared" si="60"/>
        <v>78.610915016735788</v>
      </c>
      <c r="N156" s="101">
        <f t="shared" si="61"/>
        <v>78.610915016735788</v>
      </c>
      <c r="O156" s="94" t="str">
        <f t="shared" si="53"/>
        <v/>
      </c>
      <c r="P156" s="94" t="str">
        <f t="shared" si="68"/>
        <v/>
      </c>
      <c r="Q156" s="94" t="str">
        <f t="shared" si="69"/>
        <v/>
      </c>
      <c r="R156" s="90">
        <f t="shared" si="70"/>
        <v>78.610915016735788</v>
      </c>
      <c r="S156" s="37" t="str">
        <f t="shared" si="62"/>
        <v/>
      </c>
      <c r="T156" s="176" t="str">
        <f>IF(L156="","",VLOOKUP(L156,classifications!C:K,9,FALSE))</f>
        <v>Sparse</v>
      </c>
      <c r="U156" s="183">
        <f t="shared" si="54"/>
        <v>78.610915016735788</v>
      </c>
      <c r="V156" s="184">
        <f>IF(U156="","",IF($I$8="A",(RANK(U156,U$11:U$368)+COUNTIF(U$11:U156,U156)-1),(RANK(U156,U$11:U$368,1)+COUNTIF(U$11:U156,U156)-1)))</f>
        <v>13</v>
      </c>
      <c r="W156" s="185"/>
      <c r="X156" s="38" t="str">
        <f>IF(L156="","",VLOOKUP($L156,classifications!$C:$J,6,FALSE))</f>
        <v>Urban with Significant Rural (rural including hub towns 26-49%)</v>
      </c>
      <c r="Y156" s="26" t="str">
        <f t="shared" si="55"/>
        <v/>
      </c>
      <c r="Z156" s="34" t="str">
        <f>IF(Y156="","",IF(I$8="A",(RANK(Y156,Y$11:Y$368,1)+COUNTIF(Y$11:Y156,Y156)-1),(RANK(Y156,Y$11:Y$368)+COUNTIF(Y$11:Y156,Y156)-1)))</f>
        <v/>
      </c>
      <c r="AA156" s="188" t="str">
        <f>IF(L156="","",VLOOKUP($L156,classifications!C:I,7,FALSE))</f>
        <v>Significant Rural</v>
      </c>
      <c r="AB156" s="184" t="str">
        <f t="shared" si="63"/>
        <v/>
      </c>
      <c r="AC156" s="184" t="str">
        <f>IF(AB156="","",IF($I$8="A",(RANK(AB156,AB$11:AB$368)+COUNTIF(AB$11:AB156,AB156)-1),(RANK(AB156,AB$11:AB$368,1)+COUNTIF(AB$11:AB156,AB156)-1)))</f>
        <v/>
      </c>
      <c r="AD156" s="184"/>
      <c r="AE156" s="28" t="str">
        <f t="shared" si="49"/>
        <v/>
      </c>
      <c r="AG156" s="96"/>
      <c r="AH156" s="29"/>
      <c r="AI156" s="38" t="str">
        <f>IF(L156="","",VLOOKUP($L156,classifications!$C:$J,8,FALSE))</f>
        <v>Kent</v>
      </c>
      <c r="AJ156" s="39" t="str">
        <f t="shared" si="56"/>
        <v/>
      </c>
      <c r="AK156" s="34" t="str">
        <f>IF(AJ156="","",IF(I$8="A",(RANK(AJ156,AJ$11:AJ$368,1)+COUNTIF(AJ$11:AJ156,AJ156)-1),(RANK(AJ156,AJ$11:AJ$368)+COUNTIF(AJ$11:AJ156,AJ156)-1)))</f>
        <v/>
      </c>
      <c r="AL156" s="29" t="str">
        <f t="shared" si="64"/>
        <v/>
      </c>
      <c r="AM156" s="8" t="str">
        <f t="shared" si="57"/>
        <v/>
      </c>
      <c r="AN156" s="8" t="str">
        <f t="shared" si="65"/>
        <v/>
      </c>
      <c r="AP156" s="38" t="str">
        <f>IF(L156="","",VLOOKUP($L156,classifications!$C:$E,3,FALSE))</f>
        <v>South East</v>
      </c>
      <c r="AQ156" s="39" t="str">
        <f t="shared" si="66"/>
        <v/>
      </c>
      <c r="AR156" s="34" t="str">
        <f>IF(AQ156="","",IF(I$8="A",(RANK(AQ156,AQ$11:AQ$368,1)+COUNTIF(AQ$11:AQ156,AQ156)-1),(RANK(AQ156,AQ$11:AQ$368)+COUNTIF(AQ$11:AQ156,AQ156)-1)))</f>
        <v/>
      </c>
      <c r="AS156" s="29" t="str">
        <f t="shared" si="67"/>
        <v/>
      </c>
      <c r="AT156" s="34" t="str">
        <f t="shared" si="58"/>
        <v/>
      </c>
      <c r="AU156" s="39" t="str">
        <f t="shared" si="71"/>
        <v/>
      </c>
      <c r="AX156" s="21">
        <f>HLOOKUP($AX$9&amp;$AX$10,Data!$A$1:$ZZ$2000,(MATCH($C156,Data!$A$1:$A$2000,0)),FALSE)</f>
        <v>84.906687458766484</v>
      </c>
      <c r="AY156" s="103"/>
      <c r="AZ156" s="21"/>
    </row>
    <row r="157" spans="1:52">
      <c r="A157" s="56" t="str">
        <f>$D$1&amp;147</f>
        <v>SD147</v>
      </c>
      <c r="B157" s="57">
        <f>IF(ISERROR(VLOOKUP(A157,classifications!A:C,3,FALSE)),0,VLOOKUP(A157,classifications!A:C,3,FALSE))</f>
        <v>0</v>
      </c>
      <c r="C157" s="8" t="s">
        <v>210</v>
      </c>
      <c r="D157" s="26" t="str">
        <f>VLOOKUP($C157,classifications!$C:$J,4,FALSE)</f>
        <v>L</v>
      </c>
      <c r="E157" s="26">
        <f>VLOOKUP(C157,classifications!C:K,9,FALSE)</f>
        <v>0</v>
      </c>
      <c r="F157" s="36">
        <f t="shared" si="50"/>
        <v>75.018328453173524</v>
      </c>
      <c r="G157" s="71"/>
      <c r="H157" s="37" t="str">
        <f t="shared" si="51"/>
        <v/>
      </c>
      <c r="I157" s="77" t="str">
        <f>IF(H157="","",IF($I$8="A",(RANK(H157,H$11:H$368,1)+COUNTIF(H$11:H157,H157)-1),(RANK(H157,H$11:H$368)+COUNTIF(H$11:H157,H157)-1)))</f>
        <v/>
      </c>
      <c r="J157" s="35"/>
      <c r="K157" s="28">
        <f t="shared" si="59"/>
        <v>147</v>
      </c>
      <c r="L157" s="36" t="str">
        <f t="shared" si="52"/>
        <v>Daventry</v>
      </c>
      <c r="M157" s="102">
        <f t="shared" si="60"/>
        <v>78.593721958095685</v>
      </c>
      <c r="N157" s="101">
        <f t="shared" si="61"/>
        <v>78.593721958095685</v>
      </c>
      <c r="O157" s="94" t="str">
        <f t="shared" si="53"/>
        <v/>
      </c>
      <c r="P157" s="94" t="str">
        <f t="shared" si="68"/>
        <v/>
      </c>
      <c r="Q157" s="94" t="str">
        <f t="shared" si="69"/>
        <v/>
      </c>
      <c r="R157" s="90">
        <f t="shared" si="70"/>
        <v>78.593721958095685</v>
      </c>
      <c r="S157" s="37" t="str">
        <f t="shared" si="62"/>
        <v/>
      </c>
      <c r="T157" s="176" t="str">
        <f>IF(L157="","",VLOOKUP(L157,classifications!C:K,9,FALSE))</f>
        <v>Sparse</v>
      </c>
      <c r="U157" s="183">
        <f t="shared" si="54"/>
        <v>78.593721958095685</v>
      </c>
      <c r="V157" s="184">
        <f>IF(U157="","",IF($I$8="A",(RANK(U157,U$11:U$368)+COUNTIF(U$11:U157,U157)-1),(RANK(U157,U$11:U$368,1)+COUNTIF(U$11:U157,U157)-1)))</f>
        <v>12</v>
      </c>
      <c r="W157" s="185"/>
      <c r="X157" s="38" t="str">
        <f>IF(L157="","",VLOOKUP($L157,classifications!$C:$J,6,FALSE))</f>
        <v xml:space="preserve">Mainly Rural (rural including hub towns &gt;=80%) </v>
      </c>
      <c r="Y157" s="26">
        <f t="shared" si="55"/>
        <v>78.593721958095685</v>
      </c>
      <c r="Z157" s="34">
        <f>IF(Y157="","",IF(I$8="A",(RANK(Y157,Y$11:Y$368,1)+COUNTIF(Y$11:Y157,Y157)-1),(RANK(Y157,Y$11:Y$368)+COUNTIF(Y$11:Y157,Y157)-1)))</f>
        <v>35</v>
      </c>
      <c r="AA157" s="188" t="str">
        <f>IF(L157="","",VLOOKUP($L157,classifications!C:I,7,FALSE))</f>
        <v>Predominantly Rural</v>
      </c>
      <c r="AB157" s="184">
        <f t="shared" si="63"/>
        <v>78.593721958095685</v>
      </c>
      <c r="AC157" s="184">
        <f>IF(AB157="","",IF($I$8="A",(RANK(AB157,AB$11:AB$368)+COUNTIF(AB$11:AB157,AB157)-1),(RANK(AB157,AB$11:AB$368,1)+COUNTIF(AB$11:AB157,AB157)-1)))</f>
        <v>14</v>
      </c>
      <c r="AD157" s="184"/>
      <c r="AE157" s="28" t="str">
        <f t="shared" si="49"/>
        <v/>
      </c>
      <c r="AG157" s="96"/>
      <c r="AH157" s="29"/>
      <c r="AI157" s="38" t="str">
        <f>IF(L157="","",VLOOKUP($L157,classifications!$C:$J,8,FALSE))</f>
        <v>Northamptonshire</v>
      </c>
      <c r="AJ157" s="39" t="str">
        <f t="shared" si="56"/>
        <v/>
      </c>
      <c r="AK157" s="34" t="str">
        <f>IF(AJ157="","",IF(I$8="A",(RANK(AJ157,AJ$11:AJ$368,1)+COUNTIF(AJ$11:AJ157,AJ157)-1),(RANK(AJ157,AJ$11:AJ$368)+COUNTIF(AJ$11:AJ157,AJ157)-1)))</f>
        <v/>
      </c>
      <c r="AL157" s="29" t="str">
        <f t="shared" si="64"/>
        <v/>
      </c>
      <c r="AM157" s="8" t="str">
        <f t="shared" si="57"/>
        <v/>
      </c>
      <c r="AN157" s="8" t="str">
        <f t="shared" si="65"/>
        <v/>
      </c>
      <c r="AP157" s="38" t="str">
        <f>IF(L157="","",VLOOKUP($L157,classifications!$C:$E,3,FALSE))</f>
        <v>East Midlands</v>
      </c>
      <c r="AQ157" s="39" t="str">
        <f t="shared" si="66"/>
        <v/>
      </c>
      <c r="AR157" s="34" t="str">
        <f>IF(AQ157="","",IF(I$8="A",(RANK(AQ157,AQ$11:AQ$368,1)+COUNTIF(AQ$11:AQ157,AQ157)-1),(RANK(AQ157,AQ$11:AQ$368)+COUNTIF(AQ$11:AQ157,AQ157)-1)))</f>
        <v/>
      </c>
      <c r="AS157" s="29" t="str">
        <f t="shared" si="67"/>
        <v/>
      </c>
      <c r="AT157" s="34" t="str">
        <f t="shared" si="58"/>
        <v/>
      </c>
      <c r="AU157" s="39" t="str">
        <f t="shared" si="71"/>
        <v/>
      </c>
      <c r="AX157" s="21">
        <f>HLOOKUP($AX$9&amp;$AX$10,Data!$A$1:$ZZ$2000,(MATCH($C157,Data!$A$1:$A$2000,0)),FALSE)</f>
        <v>75.018328453173524</v>
      </c>
      <c r="AY157" s="103"/>
      <c r="AZ157" s="21"/>
    </row>
    <row r="158" spans="1:52">
      <c r="A158" s="56" t="str">
        <f>$D$1&amp;148</f>
        <v>SD148</v>
      </c>
      <c r="B158" s="57">
        <f>IF(ISERROR(VLOOKUP(A158,classifications!A:C,3,FALSE)),0,VLOOKUP(A158,classifications!A:C,3,FALSE))</f>
        <v>0</v>
      </c>
      <c r="C158" s="8" t="s">
        <v>88</v>
      </c>
      <c r="D158" s="26" t="str">
        <f>VLOOKUP($C158,classifications!$C:$J,4,FALSE)</f>
        <v>SD</v>
      </c>
      <c r="E158" s="26" t="str">
        <f>VLOOKUP(C158,classifications!C:K,9,FALSE)</f>
        <v>Sparse</v>
      </c>
      <c r="F158" s="36">
        <f t="shared" si="50"/>
        <v>79.285588018207903</v>
      </c>
      <c r="G158" s="71"/>
      <c r="H158" s="37">
        <f t="shared" si="51"/>
        <v>79.285588018207903</v>
      </c>
      <c r="I158" s="77">
        <f>IF(H158="","",IF($I$8="A",(RANK(H158,H$11:H$368,1)+COUNTIF(H$11:H158,H158)-1),(RANK(H158,H$11:H$368)+COUNTIF(H$11:H158,H158)-1)))</f>
        <v>133</v>
      </c>
      <c r="J158" s="35"/>
      <c r="K158" s="28">
        <f t="shared" si="59"/>
        <v>148</v>
      </c>
      <c r="L158" s="36" t="str">
        <f t="shared" si="52"/>
        <v>Torridge</v>
      </c>
      <c r="M158" s="102">
        <f t="shared" si="60"/>
        <v>78.572724688355649</v>
      </c>
      <c r="N158" s="101">
        <f t="shared" si="61"/>
        <v>78.572724688355649</v>
      </c>
      <c r="O158" s="94" t="str">
        <f t="shared" si="53"/>
        <v/>
      </c>
      <c r="P158" s="94" t="str">
        <f t="shared" si="68"/>
        <v/>
      </c>
      <c r="Q158" s="94" t="str">
        <f t="shared" si="69"/>
        <v/>
      </c>
      <c r="R158" s="90">
        <f t="shared" si="70"/>
        <v>78.572724688355649</v>
      </c>
      <c r="S158" s="37" t="str">
        <f t="shared" si="62"/>
        <v/>
      </c>
      <c r="T158" s="176" t="str">
        <f>IF(L158="","",VLOOKUP(L158,classifications!C:K,9,FALSE))</f>
        <v>Sparse</v>
      </c>
      <c r="U158" s="183">
        <f t="shared" si="54"/>
        <v>78.572724688355649</v>
      </c>
      <c r="V158" s="184">
        <f>IF(U158="","",IF($I$8="A",(RANK(U158,U$11:U$368)+COUNTIF(U$11:U158,U158)-1),(RANK(U158,U$11:U$368,1)+COUNTIF(U$11:U158,U158)-1)))</f>
        <v>11</v>
      </c>
      <c r="W158" s="185"/>
      <c r="X158" s="38" t="str">
        <f>IF(L158="","",VLOOKUP($L158,classifications!$C:$J,6,FALSE))</f>
        <v xml:space="preserve">Mainly Rural (rural including hub towns &gt;=80%) </v>
      </c>
      <c r="Y158" s="26">
        <f t="shared" si="55"/>
        <v>78.572724688355649</v>
      </c>
      <c r="Z158" s="34">
        <f>IF(Y158="","",IF(I$8="A",(RANK(Y158,Y$11:Y$368,1)+COUNTIF(Y$11:Y158,Y158)-1),(RANK(Y158,Y$11:Y$368)+COUNTIF(Y$11:Y158,Y158)-1)))</f>
        <v>36</v>
      </c>
      <c r="AA158" s="188" t="str">
        <f>IF(L158="","",VLOOKUP($L158,classifications!C:I,7,FALSE))</f>
        <v>Predominantly Rural</v>
      </c>
      <c r="AB158" s="184">
        <f t="shared" si="63"/>
        <v>78.572724688355649</v>
      </c>
      <c r="AC158" s="184">
        <f>IF(AB158="","",IF($I$8="A",(RANK(AB158,AB$11:AB$368)+COUNTIF(AB$11:AB158,AB158)-1),(RANK(AB158,AB$11:AB$368,1)+COUNTIF(AB$11:AB158,AB158)-1)))</f>
        <v>13</v>
      </c>
      <c r="AD158" s="184"/>
      <c r="AE158" s="28" t="str">
        <f t="shared" si="49"/>
        <v/>
      </c>
      <c r="AG158" s="96"/>
      <c r="AH158" s="29"/>
      <c r="AI158" s="38" t="str">
        <f>IF(L158="","",VLOOKUP($L158,classifications!$C:$J,8,FALSE))</f>
        <v>Devon</v>
      </c>
      <c r="AJ158" s="39" t="str">
        <f t="shared" si="56"/>
        <v/>
      </c>
      <c r="AK158" s="34" t="str">
        <f>IF(AJ158="","",IF(I$8="A",(RANK(AJ158,AJ$11:AJ$368,1)+COUNTIF(AJ$11:AJ158,AJ158)-1),(RANK(AJ158,AJ$11:AJ$368)+COUNTIF(AJ$11:AJ158,AJ158)-1)))</f>
        <v/>
      </c>
      <c r="AL158" s="29" t="str">
        <f t="shared" si="64"/>
        <v/>
      </c>
      <c r="AM158" s="8" t="str">
        <f t="shared" si="57"/>
        <v/>
      </c>
      <c r="AN158" s="8" t="str">
        <f t="shared" si="65"/>
        <v/>
      </c>
      <c r="AP158" s="38" t="str">
        <f>IF(L158="","",VLOOKUP($L158,classifications!$C:$E,3,FALSE))</f>
        <v>South West</v>
      </c>
      <c r="AQ158" s="39" t="str">
        <f t="shared" si="66"/>
        <v/>
      </c>
      <c r="AR158" s="34" t="str">
        <f>IF(AQ158="","",IF(I$8="A",(RANK(AQ158,AQ$11:AQ$368,1)+COUNTIF(AQ$11:AQ158,AQ158)-1),(RANK(AQ158,AQ$11:AQ$368)+COUNTIF(AQ$11:AQ158,AQ158)-1)))</f>
        <v/>
      </c>
      <c r="AS158" s="29" t="str">
        <f t="shared" si="67"/>
        <v/>
      </c>
      <c r="AT158" s="34" t="str">
        <f t="shared" si="58"/>
        <v/>
      </c>
      <c r="AU158" s="39" t="str">
        <f t="shared" si="71"/>
        <v/>
      </c>
      <c r="AX158" s="21">
        <f>HLOOKUP($AX$9&amp;$AX$10,Data!$A$1:$ZZ$2000,(MATCH($C158,Data!$A$1:$A$2000,0)),FALSE)</f>
        <v>79.285588018207903</v>
      </c>
      <c r="AY158" s="103"/>
      <c r="AZ158" s="21"/>
    </row>
    <row r="159" spans="1:52">
      <c r="A159" s="56" t="str">
        <f>$D$1&amp;149</f>
        <v>SD149</v>
      </c>
      <c r="B159" s="57">
        <f>IF(ISERROR(VLOOKUP(A159,classifications!A:C,3,FALSE)),0,VLOOKUP(A159,classifications!A:C,3,FALSE))</f>
        <v>0</v>
      </c>
      <c r="C159" s="8" t="s">
        <v>89</v>
      </c>
      <c r="D159" s="26" t="str">
        <f>VLOOKUP($C159,classifications!$C:$J,4,FALSE)</f>
        <v>SD</v>
      </c>
      <c r="E159" s="26">
        <f>VLOOKUP(C159,classifications!C:K,9,FALSE)</f>
        <v>0</v>
      </c>
      <c r="F159" s="36">
        <f t="shared" si="50"/>
        <v>76.18953351514763</v>
      </c>
      <c r="G159" s="71"/>
      <c r="H159" s="37">
        <f t="shared" si="51"/>
        <v>76.18953351514763</v>
      </c>
      <c r="I159" s="77">
        <f>IF(H159="","",IF($I$8="A",(RANK(H159,H$11:H$368,1)+COUNTIF(H$11:H159,H159)-1),(RANK(H159,H$11:H$368)+COUNTIF(H$11:H159,H159)-1)))</f>
        <v>170</v>
      </c>
      <c r="J159" s="35"/>
      <c r="K159" s="28">
        <f t="shared" si="59"/>
        <v>149</v>
      </c>
      <c r="L159" s="36" t="str">
        <f t="shared" si="52"/>
        <v>Staffordshire Moorlands</v>
      </c>
      <c r="M159" s="102">
        <f t="shared" si="60"/>
        <v>78.518699438510566</v>
      </c>
      <c r="N159" s="101">
        <f t="shared" si="61"/>
        <v>78.518699438510566</v>
      </c>
      <c r="O159" s="94" t="str">
        <f t="shared" si="53"/>
        <v/>
      </c>
      <c r="P159" s="94" t="str">
        <f t="shared" si="68"/>
        <v/>
      </c>
      <c r="Q159" s="94" t="str">
        <f t="shared" si="69"/>
        <v/>
      </c>
      <c r="R159" s="90">
        <f t="shared" si="70"/>
        <v>78.518699438510566</v>
      </c>
      <c r="S159" s="37" t="str">
        <f t="shared" si="62"/>
        <v/>
      </c>
      <c r="T159" s="176">
        <f>IF(L159="","",VLOOKUP(L159,classifications!C:K,9,FALSE))</f>
        <v>0</v>
      </c>
      <c r="U159" s="183" t="str">
        <f t="shared" si="54"/>
        <v/>
      </c>
      <c r="V159" s="184" t="str">
        <f>IF(U159="","",IF($I$8="A",(RANK(U159,U$11:U$368)+COUNTIF(U$11:U159,U159)-1),(RANK(U159,U$11:U$368,1)+COUNTIF(U$11:U159,U159)-1)))</f>
        <v/>
      </c>
      <c r="W159" s="185"/>
      <c r="X159" s="38" t="str">
        <f>IF(L159="","",VLOOKUP($L159,classifications!$C:$J,6,FALSE))</f>
        <v xml:space="preserve">Largely Rural (rural including hub towns 50-79%) </v>
      </c>
      <c r="Y159" s="26" t="str">
        <f t="shared" si="55"/>
        <v/>
      </c>
      <c r="Z159" s="34" t="str">
        <f>IF(Y159="","",IF(I$8="A",(RANK(Y159,Y$11:Y$368,1)+COUNTIF(Y$11:Y159,Y159)-1),(RANK(Y159,Y$11:Y$368)+COUNTIF(Y$11:Y159,Y159)-1)))</f>
        <v/>
      </c>
      <c r="AA159" s="188" t="str">
        <f>IF(L159="","",VLOOKUP($L159,classifications!C:I,7,FALSE))</f>
        <v>Predominantly Rural</v>
      </c>
      <c r="AB159" s="184">
        <f t="shared" si="63"/>
        <v>78.518699438510566</v>
      </c>
      <c r="AC159" s="184">
        <f>IF(AB159="","",IF($I$8="A",(RANK(AB159,AB$11:AB$368)+COUNTIF(AB$11:AB159,AB159)-1),(RANK(AB159,AB$11:AB$368,1)+COUNTIF(AB$11:AB159,AB159)-1)))</f>
        <v>12</v>
      </c>
      <c r="AD159" s="184"/>
      <c r="AE159" s="28" t="str">
        <f t="shared" si="49"/>
        <v/>
      </c>
      <c r="AG159" s="96"/>
      <c r="AH159" s="29"/>
      <c r="AI159" s="38" t="str">
        <f>IF(L159="","",VLOOKUP($L159,classifications!$C:$J,8,FALSE))</f>
        <v>Staffordshire</v>
      </c>
      <c r="AJ159" s="39" t="str">
        <f t="shared" si="56"/>
        <v/>
      </c>
      <c r="AK159" s="34" t="str">
        <f>IF(AJ159="","",IF(I$8="A",(RANK(AJ159,AJ$11:AJ$368,1)+COUNTIF(AJ$11:AJ159,AJ159)-1),(RANK(AJ159,AJ$11:AJ$368)+COUNTIF(AJ$11:AJ159,AJ159)-1)))</f>
        <v/>
      </c>
      <c r="AL159" s="29" t="str">
        <f t="shared" si="64"/>
        <v/>
      </c>
      <c r="AM159" s="8" t="str">
        <f t="shared" si="57"/>
        <v/>
      </c>
      <c r="AN159" s="8" t="str">
        <f t="shared" si="65"/>
        <v/>
      </c>
      <c r="AP159" s="38" t="str">
        <f>IF(L159="","",VLOOKUP($L159,classifications!$C:$E,3,FALSE))</f>
        <v>West Midlands</v>
      </c>
      <c r="AQ159" s="39" t="str">
        <f t="shared" si="66"/>
        <v/>
      </c>
      <c r="AR159" s="34" t="str">
        <f>IF(AQ159="","",IF(I$8="A",(RANK(AQ159,AQ$11:AQ$368,1)+COUNTIF(AQ$11:AQ159,AQ159)-1),(RANK(AQ159,AQ$11:AQ$368)+COUNTIF(AQ$11:AQ159,AQ159)-1)))</f>
        <v/>
      </c>
      <c r="AS159" s="29" t="str">
        <f t="shared" si="67"/>
        <v/>
      </c>
      <c r="AT159" s="34" t="str">
        <f t="shared" si="58"/>
        <v/>
      </c>
      <c r="AU159" s="39" t="str">
        <f t="shared" si="71"/>
        <v/>
      </c>
      <c r="AX159" s="21">
        <f>HLOOKUP($AX$9&amp;$AX$10,Data!$A$1:$ZZ$2000,(MATCH($C159,Data!$A$1:$A$2000,0)),FALSE)</f>
        <v>76.18953351514763</v>
      </c>
      <c r="AY159" s="103"/>
      <c r="AZ159" s="21"/>
    </row>
    <row r="160" spans="1:52">
      <c r="A160" s="56" t="str">
        <f>$D$1&amp;150</f>
        <v>SD150</v>
      </c>
      <c r="B160" s="57">
        <f>IF(ISERROR(VLOOKUP(A160,classifications!A:C,3,FALSE)),0,VLOOKUP(A160,classifications!A:C,3,FALSE))</f>
        <v>0</v>
      </c>
      <c r="C160" s="8" t="s">
        <v>90</v>
      </c>
      <c r="D160" s="26" t="str">
        <f>VLOOKUP($C160,classifications!$C:$J,4,FALSE)</f>
        <v>SD</v>
      </c>
      <c r="E160" s="26">
        <f>VLOOKUP(C160,classifications!C:K,9,FALSE)</f>
        <v>0</v>
      </c>
      <c r="F160" s="36">
        <f t="shared" si="50"/>
        <v>76.47326266238025</v>
      </c>
      <c r="G160" s="71"/>
      <c r="H160" s="37">
        <f t="shared" si="51"/>
        <v>76.47326266238025</v>
      </c>
      <c r="I160" s="77">
        <f>IF(H160="","",IF($I$8="A",(RANK(H160,H$11:H$368,1)+COUNTIF(H$11:H160,H160)-1),(RANK(H160,H$11:H$368)+COUNTIF(H$11:H160,H160)-1)))</f>
        <v>163</v>
      </c>
      <c r="J160" s="35"/>
      <c r="K160" s="28">
        <f t="shared" si="59"/>
        <v>150</v>
      </c>
      <c r="L160" s="36" t="str">
        <f t="shared" si="52"/>
        <v>Warwick</v>
      </c>
      <c r="M160" s="102">
        <f t="shared" si="60"/>
        <v>78.278033490637441</v>
      </c>
      <c r="N160" s="101">
        <f t="shared" si="61"/>
        <v>78.278033490637441</v>
      </c>
      <c r="O160" s="94" t="str">
        <f t="shared" si="53"/>
        <v/>
      </c>
      <c r="P160" s="94" t="str">
        <f t="shared" si="68"/>
        <v/>
      </c>
      <c r="Q160" s="94" t="str">
        <f t="shared" si="69"/>
        <v/>
      </c>
      <c r="R160" s="90">
        <f t="shared" si="70"/>
        <v>78.278033490637441</v>
      </c>
      <c r="S160" s="37" t="str">
        <f t="shared" si="62"/>
        <v/>
      </c>
      <c r="T160" s="176">
        <f>IF(L160="","",VLOOKUP(L160,classifications!C:K,9,FALSE))</f>
        <v>0</v>
      </c>
      <c r="U160" s="183" t="str">
        <f t="shared" si="54"/>
        <v/>
      </c>
      <c r="V160" s="184" t="str">
        <f>IF(U160="","",IF($I$8="A",(RANK(U160,U$11:U$368)+COUNTIF(U$11:U160,U160)-1),(RANK(U160,U$11:U$368,1)+COUNTIF(U$11:U160,U160)-1)))</f>
        <v/>
      </c>
      <c r="W160" s="185"/>
      <c r="X160" s="38" t="str">
        <f>IF(L160="","",VLOOKUP($L160,classifications!$C:$J,6,FALSE))</f>
        <v>Urban with City and Town</v>
      </c>
      <c r="Y160" s="26" t="str">
        <f t="shared" si="55"/>
        <v/>
      </c>
      <c r="Z160" s="34" t="str">
        <f>IF(Y160="","",IF(I$8="A",(RANK(Y160,Y$11:Y$368,1)+COUNTIF(Y$11:Y160,Y160)-1),(RANK(Y160,Y$11:Y$368)+COUNTIF(Y$11:Y160,Y160)-1)))</f>
        <v/>
      </c>
      <c r="AA160" s="188" t="str">
        <f>IF(L160="","",VLOOKUP($L160,classifications!C:I,7,FALSE))</f>
        <v>Predominantly Urban</v>
      </c>
      <c r="AB160" s="184" t="str">
        <f t="shared" si="63"/>
        <v/>
      </c>
      <c r="AC160" s="184" t="str">
        <f>IF(AB160="","",IF($I$8="A",(RANK(AB160,AB$11:AB$368)+COUNTIF(AB$11:AB160,AB160)-1),(RANK(AB160,AB$11:AB$368,1)+COUNTIF(AB$11:AB160,AB160)-1)))</f>
        <v/>
      </c>
      <c r="AD160" s="184"/>
      <c r="AE160" s="28" t="str">
        <f t="shared" si="49"/>
        <v/>
      </c>
      <c r="AG160" s="96"/>
      <c r="AH160" s="29"/>
      <c r="AI160" s="38" t="str">
        <f>IF(L160="","",VLOOKUP($L160,classifications!$C:$J,8,FALSE))</f>
        <v>Warwickshire</v>
      </c>
      <c r="AJ160" s="39" t="str">
        <f t="shared" si="56"/>
        <v/>
      </c>
      <c r="AK160" s="34" t="str">
        <f>IF(AJ160="","",IF(I$8="A",(RANK(AJ160,AJ$11:AJ$368,1)+COUNTIF(AJ$11:AJ160,AJ160)-1),(RANK(AJ160,AJ$11:AJ$368)+COUNTIF(AJ$11:AJ160,AJ160)-1)))</f>
        <v/>
      </c>
      <c r="AL160" s="29" t="str">
        <f t="shared" si="64"/>
        <v/>
      </c>
      <c r="AM160" s="8" t="str">
        <f t="shared" si="57"/>
        <v/>
      </c>
      <c r="AN160" s="8" t="str">
        <f t="shared" si="65"/>
        <v/>
      </c>
      <c r="AP160" s="38" t="str">
        <f>IF(L160="","",VLOOKUP($L160,classifications!$C:$E,3,FALSE))</f>
        <v>West Midlands</v>
      </c>
      <c r="AQ160" s="39" t="str">
        <f t="shared" si="66"/>
        <v/>
      </c>
      <c r="AR160" s="34" t="str">
        <f>IF(AQ160="","",IF(I$8="A",(RANK(AQ160,AQ$11:AQ$368,1)+COUNTIF(AQ$11:AQ160,AQ160)-1),(RANK(AQ160,AQ$11:AQ$368)+COUNTIF(AQ$11:AQ160,AQ160)-1)))</f>
        <v/>
      </c>
      <c r="AS160" s="29" t="str">
        <f t="shared" si="67"/>
        <v/>
      </c>
      <c r="AT160" s="34" t="str">
        <f t="shared" si="58"/>
        <v/>
      </c>
      <c r="AU160" s="39" t="str">
        <f t="shared" si="71"/>
        <v/>
      </c>
      <c r="AX160" s="21">
        <f>HLOOKUP($AX$9&amp;$AX$10,Data!$A$1:$ZZ$2000,(MATCH($C160,Data!$A$1:$A$2000,0)),FALSE)</f>
        <v>76.47326266238025</v>
      </c>
      <c r="AY160" s="103"/>
      <c r="AZ160" s="21"/>
    </row>
    <row r="161" spans="1:52">
      <c r="A161" s="56" t="str">
        <f>$D$1&amp;151</f>
        <v>SD151</v>
      </c>
      <c r="B161" s="57">
        <f>IF(ISERROR(VLOOKUP(A161,classifications!A:C,3,FALSE)),0,VLOOKUP(A161,classifications!A:C,3,FALSE))</f>
        <v>0</v>
      </c>
      <c r="C161" s="8" t="s">
        <v>270</v>
      </c>
      <c r="D161" s="26" t="str">
        <f>VLOOKUP($C161,classifications!$C:$J,4,FALSE)</f>
        <v>UA</v>
      </c>
      <c r="E161" s="26" t="str">
        <f>VLOOKUP(C161,classifications!C:K,9,FALSE)</f>
        <v>Sparse</v>
      </c>
      <c r="F161" s="36">
        <f t="shared" si="50"/>
        <v>82.57358904181693</v>
      </c>
      <c r="G161" s="71"/>
      <c r="H161" s="37" t="str">
        <f t="shared" si="51"/>
        <v/>
      </c>
      <c r="I161" s="77" t="str">
        <f>IF(H161="","",IF($I$8="A",(RANK(H161,H$11:H$368,1)+COUNTIF(H$11:H161,H161)-1),(RANK(H161,H$11:H$368)+COUNTIF(H$11:H161,H161)-1)))</f>
        <v/>
      </c>
      <c r="J161" s="35"/>
      <c r="K161" s="28">
        <f t="shared" si="59"/>
        <v>151</v>
      </c>
      <c r="L161" s="36" t="str">
        <f t="shared" si="52"/>
        <v>Erewash</v>
      </c>
      <c r="M161" s="102">
        <f t="shared" si="60"/>
        <v>78.048988136066228</v>
      </c>
      <c r="N161" s="101">
        <f t="shared" si="61"/>
        <v>78.048988136066228</v>
      </c>
      <c r="O161" s="94" t="str">
        <f t="shared" si="53"/>
        <v/>
      </c>
      <c r="P161" s="94" t="str">
        <f t="shared" si="68"/>
        <v/>
      </c>
      <c r="Q161" s="94" t="str">
        <f t="shared" si="69"/>
        <v/>
      </c>
      <c r="R161" s="90">
        <f t="shared" si="70"/>
        <v>78.048988136066228</v>
      </c>
      <c r="S161" s="37" t="str">
        <f t="shared" si="62"/>
        <v/>
      </c>
      <c r="T161" s="176">
        <f>IF(L161="","",VLOOKUP(L161,classifications!C:K,9,FALSE))</f>
        <v>0</v>
      </c>
      <c r="U161" s="183" t="str">
        <f t="shared" si="54"/>
        <v/>
      </c>
      <c r="V161" s="184" t="str">
        <f>IF(U161="","",IF($I$8="A",(RANK(U161,U$11:U$368)+COUNTIF(U$11:U161,U161)-1),(RANK(U161,U$11:U$368,1)+COUNTIF(U$11:U161,U161)-1)))</f>
        <v/>
      </c>
      <c r="W161" s="185"/>
      <c r="X161" s="38" t="str">
        <f>IF(L161="","",VLOOKUP($L161,classifications!$C:$J,6,FALSE))</f>
        <v>Urban with Minor Conurbation</v>
      </c>
      <c r="Y161" s="26" t="str">
        <f t="shared" si="55"/>
        <v/>
      </c>
      <c r="Z161" s="34" t="str">
        <f>IF(Y161="","",IF(I$8="A",(RANK(Y161,Y$11:Y$368,1)+COUNTIF(Y$11:Y161,Y161)-1),(RANK(Y161,Y$11:Y$368)+COUNTIF(Y$11:Y161,Y161)-1)))</f>
        <v/>
      </c>
      <c r="AA161" s="188" t="str">
        <f>IF(L161="","",VLOOKUP($L161,classifications!C:I,7,FALSE))</f>
        <v>Predominantly Urban</v>
      </c>
      <c r="AB161" s="184" t="str">
        <f t="shared" si="63"/>
        <v/>
      </c>
      <c r="AC161" s="184" t="str">
        <f>IF(AB161="","",IF($I$8="A",(RANK(AB161,AB$11:AB$368)+COUNTIF(AB$11:AB161,AB161)-1),(RANK(AB161,AB$11:AB$368,1)+COUNTIF(AB$11:AB161,AB161)-1)))</f>
        <v/>
      </c>
      <c r="AD161" s="184"/>
      <c r="AE161" s="28" t="str">
        <f t="shared" si="49"/>
        <v/>
      </c>
      <c r="AG161" s="96"/>
      <c r="AH161" s="29"/>
      <c r="AI161" s="38" t="str">
        <f>IF(L161="","",VLOOKUP($L161,classifications!$C:$J,8,FALSE))</f>
        <v>Derbyshire</v>
      </c>
      <c r="AJ161" s="39" t="str">
        <f t="shared" si="56"/>
        <v/>
      </c>
      <c r="AK161" s="34" t="str">
        <f>IF(AJ161="","",IF(I$8="A",(RANK(AJ161,AJ$11:AJ$368,1)+COUNTIF(AJ$11:AJ161,AJ161)-1),(RANK(AJ161,AJ$11:AJ$368)+COUNTIF(AJ$11:AJ161,AJ161)-1)))</f>
        <v/>
      </c>
      <c r="AL161" s="29" t="str">
        <f t="shared" si="64"/>
        <v/>
      </c>
      <c r="AM161" s="8" t="str">
        <f t="shared" si="57"/>
        <v/>
      </c>
      <c r="AN161" s="8" t="str">
        <f t="shared" si="65"/>
        <v/>
      </c>
      <c r="AP161" s="38" t="str">
        <f>IF(L161="","",VLOOKUP($L161,classifications!$C:$E,3,FALSE))</f>
        <v>East Midlands</v>
      </c>
      <c r="AQ161" s="39" t="str">
        <f t="shared" si="66"/>
        <v/>
      </c>
      <c r="AR161" s="34" t="str">
        <f>IF(AQ161="","",IF(I$8="A",(RANK(AQ161,AQ$11:AQ$368,1)+COUNTIF(AQ$11:AQ161,AQ161)-1),(RANK(AQ161,AQ$11:AQ$368)+COUNTIF(AQ$11:AQ161,AQ161)-1)))</f>
        <v/>
      </c>
      <c r="AS161" s="29" t="str">
        <f t="shared" si="67"/>
        <v/>
      </c>
      <c r="AT161" s="34" t="str">
        <f t="shared" si="58"/>
        <v/>
      </c>
      <c r="AU161" s="39" t="str">
        <f t="shared" si="71"/>
        <v/>
      </c>
      <c r="AX161" s="21">
        <f>HLOOKUP($AX$9&amp;$AX$10,Data!$A$1:$ZZ$2000,(MATCH($C161,Data!$A$1:$A$2000,0)),FALSE)</f>
        <v>82.57358904181693</v>
      </c>
      <c r="AY161" s="103"/>
      <c r="AZ161" s="21"/>
    </row>
    <row r="162" spans="1:52">
      <c r="A162" s="56" t="str">
        <f>$D$1&amp;152</f>
        <v>SD152</v>
      </c>
      <c r="B162" s="57">
        <f>IF(ISERROR(VLOOKUP(A162,classifications!A:C,3,FALSE)),0,VLOOKUP(A162,classifications!A:C,3,FALSE))</f>
        <v>0</v>
      </c>
      <c r="C162" s="8" t="s">
        <v>2</v>
      </c>
      <c r="D162" s="26">
        <f>VLOOKUP($C162,classifications!$C:$J,4,FALSE)</f>
        <v>0</v>
      </c>
      <c r="E162" s="26">
        <f>VLOOKUP(C162,classifications!C:K,9,FALSE)</f>
        <v>0</v>
      </c>
      <c r="F162" s="36">
        <f t="shared" si="50"/>
        <v>86.64856412405949</v>
      </c>
      <c r="G162" s="71"/>
      <c r="H162" s="37" t="str">
        <f t="shared" si="51"/>
        <v/>
      </c>
      <c r="I162" s="77" t="str">
        <f>IF(H162="","",IF($I$8="A",(RANK(H162,H$11:H$368,1)+COUNTIF(H$11:H162,H162)-1),(RANK(H162,H$11:H$368)+COUNTIF(H$11:H162,H162)-1)))</f>
        <v/>
      </c>
      <c r="J162" s="35"/>
      <c r="K162" s="28">
        <f t="shared" si="59"/>
        <v>152</v>
      </c>
      <c r="L162" s="36" t="str">
        <f t="shared" si="52"/>
        <v>Bassetlaw</v>
      </c>
      <c r="M162" s="102">
        <f t="shared" si="60"/>
        <v>77.942065091262734</v>
      </c>
      <c r="N162" s="101">
        <f t="shared" si="61"/>
        <v>77.942065091262734</v>
      </c>
      <c r="O162" s="94" t="str">
        <f t="shared" si="53"/>
        <v/>
      </c>
      <c r="P162" s="94" t="str">
        <f t="shared" si="68"/>
        <v/>
      </c>
      <c r="Q162" s="94" t="str">
        <f t="shared" si="69"/>
        <v/>
      </c>
      <c r="R162" s="90">
        <f t="shared" si="70"/>
        <v>77.942065091262734</v>
      </c>
      <c r="S162" s="37" t="str">
        <f t="shared" si="62"/>
        <v/>
      </c>
      <c r="T162" s="176">
        <f>IF(L162="","",VLOOKUP(L162,classifications!C:K,9,FALSE))</f>
        <v>0</v>
      </c>
      <c r="U162" s="183" t="str">
        <f t="shared" si="54"/>
        <v/>
      </c>
      <c r="V162" s="184" t="str">
        <f>IF(U162="","",IF($I$8="A",(RANK(U162,U$11:U$368)+COUNTIF(U$11:U162,U162)-1),(RANK(U162,U$11:U$368,1)+COUNTIF(U$11:U162,U162)-1)))</f>
        <v/>
      </c>
      <c r="W162" s="185"/>
      <c r="X162" s="38" t="str">
        <f>IF(L162="","",VLOOKUP($L162,classifications!$C:$J,6,FALSE))</f>
        <v xml:space="preserve">Largely Rural (rural including hub towns 50-79%) </v>
      </c>
      <c r="Y162" s="26" t="str">
        <f t="shared" si="55"/>
        <v/>
      </c>
      <c r="Z162" s="34" t="str">
        <f>IF(Y162="","",IF(I$8="A",(RANK(Y162,Y$11:Y$368,1)+COUNTIF(Y$11:Y162,Y162)-1),(RANK(Y162,Y$11:Y$368)+COUNTIF(Y$11:Y162,Y162)-1)))</f>
        <v/>
      </c>
      <c r="AA162" s="188" t="str">
        <f>IF(L162="","",VLOOKUP($L162,classifications!C:I,7,FALSE))</f>
        <v>Predominantly Rural</v>
      </c>
      <c r="AB162" s="184">
        <f t="shared" si="63"/>
        <v>77.942065091262734</v>
      </c>
      <c r="AC162" s="184">
        <f>IF(AB162="","",IF($I$8="A",(RANK(AB162,AB$11:AB$368)+COUNTIF(AB$11:AB162,AB162)-1),(RANK(AB162,AB$11:AB$368,1)+COUNTIF(AB$11:AB162,AB162)-1)))</f>
        <v>11</v>
      </c>
      <c r="AD162" s="184"/>
      <c r="AE162" s="28" t="str">
        <f t="shared" si="49"/>
        <v/>
      </c>
      <c r="AG162" s="96"/>
      <c r="AH162" s="29"/>
      <c r="AI162" s="38" t="str">
        <f>IF(L162="","",VLOOKUP($L162,classifications!$C:$J,8,FALSE))</f>
        <v>Nottinghamshire</v>
      </c>
      <c r="AJ162" s="39" t="str">
        <f t="shared" si="56"/>
        <v/>
      </c>
      <c r="AK162" s="34" t="str">
        <f>IF(AJ162="","",IF(I$8="A",(RANK(AJ162,AJ$11:AJ$368,1)+COUNTIF(AJ$11:AJ162,AJ162)-1),(RANK(AJ162,AJ$11:AJ$368)+COUNTIF(AJ$11:AJ162,AJ162)-1)))</f>
        <v/>
      </c>
      <c r="AL162" s="29" t="str">
        <f t="shared" si="64"/>
        <v/>
      </c>
      <c r="AM162" s="8" t="str">
        <f t="shared" si="57"/>
        <v/>
      </c>
      <c r="AN162" s="8" t="str">
        <f t="shared" si="65"/>
        <v/>
      </c>
      <c r="AP162" s="38" t="str">
        <f>IF(L162="","",VLOOKUP($L162,classifications!$C:$E,3,FALSE))</f>
        <v>East Midlands</v>
      </c>
      <c r="AQ162" s="39" t="str">
        <f t="shared" si="66"/>
        <v/>
      </c>
      <c r="AR162" s="34" t="str">
        <f>IF(AQ162="","",IF(I$8="A",(RANK(AQ162,AQ$11:AQ$368,1)+COUNTIF(AQ$11:AQ162,AQ162)-1),(RANK(AQ162,AQ$11:AQ$368)+COUNTIF(AQ$11:AQ162,AQ162)-1)))</f>
        <v/>
      </c>
      <c r="AS162" s="29" t="str">
        <f t="shared" si="67"/>
        <v/>
      </c>
      <c r="AT162" s="34" t="str">
        <f t="shared" si="58"/>
        <v/>
      </c>
      <c r="AU162" s="39" t="str">
        <f t="shared" si="71"/>
        <v/>
      </c>
      <c r="AX162" s="21">
        <f>HLOOKUP($AX$9&amp;$AX$10,Data!$A$1:$ZZ$2000,(MATCH($C162,Data!$A$1:$A$2000,0)),FALSE)</f>
        <v>86.64856412405949</v>
      </c>
      <c r="AY162" s="103"/>
      <c r="AZ162" s="21"/>
    </row>
    <row r="163" spans="1:52">
      <c r="A163" s="56" t="str">
        <f>$D$1&amp;153</f>
        <v>SD153</v>
      </c>
      <c r="B163" s="57">
        <f>IF(ISERROR(VLOOKUP(A163,classifications!A:C,3,FALSE)),0,VLOOKUP(A163,classifications!A:C,3,FALSE))</f>
        <v>0</v>
      </c>
      <c r="C163" s="8" t="s">
        <v>211</v>
      </c>
      <c r="D163" s="26" t="str">
        <f>VLOOKUP($C163,classifications!$C:$J,4,FALSE)</f>
        <v>L</v>
      </c>
      <c r="E163" s="26">
        <f>VLOOKUP(C163,classifications!C:K,9,FALSE)</f>
        <v>0</v>
      </c>
      <c r="F163" s="36">
        <f t="shared" si="50"/>
        <v>85.80510755984406</v>
      </c>
      <c r="G163" s="71"/>
      <c r="H163" s="37" t="str">
        <f t="shared" si="51"/>
        <v/>
      </c>
      <c r="I163" s="77" t="str">
        <f>IF(H163="","",IF($I$8="A",(RANK(H163,H$11:H$368,1)+COUNTIF(H$11:H163,H163)-1),(RANK(H163,H$11:H$368)+COUNTIF(H$11:H163,H163)-1)))</f>
        <v/>
      </c>
      <c r="J163" s="35"/>
      <c r="K163" s="28">
        <f t="shared" si="59"/>
        <v>153</v>
      </c>
      <c r="L163" s="36" t="str">
        <f t="shared" si="52"/>
        <v>Basildon</v>
      </c>
      <c r="M163" s="102">
        <f t="shared" si="60"/>
        <v>77.654289052948997</v>
      </c>
      <c r="N163" s="101">
        <f t="shared" si="61"/>
        <v>77.654289052948997</v>
      </c>
      <c r="O163" s="94" t="str">
        <f t="shared" si="53"/>
        <v/>
      </c>
      <c r="P163" s="94" t="str">
        <f t="shared" si="68"/>
        <v/>
      </c>
      <c r="Q163" s="94" t="str">
        <f t="shared" si="69"/>
        <v/>
      </c>
      <c r="R163" s="90">
        <f t="shared" si="70"/>
        <v>77.654289052948997</v>
      </c>
      <c r="S163" s="37" t="str">
        <f t="shared" si="62"/>
        <v/>
      </c>
      <c r="T163" s="176">
        <f>IF(L163="","",VLOOKUP(L163,classifications!C:K,9,FALSE))</f>
        <v>0</v>
      </c>
      <c r="U163" s="183" t="str">
        <f t="shared" si="54"/>
        <v/>
      </c>
      <c r="V163" s="184" t="str">
        <f>IF(U163="","",IF($I$8="A",(RANK(U163,U$11:U$368)+COUNTIF(U$11:U163,U163)-1),(RANK(U163,U$11:U$368,1)+COUNTIF(U$11:U163,U163)-1)))</f>
        <v/>
      </c>
      <c r="W163" s="185"/>
      <c r="X163" s="38" t="str">
        <f>IF(L163="","",VLOOKUP($L163,classifications!$C:$J,6,FALSE))</f>
        <v>Urban with City and Town</v>
      </c>
      <c r="Y163" s="26" t="str">
        <f t="shared" si="55"/>
        <v/>
      </c>
      <c r="Z163" s="34" t="str">
        <f>IF(Y163="","",IF(I$8="A",(RANK(Y163,Y$11:Y$368,1)+COUNTIF(Y$11:Y163,Y163)-1),(RANK(Y163,Y$11:Y$368)+COUNTIF(Y$11:Y163,Y163)-1)))</f>
        <v/>
      </c>
      <c r="AA163" s="188" t="str">
        <f>IF(L163="","",VLOOKUP($L163,classifications!C:I,7,FALSE))</f>
        <v>Predominantly Urban</v>
      </c>
      <c r="AB163" s="184" t="str">
        <f t="shared" si="63"/>
        <v/>
      </c>
      <c r="AC163" s="184" t="str">
        <f>IF(AB163="","",IF($I$8="A",(RANK(AB163,AB$11:AB$368)+COUNTIF(AB$11:AB163,AB163)-1),(RANK(AB163,AB$11:AB$368,1)+COUNTIF(AB$11:AB163,AB163)-1)))</f>
        <v/>
      </c>
      <c r="AD163" s="184"/>
      <c r="AE163" s="28" t="str">
        <f t="shared" ref="AE163:AE226" si="72">IF(AE162="","",IF(AE162+1&gt;(COUNT(AG:AG)),"",AE162+1))</f>
        <v/>
      </c>
      <c r="AG163" s="96"/>
      <c r="AH163" s="29"/>
      <c r="AI163" s="38" t="str">
        <f>IF(L163="","",VLOOKUP($L163,classifications!$C:$J,8,FALSE))</f>
        <v>Essex</v>
      </c>
      <c r="AJ163" s="39" t="str">
        <f t="shared" si="56"/>
        <v/>
      </c>
      <c r="AK163" s="34" t="str">
        <f>IF(AJ163="","",IF(I$8="A",(RANK(AJ163,AJ$11:AJ$368,1)+COUNTIF(AJ$11:AJ163,AJ163)-1),(RANK(AJ163,AJ$11:AJ$368)+COUNTIF(AJ$11:AJ163,AJ163)-1)))</f>
        <v/>
      </c>
      <c r="AL163" s="29" t="str">
        <f t="shared" si="64"/>
        <v/>
      </c>
      <c r="AM163" s="8" t="str">
        <f t="shared" si="57"/>
        <v/>
      </c>
      <c r="AN163" s="8" t="str">
        <f t="shared" si="65"/>
        <v/>
      </c>
      <c r="AP163" s="38" t="str">
        <f>IF(L163="","",VLOOKUP($L163,classifications!$C:$E,3,FALSE))</f>
        <v>East of England</v>
      </c>
      <c r="AQ163" s="39" t="str">
        <f t="shared" si="66"/>
        <v/>
      </c>
      <c r="AR163" s="34" t="str">
        <f>IF(AQ163="","",IF(I$8="A",(RANK(AQ163,AQ$11:AQ$368,1)+COUNTIF(AQ$11:AQ163,AQ163)-1),(RANK(AQ163,AQ$11:AQ$368)+COUNTIF(AQ$11:AQ163,AQ163)-1)))</f>
        <v/>
      </c>
      <c r="AS163" s="29" t="str">
        <f t="shared" si="67"/>
        <v/>
      </c>
      <c r="AT163" s="34" t="str">
        <f t="shared" si="58"/>
        <v/>
      </c>
      <c r="AU163" s="39" t="str">
        <f t="shared" si="71"/>
        <v/>
      </c>
      <c r="AX163" s="21">
        <f>HLOOKUP($AX$9&amp;$AX$10,Data!$A$1:$ZZ$2000,(MATCH($C163,Data!$A$1:$A$2000,0)),FALSE)</f>
        <v>85.80510755984406</v>
      </c>
      <c r="AY163" s="103"/>
      <c r="AZ163" s="21"/>
    </row>
    <row r="164" spans="1:52">
      <c r="A164" s="56" t="str">
        <f>$D$1&amp;154</f>
        <v>SD154</v>
      </c>
      <c r="B164" s="57">
        <f>IF(ISERROR(VLOOKUP(A164,classifications!A:C,3,FALSE)),0,VLOOKUP(A164,classifications!A:C,3,FALSE))</f>
        <v>0</v>
      </c>
      <c r="C164" s="8" t="s">
        <v>337</v>
      </c>
      <c r="D164" s="26" t="str">
        <f>VLOOKUP($C164,classifications!$C:$J,4,FALSE)</f>
        <v>L</v>
      </c>
      <c r="E164" s="26">
        <f>VLOOKUP(C164,classifications!C:K,9,FALSE)</f>
        <v>0</v>
      </c>
      <c r="F164" s="36">
        <f t="shared" si="50"/>
        <v>86.308909090871595</v>
      </c>
      <c r="G164" s="71"/>
      <c r="H164" s="37" t="str">
        <f t="shared" si="51"/>
        <v/>
      </c>
      <c r="I164" s="77" t="str">
        <f>IF(H164="","",IF($I$8="A",(RANK(H164,H$11:H$368,1)+COUNTIF(H$11:H164,H164)-1),(RANK(H164,H$11:H$368)+COUNTIF(H$11:H164,H164)-1)))</f>
        <v/>
      </c>
      <c r="J164" s="35"/>
      <c r="K164" s="28">
        <f t="shared" si="59"/>
        <v>154</v>
      </c>
      <c r="L164" s="36" t="str">
        <f t="shared" si="52"/>
        <v>South Staffordshire</v>
      </c>
      <c r="M164" s="102">
        <f t="shared" si="60"/>
        <v>77.648096291680531</v>
      </c>
      <c r="N164" s="101">
        <f t="shared" si="61"/>
        <v>77.648096291680531</v>
      </c>
      <c r="O164" s="94" t="str">
        <f t="shared" si="53"/>
        <v/>
      </c>
      <c r="P164" s="94" t="str">
        <f t="shared" si="68"/>
        <v/>
      </c>
      <c r="Q164" s="94" t="str">
        <f t="shared" si="69"/>
        <v/>
      </c>
      <c r="R164" s="90">
        <f t="shared" si="70"/>
        <v>77.648096291680531</v>
      </c>
      <c r="S164" s="37" t="str">
        <f t="shared" si="62"/>
        <v/>
      </c>
      <c r="T164" s="176" t="str">
        <f>IF(L164="","",VLOOKUP(L164,classifications!C:K,9,FALSE))</f>
        <v>Sparse</v>
      </c>
      <c r="U164" s="183">
        <f t="shared" si="54"/>
        <v>77.648096291680531</v>
      </c>
      <c r="V164" s="184">
        <f>IF(U164="","",IF($I$8="A",(RANK(U164,U$11:U$368)+COUNTIF(U$11:U164,U164)-1),(RANK(U164,U$11:U$368,1)+COUNTIF(U$11:U164,U164)-1)))</f>
        <v>10</v>
      </c>
      <c r="W164" s="185"/>
      <c r="X164" s="38" t="str">
        <f>IF(L164="","",VLOOKUP($L164,classifications!$C:$J,6,FALSE))</f>
        <v>Urban with Significant Rural (rural including hub towns 26-49%)</v>
      </c>
      <c r="Y164" s="26" t="str">
        <f t="shared" si="55"/>
        <v/>
      </c>
      <c r="Z164" s="34" t="str">
        <f>IF(Y164="","",IF(I$8="A",(RANK(Y164,Y$11:Y$368,1)+COUNTIF(Y$11:Y164,Y164)-1),(RANK(Y164,Y$11:Y$368)+COUNTIF(Y$11:Y164,Y164)-1)))</f>
        <v/>
      </c>
      <c r="AA164" s="188" t="str">
        <f>IF(L164="","",VLOOKUP($L164,classifications!C:I,7,FALSE))</f>
        <v>Significant Rural</v>
      </c>
      <c r="AB164" s="184" t="str">
        <f t="shared" si="63"/>
        <v/>
      </c>
      <c r="AC164" s="184" t="str">
        <f>IF(AB164="","",IF($I$8="A",(RANK(AB164,AB$11:AB$368)+COUNTIF(AB$11:AB164,AB164)-1),(RANK(AB164,AB$11:AB$368,1)+COUNTIF(AB$11:AB164,AB164)-1)))</f>
        <v/>
      </c>
      <c r="AD164" s="184"/>
      <c r="AE164" s="28" t="str">
        <f t="shared" si="72"/>
        <v/>
      </c>
      <c r="AG164" s="96"/>
      <c r="AH164" s="29"/>
      <c r="AI164" s="38" t="str">
        <f>IF(L164="","",VLOOKUP($L164,classifications!$C:$J,8,FALSE))</f>
        <v>Staffordshire</v>
      </c>
      <c r="AJ164" s="39" t="str">
        <f t="shared" si="56"/>
        <v/>
      </c>
      <c r="AK164" s="34" t="str">
        <f>IF(AJ164="","",IF(I$8="A",(RANK(AJ164,AJ$11:AJ$368,1)+COUNTIF(AJ$11:AJ164,AJ164)-1),(RANK(AJ164,AJ$11:AJ$368)+COUNTIF(AJ$11:AJ164,AJ164)-1)))</f>
        <v/>
      </c>
      <c r="AL164" s="29" t="str">
        <f t="shared" si="64"/>
        <v/>
      </c>
      <c r="AM164" s="8" t="str">
        <f t="shared" si="57"/>
        <v/>
      </c>
      <c r="AN164" s="8" t="str">
        <f t="shared" si="65"/>
        <v/>
      </c>
      <c r="AP164" s="38" t="str">
        <f>IF(L164="","",VLOOKUP($L164,classifications!$C:$E,3,FALSE))</f>
        <v>West Midlands</v>
      </c>
      <c r="AQ164" s="39" t="str">
        <f t="shared" si="66"/>
        <v/>
      </c>
      <c r="AR164" s="34" t="str">
        <f>IF(AQ164="","",IF(I$8="A",(RANK(AQ164,AQ$11:AQ$368,1)+COUNTIF(AQ$11:AQ164,AQ164)-1),(RANK(AQ164,AQ$11:AQ$368)+COUNTIF(AQ$11:AQ164,AQ164)-1)))</f>
        <v/>
      </c>
      <c r="AS164" s="29" t="str">
        <f t="shared" si="67"/>
        <v/>
      </c>
      <c r="AT164" s="34" t="str">
        <f t="shared" si="58"/>
        <v/>
      </c>
      <c r="AU164" s="39" t="str">
        <f t="shared" si="71"/>
        <v/>
      </c>
      <c r="AX164" s="21">
        <f>HLOOKUP($AX$9&amp;$AX$10,Data!$A$1:$ZZ$2000,(MATCH($C164,Data!$A$1:$A$2000,0)),FALSE)</f>
        <v>86.308909090871595</v>
      </c>
      <c r="AY164" s="103"/>
      <c r="AZ164" s="21"/>
    </row>
    <row r="165" spans="1:52">
      <c r="A165" s="56" t="str">
        <f>$D$1&amp;155</f>
        <v>SD155</v>
      </c>
      <c r="B165" s="57">
        <f>IF(ISERROR(VLOOKUP(A165,classifications!A:C,3,FALSE)),0,VLOOKUP(A165,classifications!A:C,3,FALSE))</f>
        <v>0</v>
      </c>
      <c r="C165" s="8" t="s">
        <v>315</v>
      </c>
      <c r="D165" s="26" t="str">
        <f>VLOOKUP($C165,classifications!$C:$J,4,FALSE)</f>
        <v>SC</v>
      </c>
      <c r="E165" s="26">
        <f>VLOOKUP(C165,classifications!C:K,9,FALSE)</f>
        <v>0</v>
      </c>
      <c r="F165" s="36">
        <f t="shared" si="50"/>
        <v>80.59948111436735</v>
      </c>
      <c r="G165" s="71"/>
      <c r="H165" s="37" t="str">
        <f t="shared" si="51"/>
        <v/>
      </c>
      <c r="I165" s="77" t="str">
        <f>IF(H165="","",IF($I$8="A",(RANK(H165,H$11:H$368,1)+COUNTIF(H$11:H165,H165)-1),(RANK(H165,H$11:H$368)+COUNTIF(H$11:H165,H165)-1)))</f>
        <v/>
      </c>
      <c r="J165" s="35"/>
      <c r="K165" s="28">
        <f t="shared" si="59"/>
        <v>155</v>
      </c>
      <c r="L165" s="36" t="str">
        <f t="shared" si="52"/>
        <v>Chesterfield</v>
      </c>
      <c r="M165" s="102">
        <f t="shared" si="60"/>
        <v>77.603153628558843</v>
      </c>
      <c r="N165" s="101">
        <f t="shared" si="61"/>
        <v>77.603153628558843</v>
      </c>
      <c r="O165" s="94" t="str">
        <f t="shared" si="53"/>
        <v/>
      </c>
      <c r="P165" s="94" t="str">
        <f t="shared" si="68"/>
        <v/>
      </c>
      <c r="Q165" s="94" t="str">
        <f t="shared" si="69"/>
        <v/>
      </c>
      <c r="R165" s="90">
        <f t="shared" si="70"/>
        <v>77.603153628558843</v>
      </c>
      <c r="S165" s="37" t="str">
        <f t="shared" si="62"/>
        <v/>
      </c>
      <c r="T165" s="176">
        <f>IF(L165="","",VLOOKUP(L165,classifications!C:K,9,FALSE))</f>
        <v>0</v>
      </c>
      <c r="U165" s="183" t="str">
        <f t="shared" si="54"/>
        <v/>
      </c>
      <c r="V165" s="184" t="str">
        <f>IF(U165="","",IF($I$8="A",(RANK(U165,U$11:U$368)+COUNTIF(U$11:U165,U165)-1),(RANK(U165,U$11:U$368,1)+COUNTIF(U$11:U165,U165)-1)))</f>
        <v/>
      </c>
      <c r="W165" s="185"/>
      <c r="X165" s="38" t="str">
        <f>IF(L165="","",VLOOKUP($L165,classifications!$C:$J,6,FALSE))</f>
        <v>Urban with City and Town</v>
      </c>
      <c r="Y165" s="26" t="str">
        <f t="shared" si="55"/>
        <v/>
      </c>
      <c r="Z165" s="34" t="str">
        <f>IF(Y165="","",IF(I$8="A",(RANK(Y165,Y$11:Y$368,1)+COUNTIF(Y$11:Y165,Y165)-1),(RANK(Y165,Y$11:Y$368)+COUNTIF(Y$11:Y165,Y165)-1)))</f>
        <v/>
      </c>
      <c r="AA165" s="188" t="str">
        <f>IF(L165="","",VLOOKUP($L165,classifications!C:I,7,FALSE))</f>
        <v>Predominantly Urban</v>
      </c>
      <c r="AB165" s="184" t="str">
        <f t="shared" si="63"/>
        <v/>
      </c>
      <c r="AC165" s="184" t="str">
        <f>IF(AB165="","",IF($I$8="A",(RANK(AB165,AB$11:AB$368)+COUNTIF(AB$11:AB165,AB165)-1),(RANK(AB165,AB$11:AB$368,1)+COUNTIF(AB$11:AB165,AB165)-1)))</f>
        <v/>
      </c>
      <c r="AD165" s="184"/>
      <c r="AE165" s="28" t="str">
        <f t="shared" si="72"/>
        <v/>
      </c>
      <c r="AG165" s="96"/>
      <c r="AH165" s="29"/>
      <c r="AI165" s="38" t="str">
        <f>IF(L165="","",VLOOKUP($L165,classifications!$C:$J,8,FALSE))</f>
        <v>Derbyshire</v>
      </c>
      <c r="AJ165" s="39" t="str">
        <f t="shared" si="56"/>
        <v/>
      </c>
      <c r="AK165" s="34" t="str">
        <f>IF(AJ165="","",IF(I$8="A",(RANK(AJ165,AJ$11:AJ$368,1)+COUNTIF(AJ$11:AJ165,AJ165)-1),(RANK(AJ165,AJ$11:AJ$368)+COUNTIF(AJ$11:AJ165,AJ165)-1)))</f>
        <v/>
      </c>
      <c r="AL165" s="29" t="str">
        <f t="shared" si="64"/>
        <v/>
      </c>
      <c r="AM165" s="8" t="str">
        <f t="shared" si="57"/>
        <v/>
      </c>
      <c r="AN165" s="8" t="str">
        <f t="shared" si="65"/>
        <v/>
      </c>
      <c r="AP165" s="38" t="str">
        <f>IF(L165="","",VLOOKUP($L165,classifications!$C:$E,3,FALSE))</f>
        <v>East Midlands</v>
      </c>
      <c r="AQ165" s="39" t="str">
        <f t="shared" si="66"/>
        <v/>
      </c>
      <c r="AR165" s="34" t="str">
        <f>IF(AQ165="","",IF(I$8="A",(RANK(AQ165,AQ$11:AQ$368,1)+COUNTIF(AQ$11:AQ165,AQ165)-1),(RANK(AQ165,AQ$11:AQ$368)+COUNTIF(AQ$11:AQ165,AQ165)-1)))</f>
        <v/>
      </c>
      <c r="AS165" s="29" t="str">
        <f t="shared" si="67"/>
        <v/>
      </c>
      <c r="AT165" s="34" t="str">
        <f t="shared" si="58"/>
        <v/>
      </c>
      <c r="AU165" s="39" t="str">
        <f t="shared" si="71"/>
        <v/>
      </c>
      <c r="AX165" s="21">
        <f>HLOOKUP($AX$9&amp;$AX$10,Data!$A$1:$ZZ$2000,(MATCH($C165,Data!$A$1:$A$2000,0)),FALSE)</f>
        <v>80.59948111436735</v>
      </c>
      <c r="AY165" s="103"/>
      <c r="AZ165" s="21"/>
    </row>
    <row r="166" spans="1:52">
      <c r="A166" s="56" t="str">
        <f>$D$1&amp;156</f>
        <v>SD156</v>
      </c>
      <c r="B166" s="57">
        <f>IF(ISERROR(VLOOKUP(A166,classifications!A:C,3,FALSE)),0,VLOOKUP(A166,classifications!A:C,3,FALSE))</f>
        <v>0</v>
      </c>
      <c r="C166" s="8" t="s">
        <v>91</v>
      </c>
      <c r="D166" s="26" t="str">
        <f>VLOOKUP($C166,classifications!$C:$J,4,FALSE)</f>
        <v>SD</v>
      </c>
      <c r="E166" s="26">
        <f>VLOOKUP(C166,classifications!C:K,9,FALSE)</f>
        <v>0</v>
      </c>
      <c r="F166" s="36">
        <f t="shared" si="50"/>
        <v>79.658934383201213</v>
      </c>
      <c r="G166" s="71"/>
      <c r="H166" s="37">
        <f t="shared" si="51"/>
        <v>79.658934383201213</v>
      </c>
      <c r="I166" s="77">
        <f>IF(H166="","",IF($I$8="A",(RANK(H166,H$11:H$368,1)+COUNTIF(H$11:H166,H166)-1),(RANK(H166,H$11:H$368)+COUNTIF(H$11:H166,H166)-1)))</f>
        <v>123</v>
      </c>
      <c r="J166" s="35"/>
      <c r="K166" s="28">
        <f t="shared" si="59"/>
        <v>156</v>
      </c>
      <c r="L166" s="36" t="str">
        <f t="shared" si="52"/>
        <v>Swale</v>
      </c>
      <c r="M166" s="102">
        <f t="shared" si="60"/>
        <v>77.582938181002405</v>
      </c>
      <c r="N166" s="101">
        <f t="shared" si="61"/>
        <v>77.582938181002405</v>
      </c>
      <c r="O166" s="94" t="str">
        <f t="shared" si="53"/>
        <v/>
      </c>
      <c r="P166" s="94" t="str">
        <f t="shared" si="68"/>
        <v/>
      </c>
      <c r="Q166" s="94" t="str">
        <f t="shared" si="69"/>
        <v/>
      </c>
      <c r="R166" s="90">
        <f t="shared" si="70"/>
        <v>77.582938181002405</v>
      </c>
      <c r="S166" s="37" t="str">
        <f t="shared" si="62"/>
        <v/>
      </c>
      <c r="T166" s="176">
        <f>IF(L166="","",VLOOKUP(L166,classifications!C:K,9,FALSE))</f>
        <v>0</v>
      </c>
      <c r="U166" s="183" t="str">
        <f t="shared" si="54"/>
        <v/>
      </c>
      <c r="V166" s="184" t="str">
        <f>IF(U166="","",IF($I$8="A",(RANK(U166,U$11:U$368)+COUNTIF(U$11:U166,U166)-1),(RANK(U166,U$11:U$368,1)+COUNTIF(U$11:U166,U166)-1)))</f>
        <v/>
      </c>
      <c r="W166" s="185"/>
      <c r="X166" s="38" t="str">
        <f>IF(L166="","",VLOOKUP($L166,classifications!$C:$J,6,FALSE))</f>
        <v xml:space="preserve">Largely Rural (rural including hub towns 50-79%) </v>
      </c>
      <c r="Y166" s="26" t="str">
        <f t="shared" si="55"/>
        <v/>
      </c>
      <c r="Z166" s="34" t="str">
        <f>IF(Y166="","",IF(I$8="A",(RANK(Y166,Y$11:Y$368,1)+COUNTIF(Y$11:Y166,Y166)-1),(RANK(Y166,Y$11:Y$368)+COUNTIF(Y$11:Y166,Y166)-1)))</f>
        <v/>
      </c>
      <c r="AA166" s="188" t="str">
        <f>IF(L166="","",VLOOKUP($L166,classifications!C:I,7,FALSE))</f>
        <v>Predominantly Rural</v>
      </c>
      <c r="AB166" s="184">
        <f t="shared" si="63"/>
        <v>77.582938181002405</v>
      </c>
      <c r="AC166" s="184">
        <f>IF(AB166="","",IF($I$8="A",(RANK(AB166,AB$11:AB$368)+COUNTIF(AB$11:AB166,AB166)-1),(RANK(AB166,AB$11:AB$368,1)+COUNTIF(AB$11:AB166,AB166)-1)))</f>
        <v>10</v>
      </c>
      <c r="AD166" s="184"/>
      <c r="AE166" s="28" t="str">
        <f t="shared" si="72"/>
        <v/>
      </c>
      <c r="AG166" s="96"/>
      <c r="AH166" s="29"/>
      <c r="AI166" s="38" t="str">
        <f>IF(L166="","",VLOOKUP($L166,classifications!$C:$J,8,FALSE))</f>
        <v>Kent</v>
      </c>
      <c r="AJ166" s="39" t="str">
        <f t="shared" si="56"/>
        <v/>
      </c>
      <c r="AK166" s="34" t="str">
        <f>IF(AJ166="","",IF(I$8="A",(RANK(AJ166,AJ$11:AJ$368,1)+COUNTIF(AJ$11:AJ166,AJ166)-1),(RANK(AJ166,AJ$11:AJ$368)+COUNTIF(AJ$11:AJ166,AJ166)-1)))</f>
        <v/>
      </c>
      <c r="AL166" s="29" t="str">
        <f t="shared" si="64"/>
        <v/>
      </c>
      <c r="AM166" s="8" t="str">
        <f t="shared" si="57"/>
        <v/>
      </c>
      <c r="AN166" s="8" t="str">
        <f t="shared" si="65"/>
        <v/>
      </c>
      <c r="AP166" s="38" t="str">
        <f>IF(L166="","",VLOOKUP($L166,classifications!$C:$E,3,FALSE))</f>
        <v>South East</v>
      </c>
      <c r="AQ166" s="39" t="str">
        <f t="shared" si="66"/>
        <v/>
      </c>
      <c r="AR166" s="34" t="str">
        <f>IF(AQ166="","",IF(I$8="A",(RANK(AQ166,AQ$11:AQ$368,1)+COUNTIF(AQ$11:AQ166,AQ166)-1),(RANK(AQ166,AQ$11:AQ$368)+COUNTIF(AQ$11:AQ166,AQ166)-1)))</f>
        <v/>
      </c>
      <c r="AS166" s="29" t="str">
        <f t="shared" si="67"/>
        <v/>
      </c>
      <c r="AT166" s="34" t="str">
        <f t="shared" si="58"/>
        <v/>
      </c>
      <c r="AU166" s="39" t="str">
        <f t="shared" si="71"/>
        <v/>
      </c>
      <c r="AX166" s="21">
        <f>HLOOKUP($AX$9&amp;$AX$10,Data!$A$1:$ZZ$2000,(MATCH($C166,Data!$A$1:$A$2000,0)),FALSE)</f>
        <v>79.658934383201213</v>
      </c>
      <c r="AY166" s="103"/>
      <c r="AZ166" s="21"/>
    </row>
    <row r="167" spans="1:52">
      <c r="A167" s="56" t="str">
        <f>$D$1&amp;157</f>
        <v>SD157</v>
      </c>
      <c r="B167" s="57">
        <f>IF(ISERROR(VLOOKUP(A167,classifications!A:C,3,FALSE)),0,VLOOKUP(A167,classifications!A:C,3,FALSE))</f>
        <v>0</v>
      </c>
      <c r="C167" s="8" t="s">
        <v>376</v>
      </c>
      <c r="D167" s="26" t="str">
        <f>VLOOKUP($C167,classifications!$C:$J,4,FALSE)</f>
        <v>SD</v>
      </c>
      <c r="E167" s="26" t="str">
        <f>VLOOKUP(C167,classifications!C:K,9,FALSE)</f>
        <v>Sparse</v>
      </c>
      <c r="F167" s="36">
        <f t="shared" si="50"/>
        <v>78.824074242019719</v>
      </c>
      <c r="G167" s="71"/>
      <c r="H167" s="37">
        <f t="shared" si="51"/>
        <v>78.824074242019719</v>
      </c>
      <c r="I167" s="77">
        <f>IF(H167="","",IF($I$8="A",(RANK(H167,H$11:H$368,1)+COUNTIF(H$11:H167,H167)-1),(RANK(H167,H$11:H$368)+COUNTIF(H$11:H167,H167)-1)))</f>
        <v>138</v>
      </c>
      <c r="J167" s="35"/>
      <c r="K167" s="28">
        <f t="shared" si="59"/>
        <v>157</v>
      </c>
      <c r="L167" s="36" t="str">
        <f t="shared" si="52"/>
        <v>Stevenage</v>
      </c>
      <c r="M167" s="102">
        <f t="shared" si="60"/>
        <v>77.517422619143645</v>
      </c>
      <c r="N167" s="101">
        <f t="shared" si="61"/>
        <v>77.517422619143645</v>
      </c>
      <c r="O167" s="94" t="str">
        <f t="shared" si="53"/>
        <v/>
      </c>
      <c r="P167" s="94" t="str">
        <f t="shared" si="68"/>
        <v/>
      </c>
      <c r="Q167" s="94" t="str">
        <f t="shared" si="69"/>
        <v/>
      </c>
      <c r="R167" s="90">
        <f t="shared" si="70"/>
        <v>77.517422619143645</v>
      </c>
      <c r="S167" s="37" t="str">
        <f t="shared" si="62"/>
        <v/>
      </c>
      <c r="T167" s="176">
        <f>IF(L167="","",VLOOKUP(L167,classifications!C:K,9,FALSE))</f>
        <v>0</v>
      </c>
      <c r="U167" s="183" t="str">
        <f t="shared" si="54"/>
        <v/>
      </c>
      <c r="V167" s="184" t="str">
        <f>IF(U167="","",IF($I$8="A",(RANK(U167,U$11:U$368)+COUNTIF(U$11:U167,U167)-1),(RANK(U167,U$11:U$368,1)+COUNTIF(U$11:U167,U167)-1)))</f>
        <v/>
      </c>
      <c r="W167" s="185"/>
      <c r="X167" s="38" t="str">
        <f>IF(L167="","",VLOOKUP($L167,classifications!$C:$J,6,FALSE))</f>
        <v>Urban with City and Town</v>
      </c>
      <c r="Y167" s="26" t="str">
        <f t="shared" si="55"/>
        <v/>
      </c>
      <c r="Z167" s="34" t="str">
        <f>IF(Y167="","",IF(I$8="A",(RANK(Y167,Y$11:Y$368,1)+COUNTIF(Y$11:Y167,Y167)-1),(RANK(Y167,Y$11:Y$368)+COUNTIF(Y$11:Y167,Y167)-1)))</f>
        <v/>
      </c>
      <c r="AA167" s="188" t="str">
        <f>IF(L167="","",VLOOKUP($L167,classifications!C:I,7,FALSE))</f>
        <v>Predominantly Urban</v>
      </c>
      <c r="AB167" s="184" t="str">
        <f t="shared" si="63"/>
        <v/>
      </c>
      <c r="AC167" s="184" t="str">
        <f>IF(AB167="","",IF($I$8="A",(RANK(AB167,AB$11:AB$368)+COUNTIF(AB$11:AB167,AB167)-1),(RANK(AB167,AB$11:AB$368,1)+COUNTIF(AB$11:AB167,AB167)-1)))</f>
        <v/>
      </c>
      <c r="AD167" s="184"/>
      <c r="AE167" s="28" t="str">
        <f t="shared" si="72"/>
        <v/>
      </c>
      <c r="AG167" s="96"/>
      <c r="AH167" s="29"/>
      <c r="AI167" s="38" t="str">
        <f>IF(L167="","",VLOOKUP($L167,classifications!$C:$J,8,FALSE))</f>
        <v>Hertfordshire</v>
      </c>
      <c r="AJ167" s="39" t="str">
        <f t="shared" si="56"/>
        <v/>
      </c>
      <c r="AK167" s="34" t="str">
        <f>IF(AJ167="","",IF(I$8="A",(RANK(AJ167,AJ$11:AJ$368,1)+COUNTIF(AJ$11:AJ167,AJ167)-1),(RANK(AJ167,AJ$11:AJ$368)+COUNTIF(AJ$11:AJ167,AJ167)-1)))</f>
        <v/>
      </c>
      <c r="AL167" s="29" t="str">
        <f t="shared" si="64"/>
        <v/>
      </c>
      <c r="AM167" s="8" t="str">
        <f t="shared" si="57"/>
        <v/>
      </c>
      <c r="AN167" s="8" t="str">
        <f t="shared" si="65"/>
        <v/>
      </c>
      <c r="AP167" s="38" t="str">
        <f>IF(L167="","",VLOOKUP($L167,classifications!$C:$E,3,FALSE))</f>
        <v>East of England</v>
      </c>
      <c r="AQ167" s="39" t="str">
        <f t="shared" si="66"/>
        <v/>
      </c>
      <c r="AR167" s="34" t="str">
        <f>IF(AQ167="","",IF(I$8="A",(RANK(AQ167,AQ$11:AQ$368,1)+COUNTIF(AQ$11:AQ167,AQ167)-1),(RANK(AQ167,AQ$11:AQ$368)+COUNTIF(AQ$11:AQ167,AQ167)-1)))</f>
        <v/>
      </c>
      <c r="AS167" s="29" t="str">
        <f t="shared" si="67"/>
        <v/>
      </c>
      <c r="AT167" s="34" t="str">
        <f t="shared" si="58"/>
        <v/>
      </c>
      <c r="AU167" s="39" t="str">
        <f t="shared" si="71"/>
        <v/>
      </c>
      <c r="AX167" s="21">
        <f>HLOOKUP($AX$9&amp;$AX$10,Data!$A$1:$ZZ$2000,(MATCH($C167,Data!$A$1:$A$2000,0)),FALSE)</f>
        <v>78.824074242019719</v>
      </c>
      <c r="AY167" s="103"/>
      <c r="AZ167" s="21"/>
    </row>
    <row r="168" spans="1:52">
      <c r="A168" s="56" t="str">
        <f>$D$1&amp;158</f>
        <v>SD158</v>
      </c>
      <c r="B168" s="57">
        <f>IF(ISERROR(VLOOKUP(A168,classifications!A:C,3,FALSE)),0,VLOOKUP(A168,classifications!A:C,3,FALSE))</f>
        <v>0</v>
      </c>
      <c r="C168" s="8" t="s">
        <v>817</v>
      </c>
      <c r="D168" s="26" t="str">
        <f>VLOOKUP($C168,classifications!$C:$J,4,FALSE)</f>
        <v>UA</v>
      </c>
      <c r="E168" s="26">
        <f>VLOOKUP(C168,classifications!C:K,9,FALSE)</f>
        <v>0</v>
      </c>
      <c r="F168" s="36">
        <f t="shared" si="50"/>
        <v>75.393518550268297</v>
      </c>
      <c r="G168" s="71"/>
      <c r="H168" s="37" t="str">
        <f t="shared" si="51"/>
        <v/>
      </c>
      <c r="I168" s="77" t="str">
        <f>IF(H168="","",IF($I$8="A",(RANK(H168,H$11:H$368,1)+COUNTIF(H$11:H168,H168)-1),(RANK(H168,H$11:H$368)+COUNTIF(H$11:H168,H168)-1)))</f>
        <v/>
      </c>
      <c r="J168" s="35"/>
      <c r="K168" s="28">
        <f t="shared" si="59"/>
        <v>158</v>
      </c>
      <c r="L168" s="36" t="str">
        <f t="shared" si="52"/>
        <v>Rushmoor</v>
      </c>
      <c r="M168" s="102">
        <f t="shared" si="60"/>
        <v>77.489347327528819</v>
      </c>
      <c r="N168" s="101">
        <f t="shared" si="61"/>
        <v>77.489347327528819</v>
      </c>
      <c r="O168" s="94" t="str">
        <f t="shared" si="53"/>
        <v/>
      </c>
      <c r="P168" s="94" t="str">
        <f t="shared" si="68"/>
        <v/>
      </c>
      <c r="Q168" s="94" t="str">
        <f t="shared" si="69"/>
        <v/>
      </c>
      <c r="R168" s="90">
        <f t="shared" si="70"/>
        <v>77.489347327528819</v>
      </c>
      <c r="S168" s="37" t="str">
        <f t="shared" si="62"/>
        <v/>
      </c>
      <c r="T168" s="176">
        <f>IF(L168="","",VLOOKUP(L168,classifications!C:K,9,FALSE))</f>
        <v>0</v>
      </c>
      <c r="U168" s="183" t="str">
        <f t="shared" si="54"/>
        <v/>
      </c>
      <c r="V168" s="184" t="str">
        <f>IF(U168="","",IF($I$8="A",(RANK(U168,U$11:U$368)+COUNTIF(U$11:U168,U168)-1),(RANK(U168,U$11:U$368,1)+COUNTIF(U$11:U168,U168)-1)))</f>
        <v/>
      </c>
      <c r="W168" s="185"/>
      <c r="X168" s="38" t="str">
        <f>IF(L168="","",VLOOKUP($L168,classifications!$C:$J,6,FALSE))</f>
        <v>Urban with City and Town</v>
      </c>
      <c r="Y168" s="26" t="str">
        <f t="shared" si="55"/>
        <v/>
      </c>
      <c r="Z168" s="34" t="str">
        <f>IF(Y168="","",IF(I$8="A",(RANK(Y168,Y$11:Y$368,1)+COUNTIF(Y$11:Y168,Y168)-1),(RANK(Y168,Y$11:Y$368)+COUNTIF(Y$11:Y168,Y168)-1)))</f>
        <v/>
      </c>
      <c r="AA168" s="188" t="str">
        <f>IF(L168="","",VLOOKUP($L168,classifications!C:I,7,FALSE))</f>
        <v>Predominantly Urban</v>
      </c>
      <c r="AB168" s="184" t="str">
        <f t="shared" si="63"/>
        <v/>
      </c>
      <c r="AC168" s="184" t="str">
        <f>IF(AB168="","",IF($I$8="A",(RANK(AB168,AB$11:AB$368)+COUNTIF(AB$11:AB168,AB168)-1),(RANK(AB168,AB$11:AB$368,1)+COUNTIF(AB$11:AB168,AB168)-1)))</f>
        <v/>
      </c>
      <c r="AD168" s="184"/>
      <c r="AE168" s="28" t="str">
        <f t="shared" si="72"/>
        <v/>
      </c>
      <c r="AG168" s="96"/>
      <c r="AH168" s="29"/>
      <c r="AI168" s="38" t="str">
        <f>IF(L168="","",VLOOKUP($L168,classifications!$C:$J,8,FALSE))</f>
        <v>Hampshire</v>
      </c>
      <c r="AJ168" s="39" t="str">
        <f t="shared" si="56"/>
        <v/>
      </c>
      <c r="AK168" s="34" t="str">
        <f>IF(AJ168="","",IF(I$8="A",(RANK(AJ168,AJ$11:AJ$368,1)+COUNTIF(AJ$11:AJ168,AJ168)-1),(RANK(AJ168,AJ$11:AJ$368)+COUNTIF(AJ$11:AJ168,AJ168)-1)))</f>
        <v/>
      </c>
      <c r="AL168" s="29" t="str">
        <f t="shared" si="64"/>
        <v/>
      </c>
      <c r="AM168" s="8" t="str">
        <f t="shared" si="57"/>
        <v/>
      </c>
      <c r="AN168" s="8" t="str">
        <f t="shared" si="65"/>
        <v/>
      </c>
      <c r="AP168" s="38" t="str">
        <f>IF(L168="","",VLOOKUP($L168,classifications!$C:$E,3,FALSE))</f>
        <v>South East</v>
      </c>
      <c r="AQ168" s="39" t="str">
        <f t="shared" si="66"/>
        <v/>
      </c>
      <c r="AR168" s="34" t="str">
        <f>IF(AQ168="","",IF(I$8="A",(RANK(AQ168,AQ$11:AQ$368,1)+COUNTIF(AQ$11:AQ168,AQ168)-1),(RANK(AQ168,AQ$11:AQ$368)+COUNTIF(AQ$11:AQ168,AQ168)-1)))</f>
        <v/>
      </c>
      <c r="AS168" s="29" t="str">
        <f t="shared" si="67"/>
        <v/>
      </c>
      <c r="AT168" s="34" t="str">
        <f t="shared" si="58"/>
        <v/>
      </c>
      <c r="AU168" s="39" t="str">
        <f t="shared" si="71"/>
        <v/>
      </c>
      <c r="AX168" s="21">
        <f>HLOOKUP($AX$9&amp;$AX$10,Data!$A$1:$ZZ$2000,(MATCH($C168,Data!$A$1:$A$2000,0)),FALSE)</f>
        <v>75.393518550268297</v>
      </c>
      <c r="AY168" s="103"/>
      <c r="AZ168" s="21"/>
    </row>
    <row r="169" spans="1:52">
      <c r="A169" s="56" t="str">
        <f>$D$1&amp;159</f>
        <v>SD159</v>
      </c>
      <c r="B169" s="57">
        <f>IF(ISERROR(VLOOKUP(A169,classifications!A:C,3,FALSE)),0,VLOOKUP(A169,classifications!A:C,3,FALSE))</f>
        <v>0</v>
      </c>
      <c r="C169" s="8" t="s">
        <v>392</v>
      </c>
      <c r="D169" s="26" t="str">
        <f>VLOOKUP($C169,classifications!$C:$J,4,FALSE)</f>
        <v>L</v>
      </c>
      <c r="E169" s="26">
        <f>VLOOKUP(C169,classifications!C:K,9,FALSE)</f>
        <v>0</v>
      </c>
      <c r="F169" s="36">
        <f t="shared" si="50"/>
        <v>85.088905148917888</v>
      </c>
      <c r="G169" s="71"/>
      <c r="H169" s="37" t="str">
        <f t="shared" si="51"/>
        <v/>
      </c>
      <c r="I169" s="77" t="str">
        <f>IF(H169="","",IF($I$8="A",(RANK(H169,H$11:H$368,1)+COUNTIF(H$11:H169,H169)-1),(RANK(H169,H$11:H$368)+COUNTIF(H$11:H169,H169)-1)))</f>
        <v/>
      </c>
      <c r="J169" s="35"/>
      <c r="K169" s="28">
        <f t="shared" si="59"/>
        <v>159</v>
      </c>
      <c r="L169" s="36" t="str">
        <f t="shared" si="52"/>
        <v>Babergh</v>
      </c>
      <c r="M169" s="102">
        <f t="shared" si="60"/>
        <v>77.483389981559796</v>
      </c>
      <c r="N169" s="101">
        <f t="shared" si="61"/>
        <v>77.483389981559796</v>
      </c>
      <c r="O169" s="94" t="str">
        <f t="shared" si="53"/>
        <v/>
      </c>
      <c r="P169" s="94" t="str">
        <f t="shared" si="68"/>
        <v/>
      </c>
      <c r="Q169" s="94" t="str">
        <f t="shared" si="69"/>
        <v/>
      </c>
      <c r="R169" s="90">
        <f t="shared" si="70"/>
        <v>77.483389981559796</v>
      </c>
      <c r="S169" s="37" t="str">
        <f t="shared" si="62"/>
        <v/>
      </c>
      <c r="T169" s="176" t="str">
        <f>IF(L169="","",VLOOKUP(L169,classifications!C:K,9,FALSE))</f>
        <v>Sparse</v>
      </c>
      <c r="U169" s="183">
        <f t="shared" si="54"/>
        <v>77.483389981559796</v>
      </c>
      <c r="V169" s="184">
        <f>IF(U169="","",IF($I$8="A",(RANK(U169,U$11:U$368)+COUNTIF(U$11:U169,U169)-1),(RANK(U169,U$11:U$368,1)+COUNTIF(U$11:U169,U169)-1)))</f>
        <v>9</v>
      </c>
      <c r="W169" s="185"/>
      <c r="X169" s="38" t="str">
        <f>IF(L169="","",VLOOKUP($L169,classifications!$C:$J,6,FALSE))</f>
        <v xml:space="preserve">Mainly Rural (rural including hub towns &gt;=80%) </v>
      </c>
      <c r="Y169" s="26">
        <f t="shared" si="55"/>
        <v>77.483389981559796</v>
      </c>
      <c r="Z169" s="34">
        <f>IF(Y169="","",IF(I$8="A",(RANK(Y169,Y$11:Y$368,1)+COUNTIF(Y$11:Y169,Y169)-1),(RANK(Y169,Y$11:Y$368)+COUNTIF(Y$11:Y169,Y169)-1)))</f>
        <v>37</v>
      </c>
      <c r="AA169" s="188" t="str">
        <f>IF(L169="","",VLOOKUP($L169,classifications!C:I,7,FALSE))</f>
        <v>Predominantly Rural</v>
      </c>
      <c r="AB169" s="184">
        <f t="shared" si="63"/>
        <v>77.483389981559796</v>
      </c>
      <c r="AC169" s="184">
        <f>IF(AB169="","",IF($I$8="A",(RANK(AB169,AB$11:AB$368)+COUNTIF(AB$11:AB169,AB169)-1),(RANK(AB169,AB$11:AB$368,1)+COUNTIF(AB$11:AB169,AB169)-1)))</f>
        <v>9</v>
      </c>
      <c r="AD169" s="184"/>
      <c r="AE169" s="28" t="str">
        <f t="shared" si="72"/>
        <v/>
      </c>
      <c r="AG169" s="96"/>
      <c r="AH169" s="29"/>
      <c r="AI169" s="38" t="str">
        <f>IF(L169="","",VLOOKUP($L169,classifications!$C:$J,8,FALSE))</f>
        <v>Suffolk</v>
      </c>
      <c r="AJ169" s="39" t="str">
        <f t="shared" si="56"/>
        <v/>
      </c>
      <c r="AK169" s="34" t="str">
        <f>IF(AJ169="","",IF(I$8="A",(RANK(AJ169,AJ$11:AJ$368,1)+COUNTIF(AJ$11:AJ169,AJ169)-1),(RANK(AJ169,AJ$11:AJ$368)+COUNTIF(AJ$11:AJ169,AJ169)-1)))</f>
        <v/>
      </c>
      <c r="AL169" s="29" t="str">
        <f t="shared" si="64"/>
        <v/>
      </c>
      <c r="AM169" s="8" t="str">
        <f t="shared" si="57"/>
        <v/>
      </c>
      <c r="AN169" s="8" t="str">
        <f t="shared" si="65"/>
        <v/>
      </c>
      <c r="AP169" s="38" t="str">
        <f>IF(L169="","",VLOOKUP($L169,classifications!$C:$E,3,FALSE))</f>
        <v>East of England</v>
      </c>
      <c r="AQ169" s="39" t="str">
        <f t="shared" si="66"/>
        <v/>
      </c>
      <c r="AR169" s="34" t="str">
        <f>IF(AQ169="","",IF(I$8="A",(RANK(AQ169,AQ$11:AQ$368,1)+COUNTIF(AQ$11:AQ169,AQ169)-1),(RANK(AQ169,AQ$11:AQ$368)+COUNTIF(AQ$11:AQ169,AQ169)-1)))</f>
        <v/>
      </c>
      <c r="AS169" s="29" t="str">
        <f t="shared" si="67"/>
        <v/>
      </c>
      <c r="AT169" s="34" t="str">
        <f t="shared" si="58"/>
        <v/>
      </c>
      <c r="AU169" s="39" t="str">
        <f t="shared" si="71"/>
        <v/>
      </c>
      <c r="AX169" s="21">
        <f>HLOOKUP($AX$9&amp;$AX$10,Data!$A$1:$ZZ$2000,(MATCH($C169,Data!$A$1:$A$2000,0)),FALSE)</f>
        <v>85.088905148917888</v>
      </c>
      <c r="AY169" s="103"/>
      <c r="AZ169" s="21"/>
    </row>
    <row r="170" spans="1:52">
      <c r="A170" s="56" t="str">
        <f>$D$1&amp;160</f>
        <v>SD160</v>
      </c>
      <c r="B170" s="57">
        <f>IF(ISERROR(VLOOKUP(A170,classifications!A:C,3,FALSE)),0,VLOOKUP(A170,classifications!A:C,3,FALSE))</f>
        <v>0</v>
      </c>
      <c r="C170" s="8" t="s">
        <v>232</v>
      </c>
      <c r="D170" s="26" t="str">
        <f>VLOOKUP($C170,classifications!$C:$J,4,FALSE)</f>
        <v>MD</v>
      </c>
      <c r="E170" s="26">
        <f>VLOOKUP(C170,classifications!C:K,9,FALSE)</f>
        <v>0</v>
      </c>
      <c r="F170" s="36">
        <f t="shared" si="50"/>
        <v>74.294799400252529</v>
      </c>
      <c r="G170" s="71"/>
      <c r="H170" s="37" t="str">
        <f t="shared" si="51"/>
        <v/>
      </c>
      <c r="I170" s="77" t="str">
        <f>IF(H170="","",IF($I$8="A",(RANK(H170,H$11:H$368,1)+COUNTIF(H$11:H170,H170)-1),(RANK(H170,H$11:H$368)+COUNTIF(H$11:H170,H170)-1)))</f>
        <v/>
      </c>
      <c r="J170" s="35"/>
      <c r="K170" s="28">
        <f t="shared" si="59"/>
        <v>160</v>
      </c>
      <c r="L170" s="36" t="str">
        <f t="shared" si="52"/>
        <v>Wyre</v>
      </c>
      <c r="M170" s="102">
        <f t="shared" si="60"/>
        <v>77.140040482717126</v>
      </c>
      <c r="N170" s="101">
        <f t="shared" si="61"/>
        <v>77.140040482717126</v>
      </c>
      <c r="O170" s="94" t="str">
        <f t="shared" si="53"/>
        <v/>
      </c>
      <c r="P170" s="94" t="str">
        <f t="shared" si="68"/>
        <v/>
      </c>
      <c r="Q170" s="94" t="str">
        <f t="shared" si="69"/>
        <v/>
      </c>
      <c r="R170" s="90">
        <f t="shared" si="70"/>
        <v>77.140040482717126</v>
      </c>
      <c r="S170" s="37" t="str">
        <f t="shared" si="62"/>
        <v/>
      </c>
      <c r="T170" s="176">
        <f>IF(L170="","",VLOOKUP(L170,classifications!C:K,9,FALSE))</f>
        <v>0</v>
      </c>
      <c r="U170" s="183" t="str">
        <f t="shared" si="54"/>
        <v/>
      </c>
      <c r="V170" s="184" t="str">
        <f>IF(U170="","",IF($I$8="A",(RANK(U170,U$11:U$368)+COUNTIF(U$11:U170,U170)-1),(RANK(U170,U$11:U$368,1)+COUNTIF(U$11:U170,U170)-1)))</f>
        <v/>
      </c>
      <c r="W170" s="185"/>
      <c r="X170" s="38" t="str">
        <f>IF(L170="","",VLOOKUP($L170,classifications!$C:$J,6,FALSE))</f>
        <v xml:space="preserve">Largely Rural (rural including hub towns 50-79%) </v>
      </c>
      <c r="Y170" s="26" t="str">
        <f t="shared" si="55"/>
        <v/>
      </c>
      <c r="Z170" s="34" t="str">
        <f>IF(Y170="","",IF(I$8="A",(RANK(Y170,Y$11:Y$368,1)+COUNTIF(Y$11:Y170,Y170)-1),(RANK(Y170,Y$11:Y$368)+COUNTIF(Y$11:Y170,Y170)-1)))</f>
        <v/>
      </c>
      <c r="AA170" s="188" t="str">
        <f>IF(L170="","",VLOOKUP($L170,classifications!C:I,7,FALSE))</f>
        <v>Predominantly Rural</v>
      </c>
      <c r="AB170" s="184">
        <f t="shared" si="63"/>
        <v>77.140040482717126</v>
      </c>
      <c r="AC170" s="184">
        <f>IF(AB170="","",IF($I$8="A",(RANK(AB170,AB$11:AB$368)+COUNTIF(AB$11:AB170,AB170)-1),(RANK(AB170,AB$11:AB$368,1)+COUNTIF(AB$11:AB170,AB170)-1)))</f>
        <v>8</v>
      </c>
      <c r="AD170" s="184"/>
      <c r="AE170" s="28" t="str">
        <f t="shared" si="72"/>
        <v/>
      </c>
      <c r="AG170" s="96"/>
      <c r="AH170" s="29"/>
      <c r="AI170" s="38" t="str">
        <f>IF(L170="","",VLOOKUP($L170,classifications!$C:$J,8,FALSE))</f>
        <v>Lancashire</v>
      </c>
      <c r="AJ170" s="39" t="str">
        <f t="shared" si="56"/>
        <v/>
      </c>
      <c r="AK170" s="34" t="str">
        <f>IF(AJ170="","",IF(I$8="A",(RANK(AJ170,AJ$11:AJ$368,1)+COUNTIF(AJ$11:AJ170,AJ170)-1),(RANK(AJ170,AJ$11:AJ$368)+COUNTIF(AJ$11:AJ170,AJ170)-1)))</f>
        <v/>
      </c>
      <c r="AL170" s="29" t="str">
        <f t="shared" si="64"/>
        <v/>
      </c>
      <c r="AM170" s="8" t="str">
        <f t="shared" si="57"/>
        <v/>
      </c>
      <c r="AN170" s="8" t="str">
        <f t="shared" si="65"/>
        <v/>
      </c>
      <c r="AP170" s="38" t="str">
        <f>IF(L170="","",VLOOKUP($L170,classifications!$C:$E,3,FALSE))</f>
        <v>North West</v>
      </c>
      <c r="AQ170" s="39">
        <f t="shared" si="66"/>
        <v>77.140040482717126</v>
      </c>
      <c r="AR170" s="34">
        <f>IF(AQ170="","",IF(I$8="A",(RANK(AQ170,AQ$11:AQ$368,1)+COUNTIF(AQ$11:AQ170,AQ170)-1),(RANK(AQ170,AQ$11:AQ$368)+COUNTIF(AQ$11:AQ170,AQ170)-1)))</f>
        <v>13</v>
      </c>
      <c r="AS170" s="29" t="str">
        <f t="shared" si="67"/>
        <v/>
      </c>
      <c r="AT170" s="34" t="str">
        <f t="shared" si="58"/>
        <v/>
      </c>
      <c r="AU170" s="39" t="str">
        <f t="shared" si="71"/>
        <v/>
      </c>
      <c r="AX170" s="21">
        <f>HLOOKUP($AX$9&amp;$AX$10,Data!$A$1:$ZZ$2000,(MATCH($C170,Data!$A$1:$A$2000,0)),FALSE)</f>
        <v>74.294799400252529</v>
      </c>
      <c r="AY170" s="103"/>
      <c r="AZ170" s="21"/>
    </row>
    <row r="171" spans="1:52">
      <c r="A171" s="56" t="str">
        <f>$D$1&amp;161</f>
        <v>SD161</v>
      </c>
      <c r="B171" s="57">
        <f>IF(ISERROR(VLOOKUP(A171,classifications!A:C,3,FALSE)),0,VLOOKUP(A171,classifications!A:C,3,FALSE))</f>
        <v>0</v>
      </c>
      <c r="C171" s="8" t="s">
        <v>233</v>
      </c>
      <c r="D171" s="26" t="str">
        <f>VLOOKUP($C171,classifications!$C:$J,4,FALSE)</f>
        <v>MD</v>
      </c>
      <c r="E171" s="26">
        <f>VLOOKUP(C171,classifications!C:K,9,FALSE)</f>
        <v>0</v>
      </c>
      <c r="F171" s="36">
        <f t="shared" si="50"/>
        <v>73.539146407146376</v>
      </c>
      <c r="G171" s="71"/>
      <c r="H171" s="37" t="str">
        <f t="shared" si="51"/>
        <v/>
      </c>
      <c r="I171" s="77" t="str">
        <f>IF(H171="","",IF($I$8="A",(RANK(H171,H$11:H$368,1)+COUNTIF(H$11:H171,H171)-1),(RANK(H171,H$11:H$368)+COUNTIF(H$11:H171,H171)-1)))</f>
        <v/>
      </c>
      <c r="J171" s="35"/>
      <c r="K171" s="28">
        <f t="shared" si="59"/>
        <v>161</v>
      </c>
      <c r="L171" s="36" t="str">
        <f t="shared" si="52"/>
        <v>Forest of Dean</v>
      </c>
      <c r="M171" s="102">
        <f t="shared" si="60"/>
        <v>76.805453253673065</v>
      </c>
      <c r="N171" s="101">
        <f t="shared" si="61"/>
        <v>76.805453253673065</v>
      </c>
      <c r="O171" s="94" t="str">
        <f t="shared" si="53"/>
        <v/>
      </c>
      <c r="P171" s="94" t="str">
        <f t="shared" si="68"/>
        <v/>
      </c>
      <c r="Q171" s="94" t="str">
        <f t="shared" si="69"/>
        <v/>
      </c>
      <c r="R171" s="90">
        <f t="shared" si="70"/>
        <v>76.805453253673065</v>
      </c>
      <c r="S171" s="37" t="str">
        <f t="shared" si="62"/>
        <v/>
      </c>
      <c r="T171" s="176" t="str">
        <f>IF(L171="","",VLOOKUP(L171,classifications!C:K,9,FALSE))</f>
        <v>Sparse</v>
      </c>
      <c r="U171" s="183">
        <f t="shared" si="54"/>
        <v>76.805453253673065</v>
      </c>
      <c r="V171" s="184">
        <f>IF(U171="","",IF($I$8="A",(RANK(U171,U$11:U$368)+COUNTIF(U$11:U171,U171)-1),(RANK(U171,U$11:U$368,1)+COUNTIF(U$11:U171,U171)-1)))</f>
        <v>8</v>
      </c>
      <c r="W171" s="185"/>
      <c r="X171" s="38" t="str">
        <f>IF(L171="","",VLOOKUP($L171,classifications!$C:$J,6,FALSE))</f>
        <v xml:space="preserve">Mainly Rural (rural including hub towns &gt;=80%) </v>
      </c>
      <c r="Y171" s="26">
        <f t="shared" si="55"/>
        <v>76.805453253673065</v>
      </c>
      <c r="Z171" s="34">
        <f>IF(Y171="","",IF(I$8="A",(RANK(Y171,Y$11:Y$368,1)+COUNTIF(Y$11:Y171,Y171)-1),(RANK(Y171,Y$11:Y$368)+COUNTIF(Y$11:Y171,Y171)-1)))</f>
        <v>38</v>
      </c>
      <c r="AA171" s="188" t="str">
        <f>IF(L171="","",VLOOKUP($L171,classifications!C:I,7,FALSE))</f>
        <v>Predominantly Rural</v>
      </c>
      <c r="AB171" s="184">
        <f t="shared" si="63"/>
        <v>76.805453253673065</v>
      </c>
      <c r="AC171" s="184">
        <f>IF(AB171="","",IF($I$8="A",(RANK(AB171,AB$11:AB$368)+COUNTIF(AB$11:AB171,AB171)-1),(RANK(AB171,AB$11:AB$368,1)+COUNTIF(AB$11:AB171,AB171)-1)))</f>
        <v>7</v>
      </c>
      <c r="AD171" s="184"/>
      <c r="AE171" s="28" t="str">
        <f t="shared" si="72"/>
        <v/>
      </c>
      <c r="AG171" s="96"/>
      <c r="AH171" s="29"/>
      <c r="AI171" s="38" t="str">
        <f>IF(L171="","",VLOOKUP($L171,classifications!$C:$J,8,FALSE))</f>
        <v>Gloucestershire</v>
      </c>
      <c r="AJ171" s="39" t="str">
        <f t="shared" si="56"/>
        <v/>
      </c>
      <c r="AK171" s="34" t="str">
        <f>IF(AJ171="","",IF(I$8="A",(RANK(AJ171,AJ$11:AJ$368,1)+COUNTIF(AJ$11:AJ171,AJ171)-1),(RANK(AJ171,AJ$11:AJ$368)+COUNTIF(AJ$11:AJ171,AJ171)-1)))</f>
        <v/>
      </c>
      <c r="AL171" s="29" t="str">
        <f t="shared" si="64"/>
        <v/>
      </c>
      <c r="AM171" s="8" t="str">
        <f t="shared" si="57"/>
        <v/>
      </c>
      <c r="AN171" s="8" t="str">
        <f t="shared" si="65"/>
        <v/>
      </c>
      <c r="AP171" s="38" t="str">
        <f>IF(L171="","",VLOOKUP($L171,classifications!$C:$E,3,FALSE))</f>
        <v>South West</v>
      </c>
      <c r="AQ171" s="39" t="str">
        <f t="shared" si="66"/>
        <v/>
      </c>
      <c r="AR171" s="34" t="str">
        <f>IF(AQ171="","",IF(I$8="A",(RANK(AQ171,AQ$11:AQ$368,1)+COUNTIF(AQ$11:AQ171,AQ171)-1),(RANK(AQ171,AQ$11:AQ$368)+COUNTIF(AQ$11:AQ171,AQ171)-1)))</f>
        <v/>
      </c>
      <c r="AS171" s="29" t="str">
        <f t="shared" si="67"/>
        <v/>
      </c>
      <c r="AT171" s="34" t="str">
        <f t="shared" si="58"/>
        <v/>
      </c>
      <c r="AU171" s="39" t="str">
        <f t="shared" si="71"/>
        <v/>
      </c>
      <c r="AX171" s="21">
        <f>HLOOKUP($AX$9&amp;$AX$10,Data!$A$1:$ZZ$2000,(MATCH($C171,Data!$A$1:$A$2000,0)),FALSE)</f>
        <v>73.539146407146376</v>
      </c>
      <c r="AY171" s="103"/>
      <c r="AZ171" s="21"/>
    </row>
    <row r="172" spans="1:52">
      <c r="A172" s="56" t="str">
        <f>$D$1&amp;162</f>
        <v>SD162</v>
      </c>
      <c r="B172" s="57">
        <f>IF(ISERROR(VLOOKUP(A172,classifications!A:C,3,FALSE)),0,VLOOKUP(A172,classifications!A:C,3,FALSE))</f>
        <v>0</v>
      </c>
      <c r="C172" s="8" t="s">
        <v>212</v>
      </c>
      <c r="D172" s="26" t="str">
        <f>VLOOKUP($C172,classifications!$C:$J,4,FALSE)</f>
        <v>L</v>
      </c>
      <c r="E172" s="26">
        <f>VLOOKUP(C172,classifications!C:K,9,FALSE)</f>
        <v>0</v>
      </c>
      <c r="F172" s="36">
        <f t="shared" si="50"/>
        <v>85.113936829285635</v>
      </c>
      <c r="G172" s="71"/>
      <c r="H172" s="37" t="str">
        <f t="shared" si="51"/>
        <v/>
      </c>
      <c r="I172" s="77" t="str">
        <f>IF(H172="","",IF($I$8="A",(RANK(H172,H$11:H$368,1)+COUNTIF(H$11:H172,H172)-1),(RANK(H172,H$11:H$368)+COUNTIF(H$11:H172,H172)-1)))</f>
        <v/>
      </c>
      <c r="J172" s="35"/>
      <c r="K172" s="28">
        <f t="shared" si="59"/>
        <v>162</v>
      </c>
      <c r="L172" s="36" t="str">
        <f t="shared" si="52"/>
        <v>North Warwickshire</v>
      </c>
      <c r="M172" s="102">
        <f t="shared" si="60"/>
        <v>76.533598646171697</v>
      </c>
      <c r="N172" s="101">
        <f t="shared" si="61"/>
        <v>76.533598646171697</v>
      </c>
      <c r="O172" s="94" t="str">
        <f t="shared" si="53"/>
        <v/>
      </c>
      <c r="P172" s="94" t="str">
        <f t="shared" si="68"/>
        <v/>
      </c>
      <c r="Q172" s="94" t="str">
        <f t="shared" si="69"/>
        <v/>
      </c>
      <c r="R172" s="90">
        <f t="shared" si="70"/>
        <v>76.533598646171697</v>
      </c>
      <c r="S172" s="37" t="str">
        <f t="shared" si="62"/>
        <v/>
      </c>
      <c r="T172" s="176">
        <f>IF(L172="","",VLOOKUP(L172,classifications!C:K,9,FALSE))</f>
        <v>0</v>
      </c>
      <c r="U172" s="183" t="str">
        <f t="shared" si="54"/>
        <v/>
      </c>
      <c r="V172" s="184" t="str">
        <f>IF(U172="","",IF($I$8="A",(RANK(U172,U$11:U$368)+COUNTIF(U$11:U172,U172)-1),(RANK(U172,U$11:U$368,1)+COUNTIF(U$11:U172,U172)-1)))</f>
        <v/>
      </c>
      <c r="W172" s="185"/>
      <c r="X172" s="38" t="str">
        <f>IF(L172="","",VLOOKUP($L172,classifications!$C:$J,6,FALSE))</f>
        <v xml:space="preserve">Mainly Rural (rural including hub towns &gt;=80%) </v>
      </c>
      <c r="Y172" s="26">
        <f t="shared" si="55"/>
        <v>76.533598646171697</v>
      </c>
      <c r="Z172" s="34">
        <f>IF(Y172="","",IF(I$8="A",(RANK(Y172,Y$11:Y$368,1)+COUNTIF(Y$11:Y172,Y172)-1),(RANK(Y172,Y$11:Y$368)+COUNTIF(Y$11:Y172,Y172)-1)))</f>
        <v>39</v>
      </c>
      <c r="AA172" s="188" t="str">
        <f>IF(L172="","",VLOOKUP($L172,classifications!C:I,7,FALSE))</f>
        <v>Predominantly Rural</v>
      </c>
      <c r="AB172" s="184">
        <f t="shared" si="63"/>
        <v>76.533598646171697</v>
      </c>
      <c r="AC172" s="184">
        <f>IF(AB172="","",IF($I$8="A",(RANK(AB172,AB$11:AB$368)+COUNTIF(AB$11:AB172,AB172)-1),(RANK(AB172,AB$11:AB$368,1)+COUNTIF(AB$11:AB172,AB172)-1)))</f>
        <v>6</v>
      </c>
      <c r="AD172" s="184"/>
      <c r="AE172" s="28" t="str">
        <f t="shared" si="72"/>
        <v/>
      </c>
      <c r="AG172" s="96"/>
      <c r="AH172" s="29"/>
      <c r="AI172" s="38" t="str">
        <f>IF(L172="","",VLOOKUP($L172,classifications!$C:$J,8,FALSE))</f>
        <v>Warwickshire</v>
      </c>
      <c r="AJ172" s="39" t="str">
        <f t="shared" si="56"/>
        <v/>
      </c>
      <c r="AK172" s="34" t="str">
        <f>IF(AJ172="","",IF(I$8="A",(RANK(AJ172,AJ$11:AJ$368,1)+COUNTIF(AJ$11:AJ172,AJ172)-1),(RANK(AJ172,AJ$11:AJ$368)+COUNTIF(AJ$11:AJ172,AJ172)-1)))</f>
        <v/>
      </c>
      <c r="AL172" s="29" t="str">
        <f t="shared" si="64"/>
        <v/>
      </c>
      <c r="AM172" s="8" t="str">
        <f t="shared" si="57"/>
        <v/>
      </c>
      <c r="AN172" s="8" t="str">
        <f t="shared" si="65"/>
        <v/>
      </c>
      <c r="AP172" s="38" t="str">
        <f>IF(L172="","",VLOOKUP($L172,classifications!$C:$E,3,FALSE))</f>
        <v>West Midlands</v>
      </c>
      <c r="AQ172" s="39" t="str">
        <f t="shared" si="66"/>
        <v/>
      </c>
      <c r="AR172" s="34" t="str">
        <f>IF(AQ172="","",IF(I$8="A",(RANK(AQ172,AQ$11:AQ$368,1)+COUNTIF(AQ$11:AQ172,AQ172)-1),(RANK(AQ172,AQ$11:AQ$368)+COUNTIF(AQ$11:AQ172,AQ172)-1)))</f>
        <v/>
      </c>
      <c r="AS172" s="29" t="str">
        <f t="shared" si="67"/>
        <v/>
      </c>
      <c r="AT172" s="34" t="str">
        <f t="shared" si="58"/>
        <v/>
      </c>
      <c r="AU172" s="39" t="str">
        <f t="shared" si="71"/>
        <v/>
      </c>
      <c r="AX172" s="21">
        <f>HLOOKUP($AX$9&amp;$AX$10,Data!$A$1:$ZZ$2000,(MATCH($C172,Data!$A$1:$A$2000,0)),FALSE)</f>
        <v>85.113936829285635</v>
      </c>
      <c r="AY172" s="103"/>
      <c r="AZ172" s="21"/>
    </row>
    <row r="173" spans="1:52">
      <c r="A173" s="56" t="str">
        <f>$D$1&amp;163</f>
        <v>SD163</v>
      </c>
      <c r="B173" s="57">
        <f>IF(ISERROR(VLOOKUP(A173,classifications!A:C,3,FALSE)),0,VLOOKUP(A173,classifications!A:C,3,FALSE))</f>
        <v>0</v>
      </c>
      <c r="C173" s="8" t="s">
        <v>316</v>
      </c>
      <c r="D173" s="26" t="str">
        <f>VLOOKUP($C173,classifications!$C:$J,4,FALSE)</f>
        <v>SC</v>
      </c>
      <c r="E173" s="26" t="str">
        <f>VLOOKUP(C173,classifications!C:K,9,FALSE)</f>
        <v>Sparse</v>
      </c>
      <c r="F173" s="36">
        <f t="shared" si="50"/>
        <v>78.620846560662358</v>
      </c>
      <c r="G173" s="71"/>
      <c r="H173" s="37" t="str">
        <f t="shared" si="51"/>
        <v/>
      </c>
      <c r="I173" s="77" t="str">
        <f>IF(H173="","",IF($I$8="A",(RANK(H173,H$11:H$368,1)+COUNTIF(H$11:H173,H173)-1),(RANK(H173,H$11:H$368)+COUNTIF(H$11:H173,H173)-1)))</f>
        <v/>
      </c>
      <c r="J173" s="35"/>
      <c r="K173" s="28">
        <f t="shared" si="59"/>
        <v>163</v>
      </c>
      <c r="L173" s="36" t="str">
        <f t="shared" si="52"/>
        <v>Ipswich</v>
      </c>
      <c r="M173" s="102">
        <f t="shared" si="60"/>
        <v>76.47326266238025</v>
      </c>
      <c r="N173" s="101">
        <f t="shared" si="61"/>
        <v>76.47326266238025</v>
      </c>
      <c r="O173" s="94" t="str">
        <f t="shared" si="53"/>
        <v/>
      </c>
      <c r="P173" s="94" t="str">
        <f t="shared" si="68"/>
        <v/>
      </c>
      <c r="Q173" s="94" t="str">
        <f t="shared" si="69"/>
        <v/>
      </c>
      <c r="R173" s="90">
        <f t="shared" si="70"/>
        <v>76.47326266238025</v>
      </c>
      <c r="S173" s="37" t="str">
        <f t="shared" si="62"/>
        <v/>
      </c>
      <c r="T173" s="176">
        <f>IF(L173="","",VLOOKUP(L173,classifications!C:K,9,FALSE))</f>
        <v>0</v>
      </c>
      <c r="U173" s="183" t="str">
        <f t="shared" si="54"/>
        <v/>
      </c>
      <c r="V173" s="184" t="str">
        <f>IF(U173="","",IF($I$8="A",(RANK(U173,U$11:U$368)+COUNTIF(U$11:U173,U173)-1),(RANK(U173,U$11:U$368,1)+COUNTIF(U$11:U173,U173)-1)))</f>
        <v/>
      </c>
      <c r="W173" s="185"/>
      <c r="X173" s="38" t="str">
        <f>IF(L173="","",VLOOKUP($L173,classifications!$C:$J,6,FALSE))</f>
        <v>Urban with City and Town</v>
      </c>
      <c r="Y173" s="26" t="str">
        <f t="shared" si="55"/>
        <v/>
      </c>
      <c r="Z173" s="34" t="str">
        <f>IF(Y173="","",IF(I$8="A",(RANK(Y173,Y$11:Y$368,1)+COUNTIF(Y$11:Y173,Y173)-1),(RANK(Y173,Y$11:Y$368)+COUNTIF(Y$11:Y173,Y173)-1)))</f>
        <v/>
      </c>
      <c r="AA173" s="188" t="str">
        <f>IF(L173="","",VLOOKUP($L173,classifications!C:I,7,FALSE))</f>
        <v>Predominantly Urban</v>
      </c>
      <c r="AB173" s="184" t="str">
        <f t="shared" si="63"/>
        <v/>
      </c>
      <c r="AC173" s="184" t="str">
        <f>IF(AB173="","",IF($I$8="A",(RANK(AB173,AB$11:AB$368)+COUNTIF(AB$11:AB173,AB173)-1),(RANK(AB173,AB$11:AB$368,1)+COUNTIF(AB$11:AB173,AB173)-1)))</f>
        <v/>
      </c>
      <c r="AD173" s="184"/>
      <c r="AE173" s="28" t="str">
        <f t="shared" si="72"/>
        <v/>
      </c>
      <c r="AG173" s="96"/>
      <c r="AH173" s="29"/>
      <c r="AI173" s="38" t="str">
        <f>IF(L173="","",VLOOKUP($L173,classifications!$C:$J,8,FALSE))</f>
        <v>Suffolk</v>
      </c>
      <c r="AJ173" s="39" t="str">
        <f t="shared" si="56"/>
        <v/>
      </c>
      <c r="AK173" s="34" t="str">
        <f>IF(AJ173="","",IF(I$8="A",(RANK(AJ173,AJ$11:AJ$368,1)+COUNTIF(AJ$11:AJ173,AJ173)-1),(RANK(AJ173,AJ$11:AJ$368)+COUNTIF(AJ$11:AJ173,AJ173)-1)))</f>
        <v/>
      </c>
      <c r="AL173" s="29" t="str">
        <f t="shared" si="64"/>
        <v/>
      </c>
      <c r="AM173" s="8" t="str">
        <f t="shared" si="57"/>
        <v/>
      </c>
      <c r="AN173" s="8" t="str">
        <f t="shared" si="65"/>
        <v/>
      </c>
      <c r="AP173" s="38" t="str">
        <f>IF(L173="","",VLOOKUP($L173,classifications!$C:$E,3,FALSE))</f>
        <v>East of England</v>
      </c>
      <c r="AQ173" s="39" t="str">
        <f t="shared" si="66"/>
        <v/>
      </c>
      <c r="AR173" s="34" t="str">
        <f>IF(AQ173="","",IF(I$8="A",(RANK(AQ173,AQ$11:AQ$368,1)+COUNTIF(AQ$11:AQ173,AQ173)-1),(RANK(AQ173,AQ$11:AQ$368)+COUNTIF(AQ$11:AQ173,AQ173)-1)))</f>
        <v/>
      </c>
      <c r="AS173" s="29" t="str">
        <f t="shared" si="67"/>
        <v/>
      </c>
      <c r="AT173" s="34" t="str">
        <f t="shared" si="58"/>
        <v/>
      </c>
      <c r="AU173" s="39" t="str">
        <f t="shared" si="71"/>
        <v/>
      </c>
      <c r="AX173" s="21">
        <f>HLOOKUP($AX$9&amp;$AX$10,Data!$A$1:$ZZ$2000,(MATCH($C173,Data!$A$1:$A$2000,0)),FALSE)</f>
        <v>78.620846560662358</v>
      </c>
      <c r="AY173" s="103"/>
      <c r="AZ173" s="21"/>
    </row>
    <row r="174" spans="1:52">
      <c r="A174" s="56" t="str">
        <f>$D$1&amp;164</f>
        <v>SD164</v>
      </c>
      <c r="B174" s="57">
        <f>IF(ISERROR(VLOOKUP(A174,classifications!A:C,3,FALSE)),0,VLOOKUP(A174,classifications!A:C,3,FALSE))</f>
        <v>0</v>
      </c>
      <c r="C174" s="8" t="s">
        <v>92</v>
      </c>
      <c r="D174" s="26" t="str">
        <f>VLOOKUP($C174,classifications!$C:$J,4,FALSE)</f>
        <v>SD</v>
      </c>
      <c r="E174" s="26">
        <f>VLOOKUP(C174,classifications!C:K,9,FALSE)</f>
        <v>0</v>
      </c>
      <c r="F174" s="36">
        <f t="shared" si="50"/>
        <v>84.992900604276272</v>
      </c>
      <c r="G174" s="71"/>
      <c r="H174" s="37">
        <f t="shared" si="51"/>
        <v>84.992900604276272</v>
      </c>
      <c r="I174" s="77">
        <f>IF(H174="","",IF($I$8="A",(RANK(H174,H$11:H$368,1)+COUNTIF(H$11:H174,H174)-1),(RANK(H174,H$11:H$368)+COUNTIF(H$11:H174,H174)-1)))</f>
        <v>30</v>
      </c>
      <c r="J174" s="35"/>
      <c r="K174" s="28">
        <f t="shared" si="59"/>
        <v>164</v>
      </c>
      <c r="L174" s="36" t="str">
        <f t="shared" si="52"/>
        <v>Rossendale</v>
      </c>
      <c r="M174" s="102">
        <f t="shared" si="60"/>
        <v>76.422949572140297</v>
      </c>
      <c r="N174" s="101">
        <f t="shared" si="61"/>
        <v>76.422949572140297</v>
      </c>
      <c r="O174" s="94" t="str">
        <f t="shared" si="53"/>
        <v/>
      </c>
      <c r="P174" s="94" t="str">
        <f t="shared" si="68"/>
        <v/>
      </c>
      <c r="Q174" s="94" t="str">
        <f t="shared" si="69"/>
        <v/>
      </c>
      <c r="R174" s="90">
        <f t="shared" si="70"/>
        <v>76.422949572140297</v>
      </c>
      <c r="S174" s="37" t="str">
        <f t="shared" si="62"/>
        <v/>
      </c>
      <c r="T174" s="176">
        <f>IF(L174="","",VLOOKUP(L174,classifications!C:K,9,FALSE))</f>
        <v>0</v>
      </c>
      <c r="U174" s="183" t="str">
        <f t="shared" si="54"/>
        <v/>
      </c>
      <c r="V174" s="184" t="str">
        <f>IF(U174="","",IF($I$8="A",(RANK(U174,U$11:U$368)+COUNTIF(U$11:U174,U174)-1),(RANK(U174,U$11:U$368,1)+COUNTIF(U$11:U174,U174)-1)))</f>
        <v/>
      </c>
      <c r="W174" s="185"/>
      <c r="X174" s="38" t="str">
        <f>IF(L174="","",VLOOKUP($L174,classifications!$C:$J,6,FALSE))</f>
        <v>Urban with City and Town</v>
      </c>
      <c r="Y174" s="26" t="str">
        <f t="shared" si="55"/>
        <v/>
      </c>
      <c r="Z174" s="34" t="str">
        <f>IF(Y174="","",IF(I$8="A",(RANK(Y174,Y$11:Y$368,1)+COUNTIF(Y$11:Y174,Y174)-1),(RANK(Y174,Y$11:Y$368)+COUNTIF(Y$11:Y174,Y174)-1)))</f>
        <v/>
      </c>
      <c r="AA174" s="188" t="str">
        <f>IF(L174="","",VLOOKUP($L174,classifications!C:I,7,FALSE))</f>
        <v>Predominantly Urban</v>
      </c>
      <c r="AB174" s="184" t="str">
        <f t="shared" si="63"/>
        <v/>
      </c>
      <c r="AC174" s="184" t="str">
        <f>IF(AB174="","",IF($I$8="A",(RANK(AB174,AB$11:AB$368)+COUNTIF(AB$11:AB174,AB174)-1),(RANK(AB174,AB$11:AB$368,1)+COUNTIF(AB$11:AB174,AB174)-1)))</f>
        <v/>
      </c>
      <c r="AD174" s="184"/>
      <c r="AE174" s="28" t="str">
        <f t="shared" si="72"/>
        <v/>
      </c>
      <c r="AG174" s="96"/>
      <c r="AH174" s="29"/>
      <c r="AI174" s="38" t="str">
        <f>IF(L174="","",VLOOKUP($L174,classifications!$C:$J,8,FALSE))</f>
        <v>Lancashire</v>
      </c>
      <c r="AJ174" s="39" t="str">
        <f t="shared" si="56"/>
        <v/>
      </c>
      <c r="AK174" s="34" t="str">
        <f>IF(AJ174="","",IF(I$8="A",(RANK(AJ174,AJ$11:AJ$368,1)+COUNTIF(AJ$11:AJ174,AJ174)-1),(RANK(AJ174,AJ$11:AJ$368)+COUNTIF(AJ$11:AJ174,AJ174)-1)))</f>
        <v/>
      </c>
      <c r="AL174" s="29" t="str">
        <f t="shared" si="64"/>
        <v/>
      </c>
      <c r="AM174" s="8" t="str">
        <f t="shared" si="57"/>
        <v/>
      </c>
      <c r="AN174" s="8" t="str">
        <f t="shared" si="65"/>
        <v/>
      </c>
      <c r="AP174" s="38" t="str">
        <f>IF(L174="","",VLOOKUP($L174,classifications!$C:$E,3,FALSE))</f>
        <v>North West</v>
      </c>
      <c r="AQ174" s="39">
        <f t="shared" si="66"/>
        <v>76.422949572140297</v>
      </c>
      <c r="AR174" s="34">
        <f>IF(AQ174="","",IF(I$8="A",(RANK(AQ174,AQ$11:AQ$368,1)+COUNTIF(AQ$11:AQ174,AQ174)-1),(RANK(AQ174,AQ$11:AQ$368)+COUNTIF(AQ$11:AQ174,AQ174)-1)))</f>
        <v>14</v>
      </c>
      <c r="AS174" s="29" t="str">
        <f t="shared" si="67"/>
        <v/>
      </c>
      <c r="AT174" s="34" t="str">
        <f t="shared" si="58"/>
        <v/>
      </c>
      <c r="AU174" s="39" t="str">
        <f t="shared" si="71"/>
        <v/>
      </c>
      <c r="AX174" s="21">
        <f>HLOOKUP($AX$9&amp;$AX$10,Data!$A$1:$ZZ$2000,(MATCH($C174,Data!$A$1:$A$2000,0)),FALSE)</f>
        <v>84.992900604276272</v>
      </c>
      <c r="AY174" s="103"/>
      <c r="AZ174" s="21"/>
    </row>
    <row r="175" spans="1:52">
      <c r="A175" s="56" t="str">
        <f>$D$1&amp;165</f>
        <v>SD165</v>
      </c>
      <c r="B175" s="57">
        <f>IF(ISERROR(VLOOKUP(A175,classifications!A:C,3,FALSE)),0,VLOOKUP(A175,classifications!A:C,3,FALSE))</f>
        <v>0</v>
      </c>
      <c r="C175" s="8" t="s">
        <v>234</v>
      </c>
      <c r="D175" s="26" t="str">
        <f>VLOOKUP($C175,classifications!$C:$J,4,FALSE)</f>
        <v>MD</v>
      </c>
      <c r="E175" s="26">
        <f>VLOOKUP(C175,classifications!C:K,9,FALSE)</f>
        <v>0</v>
      </c>
      <c r="F175" s="36">
        <f t="shared" si="50"/>
        <v>81.988828860967089</v>
      </c>
      <c r="G175" s="71"/>
      <c r="H175" s="37" t="str">
        <f t="shared" si="51"/>
        <v/>
      </c>
      <c r="I175" s="77" t="str">
        <f>IF(H175="","",IF($I$8="A",(RANK(H175,H$11:H$368,1)+COUNTIF(H$11:H175,H175)-1),(RANK(H175,H$11:H$368)+COUNTIF(H$11:H175,H175)-1)))</f>
        <v/>
      </c>
      <c r="J175" s="35"/>
      <c r="K175" s="28">
        <f t="shared" si="59"/>
        <v>165</v>
      </c>
      <c r="L175" s="36" t="str">
        <f t="shared" si="52"/>
        <v>Newcastle-under-Lyme</v>
      </c>
      <c r="M175" s="102">
        <f t="shared" si="60"/>
        <v>76.415405003842181</v>
      </c>
      <c r="N175" s="101">
        <f t="shared" si="61"/>
        <v>76.415405003842181</v>
      </c>
      <c r="O175" s="94" t="str">
        <f t="shared" si="53"/>
        <v/>
      </c>
      <c r="P175" s="94" t="str">
        <f t="shared" si="68"/>
        <v/>
      </c>
      <c r="Q175" s="94" t="str">
        <f t="shared" si="69"/>
        <v/>
      </c>
      <c r="R175" s="90">
        <f t="shared" si="70"/>
        <v>76.415405003842181</v>
      </c>
      <c r="S175" s="37" t="str">
        <f t="shared" si="62"/>
        <v/>
      </c>
      <c r="T175" s="176">
        <f>IF(L175="","",VLOOKUP(L175,classifications!C:K,9,FALSE))</f>
        <v>0</v>
      </c>
      <c r="U175" s="183" t="str">
        <f t="shared" si="54"/>
        <v/>
      </c>
      <c r="V175" s="184" t="str">
        <f>IF(U175="","",IF($I$8="A",(RANK(U175,U$11:U$368)+COUNTIF(U$11:U175,U175)-1),(RANK(U175,U$11:U$368,1)+COUNTIF(U$11:U175,U175)-1)))</f>
        <v/>
      </c>
      <c r="W175" s="185"/>
      <c r="X175" s="38" t="str">
        <f>IF(L175="","",VLOOKUP($L175,classifications!$C:$J,6,FALSE))</f>
        <v>Urban with City and Town</v>
      </c>
      <c r="Y175" s="26" t="str">
        <f t="shared" si="55"/>
        <v/>
      </c>
      <c r="Z175" s="34" t="str">
        <f>IF(Y175="","",IF(I$8="A",(RANK(Y175,Y$11:Y$368,1)+COUNTIF(Y$11:Y175,Y175)-1),(RANK(Y175,Y$11:Y$368)+COUNTIF(Y$11:Y175,Y175)-1)))</f>
        <v/>
      </c>
      <c r="AA175" s="188" t="str">
        <f>IF(L175="","",VLOOKUP($L175,classifications!C:I,7,FALSE))</f>
        <v>Predominantly Urban</v>
      </c>
      <c r="AB175" s="184" t="str">
        <f t="shared" si="63"/>
        <v/>
      </c>
      <c r="AC175" s="184" t="str">
        <f>IF(AB175="","",IF($I$8="A",(RANK(AB175,AB$11:AB$368)+COUNTIF(AB$11:AB175,AB175)-1),(RANK(AB175,AB$11:AB$368,1)+COUNTIF(AB$11:AB175,AB175)-1)))</f>
        <v/>
      </c>
      <c r="AD175" s="184"/>
      <c r="AE175" s="28" t="str">
        <f t="shared" si="72"/>
        <v/>
      </c>
      <c r="AG175" s="96"/>
      <c r="AH175" s="29"/>
      <c r="AI175" s="38" t="str">
        <f>IF(L175="","",VLOOKUP($L175,classifications!$C:$J,8,FALSE))</f>
        <v>Staffordshire</v>
      </c>
      <c r="AJ175" s="39" t="str">
        <f t="shared" si="56"/>
        <v/>
      </c>
      <c r="AK175" s="34" t="str">
        <f>IF(AJ175="","",IF(I$8="A",(RANK(AJ175,AJ$11:AJ$368,1)+COUNTIF(AJ$11:AJ175,AJ175)-1),(RANK(AJ175,AJ$11:AJ$368)+COUNTIF(AJ$11:AJ175,AJ175)-1)))</f>
        <v/>
      </c>
      <c r="AL175" s="29" t="str">
        <f t="shared" si="64"/>
        <v/>
      </c>
      <c r="AM175" s="8" t="str">
        <f t="shared" si="57"/>
        <v/>
      </c>
      <c r="AN175" s="8" t="str">
        <f t="shared" si="65"/>
        <v/>
      </c>
      <c r="AP175" s="38" t="str">
        <f>IF(L175="","",VLOOKUP($L175,classifications!$C:$E,3,FALSE))</f>
        <v>West Midlands</v>
      </c>
      <c r="AQ175" s="39" t="str">
        <f t="shared" si="66"/>
        <v/>
      </c>
      <c r="AR175" s="34" t="str">
        <f>IF(AQ175="","",IF(I$8="A",(RANK(AQ175,AQ$11:AQ$368,1)+COUNTIF(AQ$11:AQ175,AQ175)-1),(RANK(AQ175,AQ$11:AQ$368)+COUNTIF(AQ$11:AQ175,AQ175)-1)))</f>
        <v/>
      </c>
      <c r="AS175" s="29" t="str">
        <f t="shared" si="67"/>
        <v/>
      </c>
      <c r="AT175" s="34" t="str">
        <f t="shared" si="58"/>
        <v/>
      </c>
      <c r="AU175" s="39" t="str">
        <f t="shared" si="71"/>
        <v/>
      </c>
      <c r="AX175" s="21">
        <f>HLOOKUP($AX$9&amp;$AX$10,Data!$A$1:$ZZ$2000,(MATCH($C175,Data!$A$1:$A$2000,0)),FALSE)</f>
        <v>81.988828860967089</v>
      </c>
      <c r="AY175" s="103"/>
      <c r="AZ175" s="21"/>
    </row>
    <row r="176" spans="1:52">
      <c r="A176" s="56" t="str">
        <f>$D$1&amp;166</f>
        <v>SD166</v>
      </c>
      <c r="B176" s="57">
        <f>IF(ISERROR(VLOOKUP(A176,classifications!A:C,3,FALSE)),0,VLOOKUP(A176,classifications!A:C,3,FALSE))</f>
        <v>0</v>
      </c>
      <c r="C176" s="8" t="s">
        <v>271</v>
      </c>
      <c r="D176" s="26" t="str">
        <f>VLOOKUP($C176,classifications!$C:$J,4,FALSE)</f>
        <v>UA</v>
      </c>
      <c r="E176" s="26">
        <f>VLOOKUP(C176,classifications!C:K,9,FALSE)</f>
        <v>0</v>
      </c>
      <c r="F176" s="36">
        <f t="shared" si="50"/>
        <v>74.790462172756449</v>
      </c>
      <c r="G176" s="71"/>
      <c r="H176" s="37" t="str">
        <f t="shared" si="51"/>
        <v/>
      </c>
      <c r="I176" s="77" t="str">
        <f>IF(H176="","",IF($I$8="A",(RANK(H176,H$11:H$368,1)+COUNTIF(H$11:H176,H176)-1),(RANK(H176,H$11:H$368)+COUNTIF(H$11:H176,H176)-1)))</f>
        <v/>
      </c>
      <c r="J176" s="35"/>
      <c r="K176" s="28">
        <f t="shared" si="59"/>
        <v>166</v>
      </c>
      <c r="L176" s="36" t="str">
        <f t="shared" si="52"/>
        <v>Broadland</v>
      </c>
      <c r="M176" s="102">
        <f t="shared" si="60"/>
        <v>76.401895334125243</v>
      </c>
      <c r="N176" s="101">
        <f t="shared" si="61"/>
        <v>76.401895334125243</v>
      </c>
      <c r="O176" s="94" t="str">
        <f t="shared" si="53"/>
        <v/>
      </c>
      <c r="P176" s="94" t="str">
        <f t="shared" si="68"/>
        <v/>
      </c>
      <c r="Q176" s="94" t="str">
        <f t="shared" si="69"/>
        <v/>
      </c>
      <c r="R176" s="90">
        <f t="shared" si="70"/>
        <v>76.401895334125243</v>
      </c>
      <c r="S176" s="37" t="str">
        <f t="shared" si="62"/>
        <v/>
      </c>
      <c r="T176" s="176">
        <f>IF(L176="","",VLOOKUP(L176,classifications!C:K,9,FALSE))</f>
        <v>0</v>
      </c>
      <c r="U176" s="183" t="str">
        <f t="shared" si="54"/>
        <v/>
      </c>
      <c r="V176" s="184" t="str">
        <f>IF(U176="","",IF($I$8="A",(RANK(U176,U$11:U$368)+COUNTIF(U$11:U176,U176)-1),(RANK(U176,U$11:U$368,1)+COUNTIF(U$11:U176,U176)-1)))</f>
        <v/>
      </c>
      <c r="W176" s="185"/>
      <c r="X176" s="38" t="str">
        <f>IF(L176="","",VLOOKUP($L176,classifications!$C:$J,6,FALSE))</f>
        <v>Urban with Significant Rural (rural including hub towns 26-49%)</v>
      </c>
      <c r="Y176" s="26" t="str">
        <f t="shared" si="55"/>
        <v/>
      </c>
      <c r="Z176" s="34" t="str">
        <f>IF(Y176="","",IF(I$8="A",(RANK(Y176,Y$11:Y$368,1)+COUNTIF(Y$11:Y176,Y176)-1),(RANK(Y176,Y$11:Y$368)+COUNTIF(Y$11:Y176,Y176)-1)))</f>
        <v/>
      </c>
      <c r="AA176" s="188" t="str">
        <f>IF(L176="","",VLOOKUP($L176,classifications!C:I,7,FALSE))</f>
        <v>Significant Rural</v>
      </c>
      <c r="AB176" s="184" t="str">
        <f t="shared" si="63"/>
        <v/>
      </c>
      <c r="AC176" s="184" t="str">
        <f>IF(AB176="","",IF($I$8="A",(RANK(AB176,AB$11:AB$368)+COUNTIF(AB$11:AB176,AB176)-1),(RANK(AB176,AB$11:AB$368,1)+COUNTIF(AB$11:AB176,AB176)-1)))</f>
        <v/>
      </c>
      <c r="AD176" s="184"/>
      <c r="AE176" s="28" t="str">
        <f t="shared" si="72"/>
        <v/>
      </c>
      <c r="AG176" s="96"/>
      <c r="AH176" s="29"/>
      <c r="AI176" s="38" t="str">
        <f>IF(L176="","",VLOOKUP($L176,classifications!$C:$J,8,FALSE))</f>
        <v>Norfolk</v>
      </c>
      <c r="AJ176" s="39" t="str">
        <f t="shared" si="56"/>
        <v/>
      </c>
      <c r="AK176" s="34" t="str">
        <f>IF(AJ176="","",IF(I$8="A",(RANK(AJ176,AJ$11:AJ$368,1)+COUNTIF(AJ$11:AJ176,AJ176)-1),(RANK(AJ176,AJ$11:AJ$368)+COUNTIF(AJ$11:AJ176,AJ176)-1)))</f>
        <v/>
      </c>
      <c r="AL176" s="29" t="str">
        <f t="shared" si="64"/>
        <v/>
      </c>
      <c r="AM176" s="8" t="str">
        <f t="shared" si="57"/>
        <v/>
      </c>
      <c r="AN176" s="8" t="str">
        <f t="shared" si="65"/>
        <v/>
      </c>
      <c r="AP176" s="38" t="str">
        <f>IF(L176="","",VLOOKUP($L176,classifications!$C:$E,3,FALSE))</f>
        <v>East of England</v>
      </c>
      <c r="AQ176" s="39" t="str">
        <f t="shared" si="66"/>
        <v/>
      </c>
      <c r="AR176" s="34" t="str">
        <f>IF(AQ176="","",IF(I$8="A",(RANK(AQ176,AQ$11:AQ$368,1)+COUNTIF(AQ$11:AQ176,AQ176)-1),(RANK(AQ176,AQ$11:AQ$368)+COUNTIF(AQ$11:AQ176,AQ176)-1)))</f>
        <v/>
      </c>
      <c r="AS176" s="29" t="str">
        <f t="shared" si="67"/>
        <v/>
      </c>
      <c r="AT176" s="34" t="str">
        <f t="shared" si="58"/>
        <v/>
      </c>
      <c r="AU176" s="39" t="str">
        <f t="shared" si="71"/>
        <v/>
      </c>
      <c r="AX176" s="21">
        <f>HLOOKUP($AX$9&amp;$AX$10,Data!$A$1:$ZZ$2000,(MATCH($C176,Data!$A$1:$A$2000,0)),FALSE)</f>
        <v>74.790462172756449</v>
      </c>
      <c r="AY176" s="103"/>
      <c r="AZ176" s="21"/>
    </row>
    <row r="177" spans="1:52">
      <c r="A177" s="56" t="str">
        <f>$D$1&amp;167</f>
        <v>SD167</v>
      </c>
      <c r="B177" s="57">
        <f>IF(ISERROR(VLOOKUP(A177,classifications!A:C,3,FALSE)),0,VLOOKUP(A177,classifications!A:C,3,FALSE))</f>
        <v>0</v>
      </c>
      <c r="C177" s="8" t="s">
        <v>317</v>
      </c>
      <c r="D177" s="26" t="str">
        <f>VLOOKUP($C177,classifications!$C:$J,4,FALSE)</f>
        <v>SC</v>
      </c>
      <c r="E177" s="26" t="str">
        <f>VLOOKUP(C177,classifications!C:K,9,FALSE)</f>
        <v>Sparse</v>
      </c>
      <c r="F177" s="36">
        <f t="shared" si="50"/>
        <v>81.222587959161245</v>
      </c>
      <c r="G177" s="71"/>
      <c r="H177" s="37" t="str">
        <f t="shared" si="51"/>
        <v/>
      </c>
      <c r="I177" s="77" t="str">
        <f>IF(H177="","",IF($I$8="A",(RANK(H177,H$11:H$368,1)+COUNTIF(H$11:H177,H177)-1),(RANK(H177,H$11:H$368)+COUNTIF(H$11:H177,H177)-1)))</f>
        <v/>
      </c>
      <c r="J177" s="35"/>
      <c r="K177" s="28">
        <f t="shared" si="59"/>
        <v>167</v>
      </c>
      <c r="L177" s="36" t="str">
        <f t="shared" si="52"/>
        <v>Breckland</v>
      </c>
      <c r="M177" s="102">
        <f t="shared" si="60"/>
        <v>76.375281453278546</v>
      </c>
      <c r="N177" s="101">
        <f t="shared" si="61"/>
        <v>76.375281453278546</v>
      </c>
      <c r="O177" s="94" t="str">
        <f t="shared" si="53"/>
        <v/>
      </c>
      <c r="P177" s="94" t="str">
        <f t="shared" si="68"/>
        <v/>
      </c>
      <c r="Q177" s="94" t="str">
        <f t="shared" si="69"/>
        <v/>
      </c>
      <c r="R177" s="90">
        <f t="shared" si="70"/>
        <v>76.375281453278546</v>
      </c>
      <c r="S177" s="37" t="str">
        <f t="shared" si="62"/>
        <v/>
      </c>
      <c r="T177" s="176" t="str">
        <f>IF(L177="","",VLOOKUP(L177,classifications!C:K,9,FALSE))</f>
        <v>Sparse</v>
      </c>
      <c r="U177" s="183">
        <f t="shared" si="54"/>
        <v>76.375281453278546</v>
      </c>
      <c r="V177" s="184">
        <f>IF(U177="","",IF($I$8="A",(RANK(U177,U$11:U$368)+COUNTIF(U$11:U177,U177)-1),(RANK(U177,U$11:U$368,1)+COUNTIF(U$11:U177,U177)-1)))</f>
        <v>7</v>
      </c>
      <c r="W177" s="185"/>
      <c r="X177" s="38" t="str">
        <f>IF(L177="","",VLOOKUP($L177,classifications!$C:$J,6,FALSE))</f>
        <v xml:space="preserve">Mainly Rural (rural including hub towns &gt;=80%) </v>
      </c>
      <c r="Y177" s="26">
        <f t="shared" si="55"/>
        <v>76.375281453278546</v>
      </c>
      <c r="Z177" s="34">
        <f>IF(Y177="","",IF(I$8="A",(RANK(Y177,Y$11:Y$368,1)+COUNTIF(Y$11:Y177,Y177)-1),(RANK(Y177,Y$11:Y$368)+COUNTIF(Y$11:Y177,Y177)-1)))</f>
        <v>40</v>
      </c>
      <c r="AA177" s="188" t="str">
        <f>IF(L177="","",VLOOKUP($L177,classifications!C:I,7,FALSE))</f>
        <v>Predominantly Rural</v>
      </c>
      <c r="AB177" s="184">
        <f t="shared" si="63"/>
        <v>76.375281453278546</v>
      </c>
      <c r="AC177" s="184">
        <f>IF(AB177="","",IF($I$8="A",(RANK(AB177,AB$11:AB$368)+COUNTIF(AB$11:AB177,AB177)-1),(RANK(AB177,AB$11:AB$368,1)+COUNTIF(AB$11:AB177,AB177)-1)))</f>
        <v>5</v>
      </c>
      <c r="AD177" s="184"/>
      <c r="AE177" s="28" t="str">
        <f t="shared" si="72"/>
        <v/>
      </c>
      <c r="AG177" s="96"/>
      <c r="AH177" s="29"/>
      <c r="AI177" s="38" t="str">
        <f>IF(L177="","",VLOOKUP($L177,classifications!$C:$J,8,FALSE))</f>
        <v>Norfolk</v>
      </c>
      <c r="AJ177" s="39" t="str">
        <f t="shared" si="56"/>
        <v/>
      </c>
      <c r="AK177" s="34" t="str">
        <f>IF(AJ177="","",IF(I$8="A",(RANK(AJ177,AJ$11:AJ$368,1)+COUNTIF(AJ$11:AJ177,AJ177)-1),(RANK(AJ177,AJ$11:AJ$368)+COUNTIF(AJ$11:AJ177,AJ177)-1)))</f>
        <v/>
      </c>
      <c r="AL177" s="29" t="str">
        <f t="shared" si="64"/>
        <v/>
      </c>
      <c r="AM177" s="8" t="str">
        <f t="shared" si="57"/>
        <v/>
      </c>
      <c r="AN177" s="8" t="str">
        <f t="shared" si="65"/>
        <v/>
      </c>
      <c r="AP177" s="38" t="str">
        <f>IF(L177="","",VLOOKUP($L177,classifications!$C:$E,3,FALSE))</f>
        <v>East of England</v>
      </c>
      <c r="AQ177" s="39" t="str">
        <f t="shared" si="66"/>
        <v/>
      </c>
      <c r="AR177" s="34" t="str">
        <f>IF(AQ177="","",IF(I$8="A",(RANK(AQ177,AQ$11:AQ$368,1)+COUNTIF(AQ$11:AQ177,AQ177)-1),(RANK(AQ177,AQ$11:AQ$368)+COUNTIF(AQ$11:AQ177,AQ177)-1)))</f>
        <v/>
      </c>
      <c r="AS177" s="29" t="str">
        <f t="shared" si="67"/>
        <v/>
      </c>
      <c r="AT177" s="34" t="str">
        <f t="shared" si="58"/>
        <v/>
      </c>
      <c r="AU177" s="39" t="str">
        <f t="shared" si="71"/>
        <v/>
      </c>
      <c r="AX177" s="21">
        <f>HLOOKUP($AX$9&amp;$AX$10,Data!$A$1:$ZZ$2000,(MATCH($C177,Data!$A$1:$A$2000,0)),FALSE)</f>
        <v>81.222587959161245</v>
      </c>
      <c r="AY177" s="103"/>
      <c r="AZ177" s="21"/>
    </row>
    <row r="178" spans="1:52">
      <c r="A178" s="56" t="str">
        <f>$D$1&amp;168</f>
        <v>SD168</v>
      </c>
      <c r="B178" s="57">
        <f>IF(ISERROR(VLOOKUP(A178,classifications!A:C,3,FALSE)),0,VLOOKUP(A178,classifications!A:C,3,FALSE))</f>
        <v>0</v>
      </c>
      <c r="C178" s="8" t="s">
        <v>93</v>
      </c>
      <c r="D178" s="26" t="str">
        <f>VLOOKUP($C178,classifications!$C:$J,4,FALSE)</f>
        <v>SD</v>
      </c>
      <c r="E178" s="26" t="str">
        <f>VLOOKUP(C178,classifications!C:K,9,FALSE)</f>
        <v>Sparse</v>
      </c>
      <c r="F178" s="36">
        <f t="shared" si="50"/>
        <v>84.741384313012247</v>
      </c>
      <c r="G178" s="71"/>
      <c r="H178" s="37">
        <f t="shared" si="51"/>
        <v>84.741384313012247</v>
      </c>
      <c r="I178" s="77">
        <f>IF(H178="","",IF($I$8="A",(RANK(H178,H$11:H$368,1)+COUNTIF(H$11:H178,H178)-1),(RANK(H178,H$11:H$368)+COUNTIF(H$11:H178,H178)-1)))</f>
        <v>36</v>
      </c>
      <c r="J178" s="35"/>
      <c r="K178" s="28">
        <f t="shared" si="59"/>
        <v>168</v>
      </c>
      <c r="L178" s="36" t="str">
        <f t="shared" si="52"/>
        <v>Great Yarmouth</v>
      </c>
      <c r="M178" s="102">
        <f t="shared" si="60"/>
        <v>76.235813453967452</v>
      </c>
      <c r="N178" s="101">
        <f t="shared" si="61"/>
        <v>76.235813453967452</v>
      </c>
      <c r="O178" s="94" t="str">
        <f t="shared" si="53"/>
        <v/>
      </c>
      <c r="P178" s="94" t="str">
        <f t="shared" si="68"/>
        <v/>
      </c>
      <c r="Q178" s="94" t="str">
        <f t="shared" si="69"/>
        <v/>
      </c>
      <c r="R178" s="90">
        <f t="shared" si="70"/>
        <v>76.235813453967452</v>
      </c>
      <c r="S178" s="37" t="str">
        <f t="shared" si="62"/>
        <v/>
      </c>
      <c r="T178" s="176">
        <f>IF(L178="","",VLOOKUP(L178,classifications!C:K,9,FALSE))</f>
        <v>0</v>
      </c>
      <c r="U178" s="183" t="str">
        <f t="shared" si="54"/>
        <v/>
      </c>
      <c r="V178" s="184" t="str">
        <f>IF(U178="","",IF($I$8="A",(RANK(U178,U$11:U$368)+COUNTIF(U$11:U178,U178)-1),(RANK(U178,U$11:U$368,1)+COUNTIF(U$11:U178,U178)-1)))</f>
        <v/>
      </c>
      <c r="W178" s="185"/>
      <c r="X178" s="38" t="str">
        <f>IF(L178="","",VLOOKUP($L178,classifications!$C:$J,6,FALSE))</f>
        <v>Urban with Significant Rural (rural including hub towns 26-49%)</v>
      </c>
      <c r="Y178" s="26" t="str">
        <f t="shared" si="55"/>
        <v/>
      </c>
      <c r="Z178" s="34" t="str">
        <f>IF(Y178="","",IF(I$8="A",(RANK(Y178,Y$11:Y$368,1)+COUNTIF(Y$11:Y178,Y178)-1),(RANK(Y178,Y$11:Y$368)+COUNTIF(Y$11:Y178,Y178)-1)))</f>
        <v/>
      </c>
      <c r="AA178" s="188" t="str">
        <f>IF(L178="","",VLOOKUP($L178,classifications!C:I,7,FALSE))</f>
        <v>Significant Rural</v>
      </c>
      <c r="AB178" s="184" t="str">
        <f t="shared" si="63"/>
        <v/>
      </c>
      <c r="AC178" s="184" t="str">
        <f>IF(AB178="","",IF($I$8="A",(RANK(AB178,AB$11:AB$368)+COUNTIF(AB$11:AB178,AB178)-1),(RANK(AB178,AB$11:AB$368,1)+COUNTIF(AB$11:AB178,AB178)-1)))</f>
        <v/>
      </c>
      <c r="AD178" s="184"/>
      <c r="AE178" s="28" t="str">
        <f t="shared" si="72"/>
        <v/>
      </c>
      <c r="AG178" s="96"/>
      <c r="AH178" s="29"/>
      <c r="AI178" s="38" t="str">
        <f>IF(L178="","",VLOOKUP($L178,classifications!$C:$J,8,FALSE))</f>
        <v>Norfolk</v>
      </c>
      <c r="AJ178" s="39" t="str">
        <f t="shared" si="56"/>
        <v/>
      </c>
      <c r="AK178" s="34" t="str">
        <f>IF(AJ178="","",IF(I$8="A",(RANK(AJ178,AJ$11:AJ$368,1)+COUNTIF(AJ$11:AJ178,AJ178)-1),(RANK(AJ178,AJ$11:AJ$368)+COUNTIF(AJ$11:AJ178,AJ178)-1)))</f>
        <v/>
      </c>
      <c r="AL178" s="29" t="str">
        <f t="shared" si="64"/>
        <v/>
      </c>
      <c r="AM178" s="8" t="str">
        <f t="shared" si="57"/>
        <v/>
      </c>
      <c r="AN178" s="8" t="str">
        <f t="shared" si="65"/>
        <v/>
      </c>
      <c r="AP178" s="38" t="str">
        <f>IF(L178="","",VLOOKUP($L178,classifications!$C:$E,3,FALSE))</f>
        <v>East of England</v>
      </c>
      <c r="AQ178" s="39" t="str">
        <f t="shared" si="66"/>
        <v/>
      </c>
      <c r="AR178" s="34" t="str">
        <f>IF(AQ178="","",IF(I$8="A",(RANK(AQ178,AQ$11:AQ$368,1)+COUNTIF(AQ$11:AQ178,AQ178)-1),(RANK(AQ178,AQ$11:AQ$368)+COUNTIF(AQ$11:AQ178,AQ178)-1)))</f>
        <v/>
      </c>
      <c r="AS178" s="29" t="str">
        <f t="shared" si="67"/>
        <v/>
      </c>
      <c r="AT178" s="34" t="str">
        <f t="shared" si="58"/>
        <v/>
      </c>
      <c r="AU178" s="39" t="str">
        <f t="shared" si="71"/>
        <v/>
      </c>
      <c r="AX178" s="21">
        <f>HLOOKUP($AX$9&amp;$AX$10,Data!$A$1:$ZZ$2000,(MATCH($C178,Data!$A$1:$A$2000,0)),FALSE)</f>
        <v>84.741384313012247</v>
      </c>
      <c r="AY178" s="103"/>
      <c r="AZ178" s="21"/>
    </row>
    <row r="179" spans="1:52">
      <c r="A179" s="56" t="str">
        <f>$D$1&amp;169</f>
        <v>SD169</v>
      </c>
      <c r="B179" s="57">
        <f>IF(ISERROR(VLOOKUP(A179,classifications!A:C,3,FALSE)),0,VLOOKUP(A179,classifications!A:C,3,FALSE))</f>
        <v>0</v>
      </c>
      <c r="C179" s="8" t="s">
        <v>213</v>
      </c>
      <c r="D179" s="26" t="str">
        <f>VLOOKUP($C179,classifications!$C:$J,4,FALSE)</f>
        <v>L</v>
      </c>
      <c r="E179" s="26">
        <f>VLOOKUP(C179,classifications!C:K,9,FALSE)</f>
        <v>0</v>
      </c>
      <c r="F179" s="36">
        <f t="shared" si="50"/>
        <v>85.639465984416489</v>
      </c>
      <c r="G179" s="71"/>
      <c r="H179" s="37" t="str">
        <f t="shared" si="51"/>
        <v/>
      </c>
      <c r="I179" s="77" t="str">
        <f>IF(H179="","",IF($I$8="A",(RANK(H179,H$11:H$368,1)+COUNTIF(H$11:H179,H179)-1),(RANK(H179,H$11:H$368)+COUNTIF(H$11:H179,H179)-1)))</f>
        <v/>
      </c>
      <c r="J179" s="35"/>
      <c r="K179" s="28">
        <f t="shared" si="59"/>
        <v>169</v>
      </c>
      <c r="L179" s="36" t="str">
        <f t="shared" si="52"/>
        <v>Ashfield</v>
      </c>
      <c r="M179" s="102">
        <f t="shared" si="60"/>
        <v>76.217957761705563</v>
      </c>
      <c r="N179" s="101">
        <f t="shared" si="61"/>
        <v>76.217957761705563</v>
      </c>
      <c r="O179" s="94" t="str">
        <f t="shared" si="53"/>
        <v/>
      </c>
      <c r="P179" s="94" t="str">
        <f t="shared" si="68"/>
        <v/>
      </c>
      <c r="Q179" s="94" t="str">
        <f t="shared" si="69"/>
        <v/>
      </c>
      <c r="R179" s="90">
        <f t="shared" si="70"/>
        <v>76.217957761705563</v>
      </c>
      <c r="S179" s="37" t="str">
        <f t="shared" si="62"/>
        <v/>
      </c>
      <c r="T179" s="176">
        <f>IF(L179="","",VLOOKUP(L179,classifications!C:K,9,FALSE))</f>
        <v>0</v>
      </c>
      <c r="U179" s="183" t="str">
        <f t="shared" si="54"/>
        <v/>
      </c>
      <c r="V179" s="184" t="str">
        <f>IF(U179="","",IF($I$8="A",(RANK(U179,U$11:U$368)+COUNTIF(U$11:U179,U179)-1),(RANK(U179,U$11:U$368,1)+COUNTIF(U$11:U179,U179)-1)))</f>
        <v/>
      </c>
      <c r="W179" s="185"/>
      <c r="X179" s="38" t="str">
        <f>IF(L179="","",VLOOKUP($L179,classifications!$C:$J,6,FALSE))</f>
        <v>Urban with City and Town</v>
      </c>
      <c r="Y179" s="26" t="str">
        <f t="shared" si="55"/>
        <v/>
      </c>
      <c r="Z179" s="34" t="str">
        <f>IF(Y179="","",IF(I$8="A",(RANK(Y179,Y$11:Y$368,1)+COUNTIF(Y$11:Y179,Y179)-1),(RANK(Y179,Y$11:Y$368)+COUNTIF(Y$11:Y179,Y179)-1)))</f>
        <v/>
      </c>
      <c r="AA179" s="188" t="str">
        <f>IF(L179="","",VLOOKUP($L179,classifications!C:I,7,FALSE))</f>
        <v>Predominantly Urban</v>
      </c>
      <c r="AB179" s="184" t="str">
        <f t="shared" si="63"/>
        <v/>
      </c>
      <c r="AC179" s="184" t="str">
        <f>IF(AB179="","",IF($I$8="A",(RANK(AB179,AB$11:AB$368)+COUNTIF(AB$11:AB179,AB179)-1),(RANK(AB179,AB$11:AB$368,1)+COUNTIF(AB$11:AB179,AB179)-1)))</f>
        <v/>
      </c>
      <c r="AD179" s="184"/>
      <c r="AE179" s="28" t="str">
        <f t="shared" si="72"/>
        <v/>
      </c>
      <c r="AG179" s="96"/>
      <c r="AH179" s="29"/>
      <c r="AI179" s="38" t="str">
        <f>IF(L179="","",VLOOKUP($L179,classifications!$C:$J,8,FALSE))</f>
        <v>Nottinghamshire</v>
      </c>
      <c r="AJ179" s="39" t="str">
        <f t="shared" si="56"/>
        <v/>
      </c>
      <c r="AK179" s="34" t="str">
        <f>IF(AJ179="","",IF(I$8="A",(RANK(AJ179,AJ$11:AJ$368,1)+COUNTIF(AJ$11:AJ179,AJ179)-1),(RANK(AJ179,AJ$11:AJ$368)+COUNTIF(AJ$11:AJ179,AJ179)-1)))</f>
        <v/>
      </c>
      <c r="AL179" s="29" t="str">
        <f t="shared" si="64"/>
        <v/>
      </c>
      <c r="AM179" s="8" t="str">
        <f t="shared" si="57"/>
        <v/>
      </c>
      <c r="AN179" s="8" t="str">
        <f t="shared" si="65"/>
        <v/>
      </c>
      <c r="AP179" s="38" t="str">
        <f>IF(L179="","",VLOOKUP($L179,classifications!$C:$E,3,FALSE))</f>
        <v>East Midlands</v>
      </c>
      <c r="AQ179" s="39" t="str">
        <f t="shared" si="66"/>
        <v/>
      </c>
      <c r="AR179" s="34" t="str">
        <f>IF(AQ179="","",IF(I$8="A",(RANK(AQ179,AQ$11:AQ$368,1)+COUNTIF(AQ$11:AQ179,AQ179)-1),(RANK(AQ179,AQ$11:AQ$368)+COUNTIF(AQ$11:AQ179,AQ179)-1)))</f>
        <v/>
      </c>
      <c r="AS179" s="29" t="str">
        <f t="shared" si="67"/>
        <v/>
      </c>
      <c r="AT179" s="34" t="str">
        <f t="shared" si="58"/>
        <v/>
      </c>
      <c r="AU179" s="39" t="str">
        <f t="shared" si="71"/>
        <v/>
      </c>
      <c r="AX179" s="21">
        <f>HLOOKUP($AX$9&amp;$AX$10,Data!$A$1:$ZZ$2000,(MATCH($C179,Data!$A$1:$A$2000,0)),FALSE)</f>
        <v>85.639465984416489</v>
      </c>
      <c r="AY179" s="103"/>
      <c r="AZ179" s="21"/>
    </row>
    <row r="180" spans="1:52">
      <c r="A180" s="56" t="str">
        <f>$D$1&amp;170</f>
        <v>SD170</v>
      </c>
      <c r="B180" s="57">
        <f>IF(ISERROR(VLOOKUP(A180,classifications!A:C,3,FALSE)),0,VLOOKUP(A180,classifications!A:C,3,FALSE))</f>
        <v>0</v>
      </c>
      <c r="C180" s="8" t="s">
        <v>94</v>
      </c>
      <c r="D180" s="26" t="str">
        <f>VLOOKUP($C180,classifications!$C:$J,4,FALSE)</f>
        <v>SD</v>
      </c>
      <c r="E180" s="26" t="str">
        <f>VLOOKUP(C180,classifications!C:K,9,FALSE)</f>
        <v>Sparse</v>
      </c>
      <c r="F180" s="36">
        <f t="shared" si="50"/>
        <v>80.495725927230666</v>
      </c>
      <c r="G180" s="71"/>
      <c r="H180" s="37">
        <f t="shared" si="51"/>
        <v>80.495725927230666</v>
      </c>
      <c r="I180" s="77">
        <f>IF(H180="","",IF($I$8="A",(RANK(H180,H$11:H$368,1)+COUNTIF(H$11:H180,H180)-1),(RANK(H180,H$11:H$368)+COUNTIF(H$11:H180,H180)-1)))</f>
        <v>109</v>
      </c>
      <c r="J180" s="35"/>
      <c r="K180" s="28">
        <f t="shared" si="59"/>
        <v>170</v>
      </c>
      <c r="L180" s="36" t="str">
        <f t="shared" si="52"/>
        <v>Hyndburn</v>
      </c>
      <c r="M180" s="102">
        <f t="shared" si="60"/>
        <v>76.18953351514763</v>
      </c>
      <c r="N180" s="101">
        <f t="shared" si="61"/>
        <v>76.18953351514763</v>
      </c>
      <c r="O180" s="94" t="str">
        <f t="shared" si="53"/>
        <v/>
      </c>
      <c r="P180" s="94" t="str">
        <f t="shared" si="68"/>
        <v/>
      </c>
      <c r="Q180" s="94" t="str">
        <f t="shared" si="69"/>
        <v/>
      </c>
      <c r="R180" s="90">
        <f t="shared" si="70"/>
        <v>76.18953351514763</v>
      </c>
      <c r="S180" s="37" t="str">
        <f t="shared" si="62"/>
        <v/>
      </c>
      <c r="T180" s="176">
        <f>IF(L180="","",VLOOKUP(L180,classifications!C:K,9,FALSE))</f>
        <v>0</v>
      </c>
      <c r="U180" s="183" t="str">
        <f t="shared" si="54"/>
        <v/>
      </c>
      <c r="V180" s="184" t="str">
        <f>IF(U180="","",IF($I$8="A",(RANK(U180,U$11:U$368)+COUNTIF(U$11:U180,U180)-1),(RANK(U180,U$11:U$368,1)+COUNTIF(U$11:U180,U180)-1)))</f>
        <v/>
      </c>
      <c r="W180" s="185"/>
      <c r="X180" s="38" t="str">
        <f>IF(L180="","",VLOOKUP($L180,classifications!$C:$J,6,FALSE))</f>
        <v>Urban with City and Town</v>
      </c>
      <c r="Y180" s="26" t="str">
        <f t="shared" si="55"/>
        <v/>
      </c>
      <c r="Z180" s="34" t="str">
        <f>IF(Y180="","",IF(I$8="A",(RANK(Y180,Y$11:Y$368,1)+COUNTIF(Y$11:Y180,Y180)-1),(RANK(Y180,Y$11:Y$368)+COUNTIF(Y$11:Y180,Y180)-1)))</f>
        <v/>
      </c>
      <c r="AA180" s="188" t="str">
        <f>IF(L180="","",VLOOKUP($L180,classifications!C:I,7,FALSE))</f>
        <v>Predominantly Urban</v>
      </c>
      <c r="AB180" s="184" t="str">
        <f t="shared" si="63"/>
        <v/>
      </c>
      <c r="AC180" s="184" t="str">
        <f>IF(AB180="","",IF($I$8="A",(RANK(AB180,AB$11:AB$368)+COUNTIF(AB$11:AB180,AB180)-1),(RANK(AB180,AB$11:AB$368,1)+COUNTIF(AB$11:AB180,AB180)-1)))</f>
        <v/>
      </c>
      <c r="AD180" s="184"/>
      <c r="AE180" s="28" t="str">
        <f t="shared" si="72"/>
        <v/>
      </c>
      <c r="AG180" s="96"/>
      <c r="AH180" s="29"/>
      <c r="AI180" s="38" t="str">
        <f>IF(L180="","",VLOOKUP($L180,classifications!$C:$J,8,FALSE))</f>
        <v>Lancashire</v>
      </c>
      <c r="AJ180" s="39" t="str">
        <f t="shared" si="56"/>
        <v/>
      </c>
      <c r="AK180" s="34" t="str">
        <f>IF(AJ180="","",IF(I$8="A",(RANK(AJ180,AJ$11:AJ$368,1)+COUNTIF(AJ$11:AJ180,AJ180)-1),(RANK(AJ180,AJ$11:AJ$368)+COUNTIF(AJ$11:AJ180,AJ180)-1)))</f>
        <v/>
      </c>
      <c r="AL180" s="29" t="str">
        <f t="shared" si="64"/>
        <v/>
      </c>
      <c r="AM180" s="8" t="str">
        <f t="shared" si="57"/>
        <v/>
      </c>
      <c r="AN180" s="8" t="str">
        <f t="shared" si="65"/>
        <v/>
      </c>
      <c r="AP180" s="38" t="str">
        <f>IF(L180="","",VLOOKUP($L180,classifications!$C:$E,3,FALSE))</f>
        <v>North West</v>
      </c>
      <c r="AQ180" s="39">
        <f t="shared" si="66"/>
        <v>76.18953351514763</v>
      </c>
      <c r="AR180" s="34">
        <f>IF(AQ180="","",IF(I$8="A",(RANK(AQ180,AQ$11:AQ$368,1)+COUNTIF(AQ$11:AQ180,AQ180)-1),(RANK(AQ180,AQ$11:AQ$368)+COUNTIF(AQ$11:AQ180,AQ180)-1)))</f>
        <v>15</v>
      </c>
      <c r="AS180" s="29" t="str">
        <f t="shared" si="67"/>
        <v/>
      </c>
      <c r="AT180" s="34" t="str">
        <f t="shared" si="58"/>
        <v/>
      </c>
      <c r="AU180" s="39" t="str">
        <f t="shared" si="71"/>
        <v/>
      </c>
      <c r="AX180" s="21">
        <f>HLOOKUP($AX$9&amp;$AX$10,Data!$A$1:$ZZ$2000,(MATCH($C180,Data!$A$1:$A$2000,0)),FALSE)</f>
        <v>80.495725927230666</v>
      </c>
      <c r="AY180" s="103"/>
      <c r="AZ180" s="21"/>
    </row>
    <row r="181" spans="1:52">
      <c r="A181" s="56" t="str">
        <f>$D$1&amp;171</f>
        <v>SD171</v>
      </c>
      <c r="B181" s="57">
        <f>IF(ISERROR(VLOOKUP(A181,classifications!A:C,3,FALSE)),0,VLOOKUP(A181,classifications!A:C,3,FALSE))</f>
        <v>0</v>
      </c>
      <c r="C181" s="8" t="s">
        <v>95</v>
      </c>
      <c r="D181" s="26" t="str">
        <f>VLOOKUP($C181,classifications!$C:$J,4,FALSE)</f>
        <v>SD</v>
      </c>
      <c r="E181" s="26">
        <f>VLOOKUP(C181,classifications!C:K,9,FALSE)</f>
        <v>0</v>
      </c>
      <c r="F181" s="36">
        <f t="shared" si="50"/>
        <v>78.803169739999944</v>
      </c>
      <c r="G181" s="71"/>
      <c r="H181" s="37">
        <f t="shared" si="51"/>
        <v>78.803169739999944</v>
      </c>
      <c r="I181" s="77">
        <f>IF(H181="","",IF($I$8="A",(RANK(H181,H$11:H$368,1)+COUNTIF(H$11:H181,H181)-1),(RANK(H181,H$11:H$368)+COUNTIF(H$11:H181,H181)-1)))</f>
        <v>139</v>
      </c>
      <c r="J181" s="35"/>
      <c r="K181" s="28">
        <f t="shared" si="59"/>
        <v>171</v>
      </c>
      <c r="L181" s="36" t="str">
        <f t="shared" si="52"/>
        <v>South Derbyshire</v>
      </c>
      <c r="M181" s="102">
        <f t="shared" si="60"/>
        <v>76.131408364441</v>
      </c>
      <c r="N181" s="101">
        <f t="shared" si="61"/>
        <v>76.131408364441</v>
      </c>
      <c r="O181" s="94" t="str">
        <f t="shared" si="53"/>
        <v/>
      </c>
      <c r="P181" s="94" t="str">
        <f t="shared" si="68"/>
        <v/>
      </c>
      <c r="Q181" s="94" t="str">
        <f t="shared" si="69"/>
        <v/>
      </c>
      <c r="R181" s="90">
        <f t="shared" si="70"/>
        <v>76.131408364441</v>
      </c>
      <c r="S181" s="37" t="str">
        <f t="shared" si="62"/>
        <v/>
      </c>
      <c r="T181" s="176" t="str">
        <f>IF(L181="","",VLOOKUP(L181,classifications!C:K,9,FALSE))</f>
        <v>Sparse</v>
      </c>
      <c r="U181" s="183">
        <f t="shared" si="54"/>
        <v>76.131408364441</v>
      </c>
      <c r="V181" s="184">
        <f>IF(U181="","",IF($I$8="A",(RANK(U181,U$11:U$368)+COUNTIF(U$11:U181,U181)-1),(RANK(U181,U$11:U$368,1)+COUNTIF(U$11:U181,U181)-1)))</f>
        <v>6</v>
      </c>
      <c r="W181" s="185"/>
      <c r="X181" s="38" t="str">
        <f>IF(L181="","",VLOOKUP($L181,classifications!$C:$J,6,FALSE))</f>
        <v>Urban with Significant Rural (rural including hub towns 26-49%)</v>
      </c>
      <c r="Y181" s="26" t="str">
        <f t="shared" si="55"/>
        <v/>
      </c>
      <c r="Z181" s="34" t="str">
        <f>IF(Y181="","",IF(I$8="A",(RANK(Y181,Y$11:Y$368,1)+COUNTIF(Y$11:Y181,Y181)-1),(RANK(Y181,Y$11:Y$368)+COUNTIF(Y$11:Y181,Y181)-1)))</f>
        <v/>
      </c>
      <c r="AA181" s="188" t="str">
        <f>IF(L181="","",VLOOKUP($L181,classifications!C:I,7,FALSE))</f>
        <v>Significant Rural</v>
      </c>
      <c r="AB181" s="184" t="str">
        <f t="shared" si="63"/>
        <v/>
      </c>
      <c r="AC181" s="184" t="str">
        <f>IF(AB181="","",IF($I$8="A",(RANK(AB181,AB$11:AB$368)+COUNTIF(AB$11:AB181,AB181)-1),(RANK(AB181,AB$11:AB$368,1)+COUNTIF(AB$11:AB181,AB181)-1)))</f>
        <v/>
      </c>
      <c r="AD181" s="184"/>
      <c r="AE181" s="28" t="str">
        <f t="shared" si="72"/>
        <v/>
      </c>
      <c r="AG181" s="96"/>
      <c r="AH181" s="29"/>
      <c r="AI181" s="38" t="str">
        <f>IF(L181="","",VLOOKUP($L181,classifications!$C:$J,8,FALSE))</f>
        <v>Derbyshire</v>
      </c>
      <c r="AJ181" s="39" t="str">
        <f t="shared" si="56"/>
        <v/>
      </c>
      <c r="AK181" s="34" t="str">
        <f>IF(AJ181="","",IF(I$8="A",(RANK(AJ181,AJ$11:AJ$368,1)+COUNTIF(AJ$11:AJ181,AJ181)-1),(RANK(AJ181,AJ$11:AJ$368)+COUNTIF(AJ$11:AJ181,AJ181)-1)))</f>
        <v/>
      </c>
      <c r="AL181" s="29" t="str">
        <f t="shared" si="64"/>
        <v/>
      </c>
      <c r="AM181" s="8" t="str">
        <f t="shared" si="57"/>
        <v/>
      </c>
      <c r="AN181" s="8" t="str">
        <f t="shared" si="65"/>
        <v/>
      </c>
      <c r="AP181" s="38" t="str">
        <f>IF(L181="","",VLOOKUP($L181,classifications!$C:$E,3,FALSE))</f>
        <v>East Midlands</v>
      </c>
      <c r="AQ181" s="39" t="str">
        <f t="shared" si="66"/>
        <v/>
      </c>
      <c r="AR181" s="34" t="str">
        <f>IF(AQ181="","",IF(I$8="A",(RANK(AQ181,AQ$11:AQ$368,1)+COUNTIF(AQ$11:AQ181,AQ181)-1),(RANK(AQ181,AQ$11:AQ$368)+COUNTIF(AQ$11:AQ181,AQ181)-1)))</f>
        <v/>
      </c>
      <c r="AS181" s="29" t="str">
        <f t="shared" si="67"/>
        <v/>
      </c>
      <c r="AT181" s="34" t="str">
        <f t="shared" si="58"/>
        <v/>
      </c>
      <c r="AU181" s="39" t="str">
        <f t="shared" si="71"/>
        <v/>
      </c>
      <c r="AX181" s="21">
        <f>HLOOKUP($AX$9&amp;$AX$10,Data!$A$1:$ZZ$2000,(MATCH($C181,Data!$A$1:$A$2000,0)),FALSE)</f>
        <v>78.803169739999944</v>
      </c>
      <c r="AY181" s="103"/>
      <c r="AZ181" s="21"/>
    </row>
    <row r="182" spans="1:52">
      <c r="A182" s="56" t="str">
        <f>$D$1&amp;172</f>
        <v>SD172</v>
      </c>
      <c r="B182" s="57">
        <f>IF(ISERROR(VLOOKUP(A182,classifications!A:C,3,FALSE)),0,VLOOKUP(A182,classifications!A:C,3,FALSE))</f>
        <v>0</v>
      </c>
      <c r="C182" s="8" t="s">
        <v>318</v>
      </c>
      <c r="D182" s="26" t="str">
        <f>VLOOKUP($C182,classifications!$C:$J,4,FALSE)</f>
        <v>SC</v>
      </c>
      <c r="E182" s="26" t="str">
        <f>VLOOKUP(C182,classifications!C:K,9,FALSE)</f>
        <v>Sparse</v>
      </c>
      <c r="F182" s="36">
        <f t="shared" si="50"/>
        <v>76.284354552669157</v>
      </c>
      <c r="G182" s="71"/>
      <c r="H182" s="37" t="str">
        <f t="shared" si="51"/>
        <v/>
      </c>
      <c r="I182" s="77" t="str">
        <f>IF(H182="","",IF($I$8="A",(RANK(H182,H$11:H$368,1)+COUNTIF(H$11:H182,H182)-1),(RANK(H182,H$11:H$368)+COUNTIF(H$11:H182,H182)-1)))</f>
        <v/>
      </c>
      <c r="J182" s="35"/>
      <c r="K182" s="28">
        <f t="shared" si="59"/>
        <v>172</v>
      </c>
      <c r="L182" s="36" t="str">
        <f t="shared" si="52"/>
        <v>Oadby &amp; Wigston</v>
      </c>
      <c r="M182" s="102">
        <f t="shared" si="60"/>
        <v>75.89492254124535</v>
      </c>
      <c r="N182" s="101">
        <f t="shared" si="61"/>
        <v>75.89492254124535</v>
      </c>
      <c r="O182" s="94" t="str">
        <f t="shared" si="53"/>
        <v/>
      </c>
      <c r="P182" s="94" t="str">
        <f t="shared" si="68"/>
        <v/>
      </c>
      <c r="Q182" s="94" t="str">
        <f t="shared" si="69"/>
        <v/>
      </c>
      <c r="R182" s="90">
        <f t="shared" si="70"/>
        <v>75.89492254124535</v>
      </c>
      <c r="S182" s="37" t="str">
        <f t="shared" si="62"/>
        <v/>
      </c>
      <c r="T182" s="176">
        <f>IF(L182="","",VLOOKUP(L182,classifications!C:K,9,FALSE))</f>
        <v>0</v>
      </c>
      <c r="U182" s="183" t="str">
        <f t="shared" si="54"/>
        <v/>
      </c>
      <c r="V182" s="184" t="str">
        <f>IF(U182="","",IF($I$8="A",(RANK(U182,U$11:U$368)+COUNTIF(U$11:U182,U182)-1),(RANK(U182,U$11:U$368,1)+COUNTIF(U$11:U182,U182)-1)))</f>
        <v/>
      </c>
      <c r="W182" s="185"/>
      <c r="X182" s="38" t="str">
        <f>IF(L182="","",VLOOKUP($L182,classifications!$C:$J,6,FALSE))</f>
        <v>Urban with City and Town</v>
      </c>
      <c r="Y182" s="26" t="str">
        <f t="shared" si="55"/>
        <v/>
      </c>
      <c r="Z182" s="34" t="str">
        <f>IF(Y182="","",IF(I$8="A",(RANK(Y182,Y$11:Y$368,1)+COUNTIF(Y$11:Y182,Y182)-1),(RANK(Y182,Y$11:Y$368)+COUNTIF(Y$11:Y182,Y182)-1)))</f>
        <v/>
      </c>
      <c r="AA182" s="188" t="str">
        <f>IF(L182="","",VLOOKUP($L182,classifications!C:I,7,FALSE))</f>
        <v>Predominantly Urban</v>
      </c>
      <c r="AB182" s="184" t="str">
        <f t="shared" si="63"/>
        <v/>
      </c>
      <c r="AC182" s="184" t="str">
        <f>IF(AB182="","",IF($I$8="A",(RANK(AB182,AB$11:AB$368)+COUNTIF(AB$11:AB182,AB182)-1),(RANK(AB182,AB$11:AB$368,1)+COUNTIF(AB$11:AB182,AB182)-1)))</f>
        <v/>
      </c>
      <c r="AD182" s="184"/>
      <c r="AE182" s="28" t="str">
        <f t="shared" si="72"/>
        <v/>
      </c>
      <c r="AG182" s="96"/>
      <c r="AH182" s="29"/>
      <c r="AI182" s="38" t="str">
        <f>IF(L182="","",VLOOKUP($L182,classifications!$C:$J,8,FALSE))</f>
        <v>Leicestershire</v>
      </c>
      <c r="AJ182" s="39" t="str">
        <f t="shared" si="56"/>
        <v/>
      </c>
      <c r="AK182" s="34" t="str">
        <f>IF(AJ182="","",IF(I$8="A",(RANK(AJ182,AJ$11:AJ$368,1)+COUNTIF(AJ$11:AJ182,AJ182)-1),(RANK(AJ182,AJ$11:AJ$368)+COUNTIF(AJ$11:AJ182,AJ182)-1)))</f>
        <v/>
      </c>
      <c r="AL182" s="29" t="str">
        <f t="shared" si="64"/>
        <v/>
      </c>
      <c r="AM182" s="8" t="str">
        <f t="shared" si="57"/>
        <v/>
      </c>
      <c r="AN182" s="8" t="str">
        <f t="shared" si="65"/>
        <v/>
      </c>
      <c r="AP182" s="38" t="str">
        <f>IF(L182="","",VLOOKUP($L182,classifications!$C:$E,3,FALSE))</f>
        <v>East Midlands</v>
      </c>
      <c r="AQ182" s="39" t="str">
        <f t="shared" si="66"/>
        <v/>
      </c>
      <c r="AR182" s="34" t="str">
        <f>IF(AQ182="","",IF(I$8="A",(RANK(AQ182,AQ$11:AQ$368,1)+COUNTIF(AQ$11:AQ182,AQ182)-1),(RANK(AQ182,AQ$11:AQ$368)+COUNTIF(AQ$11:AQ182,AQ182)-1)))</f>
        <v/>
      </c>
      <c r="AS182" s="29" t="str">
        <f t="shared" si="67"/>
        <v/>
      </c>
      <c r="AT182" s="34" t="str">
        <f t="shared" si="58"/>
        <v/>
      </c>
      <c r="AU182" s="39" t="str">
        <f t="shared" si="71"/>
        <v/>
      </c>
      <c r="AX182" s="21">
        <f>HLOOKUP($AX$9&amp;$AX$10,Data!$A$1:$ZZ$2000,(MATCH($C182,Data!$A$1:$A$2000,0)),FALSE)</f>
        <v>76.284354552669157</v>
      </c>
      <c r="AY182" s="103"/>
      <c r="AZ182" s="21"/>
    </row>
    <row r="183" spans="1:52">
      <c r="A183" s="56" t="str">
        <f>$D$1&amp;173</f>
        <v>SD173</v>
      </c>
      <c r="B183" s="57">
        <f>IF(ISERROR(VLOOKUP(A183,classifications!A:C,3,FALSE)),0,VLOOKUP(A183,classifications!A:C,3,FALSE))</f>
        <v>0</v>
      </c>
      <c r="C183" s="8" t="s">
        <v>235</v>
      </c>
      <c r="D183" s="26" t="str">
        <f>VLOOKUP($C183,classifications!$C:$J,4,FALSE)</f>
        <v>MD</v>
      </c>
      <c r="E183" s="26">
        <f>VLOOKUP(C183,classifications!C:K,9,FALSE)</f>
        <v>0</v>
      </c>
      <c r="F183" s="36">
        <f t="shared" si="50"/>
        <v>78.723766501179455</v>
      </c>
      <c r="G183" s="71"/>
      <c r="H183" s="37" t="str">
        <f t="shared" si="51"/>
        <v/>
      </c>
      <c r="I183" s="77" t="str">
        <f>IF(H183="","",IF($I$8="A",(RANK(H183,H$11:H$368,1)+COUNTIF(H$11:H183,H183)-1),(RANK(H183,H$11:H$368)+COUNTIF(H$11:H183,H183)-1)))</f>
        <v/>
      </c>
      <c r="J183" s="35"/>
      <c r="K183" s="28">
        <f t="shared" si="59"/>
        <v>173</v>
      </c>
      <c r="L183" s="36" t="str">
        <f t="shared" si="52"/>
        <v>Boston</v>
      </c>
      <c r="M183" s="102">
        <f t="shared" si="60"/>
        <v>75.385373930125724</v>
      </c>
      <c r="N183" s="101">
        <f t="shared" si="61"/>
        <v>75.385373930125724</v>
      </c>
      <c r="O183" s="94" t="str">
        <f t="shared" si="53"/>
        <v/>
      </c>
      <c r="P183" s="94" t="str">
        <f t="shared" si="68"/>
        <v/>
      </c>
      <c r="Q183" s="94" t="str">
        <f t="shared" si="69"/>
        <v/>
      </c>
      <c r="R183" s="90">
        <f t="shared" si="70"/>
        <v>75.385373930125724</v>
      </c>
      <c r="S183" s="37" t="str">
        <f t="shared" si="62"/>
        <v/>
      </c>
      <c r="T183" s="176" t="str">
        <f>IF(L183="","",VLOOKUP(L183,classifications!C:K,9,FALSE))</f>
        <v>Sparse</v>
      </c>
      <c r="U183" s="183">
        <f t="shared" si="54"/>
        <v>75.385373930125724</v>
      </c>
      <c r="V183" s="184">
        <f>IF(U183="","",IF($I$8="A",(RANK(U183,U$11:U$368)+COUNTIF(U$11:U183,U183)-1),(RANK(U183,U$11:U$368,1)+COUNTIF(U$11:U183,U183)-1)))</f>
        <v>5</v>
      </c>
      <c r="W183" s="185"/>
      <c r="X183" s="38" t="str">
        <f>IF(L183="","",VLOOKUP($L183,classifications!$C:$J,6,FALSE))</f>
        <v>Urban with Significant Rural (rural including hub towns 26-49%)</v>
      </c>
      <c r="Y183" s="26" t="str">
        <f t="shared" si="55"/>
        <v/>
      </c>
      <c r="Z183" s="34" t="str">
        <f>IF(Y183="","",IF(I$8="A",(RANK(Y183,Y$11:Y$368,1)+COUNTIF(Y$11:Y183,Y183)-1),(RANK(Y183,Y$11:Y$368)+COUNTIF(Y$11:Y183,Y183)-1)))</f>
        <v/>
      </c>
      <c r="AA183" s="188" t="str">
        <f>IF(L183="","",VLOOKUP($L183,classifications!C:I,7,FALSE))</f>
        <v>Significant Rural</v>
      </c>
      <c r="AB183" s="184" t="str">
        <f t="shared" si="63"/>
        <v/>
      </c>
      <c r="AC183" s="184" t="str">
        <f>IF(AB183="","",IF($I$8="A",(RANK(AB183,AB$11:AB$368)+COUNTIF(AB$11:AB183,AB183)-1),(RANK(AB183,AB$11:AB$368,1)+COUNTIF(AB$11:AB183,AB183)-1)))</f>
        <v/>
      </c>
      <c r="AD183" s="184"/>
      <c r="AE183" s="28" t="str">
        <f t="shared" si="72"/>
        <v/>
      </c>
      <c r="AG183" s="96"/>
      <c r="AH183" s="29"/>
      <c r="AI183" s="38" t="str">
        <f>IF(L183="","",VLOOKUP($L183,classifications!$C:$J,8,FALSE))</f>
        <v>Lincolnshire</v>
      </c>
      <c r="AJ183" s="39" t="str">
        <f t="shared" si="56"/>
        <v/>
      </c>
      <c r="AK183" s="34" t="str">
        <f>IF(AJ183="","",IF(I$8="A",(RANK(AJ183,AJ$11:AJ$368,1)+COUNTIF(AJ$11:AJ183,AJ183)-1),(RANK(AJ183,AJ$11:AJ$368)+COUNTIF(AJ$11:AJ183,AJ183)-1)))</f>
        <v/>
      </c>
      <c r="AL183" s="29" t="str">
        <f t="shared" si="64"/>
        <v/>
      </c>
      <c r="AM183" s="8" t="str">
        <f t="shared" si="57"/>
        <v/>
      </c>
      <c r="AN183" s="8" t="str">
        <f t="shared" si="65"/>
        <v/>
      </c>
      <c r="AP183" s="38" t="str">
        <f>IF(L183="","",VLOOKUP($L183,classifications!$C:$E,3,FALSE))</f>
        <v>East Midlands</v>
      </c>
      <c r="AQ183" s="39" t="str">
        <f t="shared" si="66"/>
        <v/>
      </c>
      <c r="AR183" s="34" t="str">
        <f>IF(AQ183="","",IF(I$8="A",(RANK(AQ183,AQ$11:AQ$368,1)+COUNTIF(AQ$11:AQ183,AQ183)-1),(RANK(AQ183,AQ$11:AQ$368)+COUNTIF(AQ$11:AQ183,AQ183)-1)))</f>
        <v/>
      </c>
      <c r="AS183" s="29" t="str">
        <f t="shared" si="67"/>
        <v/>
      </c>
      <c r="AT183" s="34" t="str">
        <f t="shared" si="58"/>
        <v/>
      </c>
      <c r="AU183" s="39" t="str">
        <f t="shared" si="71"/>
        <v/>
      </c>
      <c r="AX183" s="21">
        <f>HLOOKUP($AX$9&amp;$AX$10,Data!$A$1:$ZZ$2000,(MATCH($C183,Data!$A$1:$A$2000,0)),FALSE)</f>
        <v>78.723766501179455</v>
      </c>
      <c r="AY183" s="103"/>
      <c r="AZ183" s="21"/>
    </row>
    <row r="184" spans="1:52">
      <c r="A184" s="56" t="str">
        <f>$D$1&amp;174</f>
        <v>SD174</v>
      </c>
      <c r="B184" s="57">
        <f>IF(ISERROR(VLOOKUP(A184,classifications!A:C,3,FALSE)),0,VLOOKUP(A184,classifications!A:C,3,FALSE))</f>
        <v>0</v>
      </c>
      <c r="C184" s="8" t="s">
        <v>272</v>
      </c>
      <c r="D184" s="26" t="str">
        <f>VLOOKUP($C184,classifications!$C:$J,4,FALSE)</f>
        <v>UA</v>
      </c>
      <c r="E184" s="26">
        <f>VLOOKUP(C184,classifications!C:K,9,FALSE)</f>
        <v>0</v>
      </c>
      <c r="F184" s="36">
        <f t="shared" si="50"/>
        <v>68.949674417630121</v>
      </c>
      <c r="G184" s="71"/>
      <c r="H184" s="37" t="str">
        <f t="shared" si="51"/>
        <v/>
      </c>
      <c r="I184" s="77" t="str">
        <f>IF(H184="","",IF($I$8="A",(RANK(H184,H$11:H$368,1)+COUNTIF(H$11:H184,H184)-1),(RANK(H184,H$11:H$368)+COUNTIF(H$11:H184,H184)-1)))</f>
        <v/>
      </c>
      <c r="J184" s="35"/>
      <c r="K184" s="28">
        <f t="shared" si="59"/>
        <v>174</v>
      </c>
      <c r="L184" s="36" t="str">
        <f t="shared" si="52"/>
        <v>South Kesteven</v>
      </c>
      <c r="M184" s="102">
        <f t="shared" si="60"/>
        <v>75.281586388392768</v>
      </c>
      <c r="N184" s="101">
        <f t="shared" si="61"/>
        <v>75.281586388392768</v>
      </c>
      <c r="O184" s="94" t="str">
        <f t="shared" si="53"/>
        <v/>
      </c>
      <c r="P184" s="94" t="str">
        <f t="shared" si="68"/>
        <v/>
      </c>
      <c r="Q184" s="94" t="str">
        <f t="shared" si="69"/>
        <v/>
      </c>
      <c r="R184" s="90">
        <f t="shared" si="70"/>
        <v>75.281586388392768</v>
      </c>
      <c r="S184" s="37" t="str">
        <f t="shared" si="62"/>
        <v/>
      </c>
      <c r="T184" s="176" t="str">
        <f>IF(L184="","",VLOOKUP(L184,classifications!C:K,9,FALSE))</f>
        <v>Sparse</v>
      </c>
      <c r="U184" s="183">
        <f t="shared" si="54"/>
        <v>75.281586388392768</v>
      </c>
      <c r="V184" s="184">
        <f>IF(U184="","",IF($I$8="A",(RANK(U184,U$11:U$368)+COUNTIF(U$11:U184,U184)-1),(RANK(U184,U$11:U$368,1)+COUNTIF(U$11:U184,U184)-1)))</f>
        <v>4</v>
      </c>
      <c r="W184" s="185"/>
      <c r="X184" s="38" t="str">
        <f>IF(L184="","",VLOOKUP($L184,classifications!$C:$J,6,FALSE))</f>
        <v xml:space="preserve">Largely Rural (rural including hub towns 50-79%) </v>
      </c>
      <c r="Y184" s="26" t="str">
        <f t="shared" si="55"/>
        <v/>
      </c>
      <c r="Z184" s="34" t="str">
        <f>IF(Y184="","",IF(I$8="A",(RANK(Y184,Y$11:Y$368,1)+COUNTIF(Y$11:Y184,Y184)-1),(RANK(Y184,Y$11:Y$368)+COUNTIF(Y$11:Y184,Y184)-1)))</f>
        <v/>
      </c>
      <c r="AA184" s="188" t="str">
        <f>IF(L184="","",VLOOKUP($L184,classifications!C:I,7,FALSE))</f>
        <v>Predominantly Rural</v>
      </c>
      <c r="AB184" s="184">
        <f t="shared" si="63"/>
        <v>75.281586388392768</v>
      </c>
      <c r="AC184" s="184">
        <f>IF(AB184="","",IF($I$8="A",(RANK(AB184,AB$11:AB$368)+COUNTIF(AB$11:AB184,AB184)-1),(RANK(AB184,AB$11:AB$368,1)+COUNTIF(AB$11:AB184,AB184)-1)))</f>
        <v>4</v>
      </c>
      <c r="AD184" s="184"/>
      <c r="AE184" s="28" t="str">
        <f t="shared" si="72"/>
        <v/>
      </c>
      <c r="AG184" s="96"/>
      <c r="AH184" s="29"/>
      <c r="AI184" s="38" t="str">
        <f>IF(L184="","",VLOOKUP($L184,classifications!$C:$J,8,FALSE))</f>
        <v>Lincolnshire</v>
      </c>
      <c r="AJ184" s="39" t="str">
        <f t="shared" si="56"/>
        <v/>
      </c>
      <c r="AK184" s="34" t="str">
        <f>IF(AJ184="","",IF(I$8="A",(RANK(AJ184,AJ$11:AJ$368,1)+COUNTIF(AJ$11:AJ184,AJ184)-1),(RANK(AJ184,AJ$11:AJ$368)+COUNTIF(AJ$11:AJ184,AJ184)-1)))</f>
        <v/>
      </c>
      <c r="AL184" s="29" t="str">
        <f t="shared" si="64"/>
        <v/>
      </c>
      <c r="AM184" s="8" t="str">
        <f t="shared" si="57"/>
        <v/>
      </c>
      <c r="AN184" s="8" t="str">
        <f t="shared" si="65"/>
        <v/>
      </c>
      <c r="AP184" s="38" t="str">
        <f>IF(L184="","",VLOOKUP($L184,classifications!$C:$E,3,FALSE))</f>
        <v>East Midlands</v>
      </c>
      <c r="AQ184" s="39" t="str">
        <f t="shared" si="66"/>
        <v/>
      </c>
      <c r="AR184" s="34" t="str">
        <f>IF(AQ184="","",IF(I$8="A",(RANK(AQ184,AQ$11:AQ$368,1)+COUNTIF(AQ$11:AQ184,AQ184)-1),(RANK(AQ184,AQ$11:AQ$368)+COUNTIF(AQ$11:AQ184,AQ184)-1)))</f>
        <v/>
      </c>
      <c r="AS184" s="29" t="str">
        <f t="shared" si="67"/>
        <v/>
      </c>
      <c r="AT184" s="34" t="str">
        <f t="shared" si="58"/>
        <v/>
      </c>
      <c r="AU184" s="39" t="str">
        <f t="shared" si="71"/>
        <v/>
      </c>
      <c r="AX184" s="21">
        <f>HLOOKUP($AX$9&amp;$AX$10,Data!$A$1:$ZZ$2000,(MATCH($C184,Data!$A$1:$A$2000,0)),FALSE)</f>
        <v>68.949674417630121</v>
      </c>
      <c r="AY184" s="103"/>
      <c r="AZ184" s="21"/>
    </row>
    <row r="185" spans="1:52">
      <c r="A185" s="56" t="str">
        <f>$D$1&amp;175</f>
        <v>SD175</v>
      </c>
      <c r="B185" s="57">
        <f>IF(ISERROR(VLOOKUP(A185,classifications!A:C,3,FALSE)),0,VLOOKUP(A185,classifications!A:C,3,FALSE))</f>
        <v>0</v>
      </c>
      <c r="C185" s="8" t="s">
        <v>96</v>
      </c>
      <c r="D185" s="26" t="str">
        <f>VLOOKUP($C185,classifications!$C:$J,4,FALSE)</f>
        <v>SD</v>
      </c>
      <c r="E185" s="26">
        <f>VLOOKUP(C185,classifications!C:K,9,FALSE)</f>
        <v>0</v>
      </c>
      <c r="F185" s="36">
        <f t="shared" si="50"/>
        <v>78.644615528903913</v>
      </c>
      <c r="G185" s="71"/>
      <c r="H185" s="37">
        <f t="shared" si="51"/>
        <v>78.644615528903913</v>
      </c>
      <c r="I185" s="77">
        <f>IF(H185="","",IF($I$8="A",(RANK(H185,H$11:H$368,1)+COUNTIF(H$11:H185,H185)-1),(RANK(H185,H$11:H$368)+COUNTIF(H$11:H185,H185)-1)))</f>
        <v>143</v>
      </c>
      <c r="J185" s="35"/>
      <c r="K185" s="28">
        <f t="shared" si="59"/>
        <v>175</v>
      </c>
      <c r="L185" s="36" t="str">
        <f t="shared" si="52"/>
        <v>East Staffordshire</v>
      </c>
      <c r="M185" s="102">
        <f t="shared" si="60"/>
        <v>75.244431660961723</v>
      </c>
      <c r="N185" s="101">
        <f t="shared" si="61"/>
        <v>75.244431660961723</v>
      </c>
      <c r="O185" s="94" t="str">
        <f t="shared" si="53"/>
        <v/>
      </c>
      <c r="P185" s="94" t="str">
        <f t="shared" si="68"/>
        <v/>
      </c>
      <c r="Q185" s="94" t="str">
        <f t="shared" si="69"/>
        <v/>
      </c>
      <c r="R185" s="90">
        <f t="shared" si="70"/>
        <v>75.244431660961723</v>
      </c>
      <c r="S185" s="37" t="str">
        <f t="shared" si="62"/>
        <v/>
      </c>
      <c r="T185" s="176">
        <f>IF(L185="","",VLOOKUP(L185,classifications!C:K,9,FALSE))</f>
        <v>0</v>
      </c>
      <c r="U185" s="183" t="str">
        <f t="shared" si="54"/>
        <v/>
      </c>
      <c r="V185" s="184" t="str">
        <f>IF(U185="","",IF($I$8="A",(RANK(U185,U$11:U$368)+COUNTIF(U$11:U185,U185)-1),(RANK(U185,U$11:U$368,1)+COUNTIF(U$11:U185,U185)-1)))</f>
        <v/>
      </c>
      <c r="W185" s="185"/>
      <c r="X185" s="38" t="str">
        <f>IF(L185="","",VLOOKUP($L185,classifications!$C:$J,6,FALSE))</f>
        <v>Urban with Significant Rural (rural including hub towns 26-49%)</v>
      </c>
      <c r="Y185" s="26" t="str">
        <f t="shared" si="55"/>
        <v/>
      </c>
      <c r="Z185" s="34" t="str">
        <f>IF(Y185="","",IF(I$8="A",(RANK(Y185,Y$11:Y$368,1)+COUNTIF(Y$11:Y185,Y185)-1),(RANK(Y185,Y$11:Y$368)+COUNTIF(Y$11:Y185,Y185)-1)))</f>
        <v/>
      </c>
      <c r="AA185" s="188" t="str">
        <f>IF(L185="","",VLOOKUP($L185,classifications!C:I,7,FALSE))</f>
        <v>Significant Rural</v>
      </c>
      <c r="AB185" s="184" t="str">
        <f t="shared" si="63"/>
        <v/>
      </c>
      <c r="AC185" s="184" t="str">
        <f>IF(AB185="","",IF($I$8="A",(RANK(AB185,AB$11:AB$368)+COUNTIF(AB$11:AB185,AB185)-1),(RANK(AB185,AB$11:AB$368,1)+COUNTIF(AB$11:AB185,AB185)-1)))</f>
        <v/>
      </c>
      <c r="AD185" s="184"/>
      <c r="AE185" s="28" t="str">
        <f t="shared" si="72"/>
        <v/>
      </c>
      <c r="AG185" s="96"/>
      <c r="AH185" s="29"/>
      <c r="AI185" s="38" t="str">
        <f>IF(L185="","",VLOOKUP($L185,classifications!$C:$J,8,FALSE))</f>
        <v>Staffordshire</v>
      </c>
      <c r="AJ185" s="39" t="str">
        <f t="shared" si="56"/>
        <v/>
      </c>
      <c r="AK185" s="34" t="str">
        <f>IF(AJ185="","",IF(I$8="A",(RANK(AJ185,AJ$11:AJ$368,1)+COUNTIF(AJ$11:AJ185,AJ185)-1),(RANK(AJ185,AJ$11:AJ$368)+COUNTIF(AJ$11:AJ185,AJ185)-1)))</f>
        <v/>
      </c>
      <c r="AL185" s="29" t="str">
        <f t="shared" si="64"/>
        <v/>
      </c>
      <c r="AM185" s="8" t="str">
        <f t="shared" si="57"/>
        <v/>
      </c>
      <c r="AN185" s="8" t="str">
        <f t="shared" si="65"/>
        <v/>
      </c>
      <c r="AP185" s="38" t="str">
        <f>IF(L185="","",VLOOKUP($L185,classifications!$C:$E,3,FALSE))</f>
        <v>West Midlands</v>
      </c>
      <c r="AQ185" s="39" t="str">
        <f t="shared" si="66"/>
        <v/>
      </c>
      <c r="AR185" s="34" t="str">
        <f>IF(AQ185="","",IF(I$8="A",(RANK(AQ185,AQ$11:AQ$368,1)+COUNTIF(AQ$11:AQ185,AQ185)-1),(RANK(AQ185,AQ$11:AQ$368)+COUNTIF(AQ$11:AQ185,AQ185)-1)))</f>
        <v/>
      </c>
      <c r="AS185" s="29" t="str">
        <f t="shared" si="67"/>
        <v/>
      </c>
      <c r="AT185" s="34" t="str">
        <f t="shared" si="58"/>
        <v/>
      </c>
      <c r="AU185" s="39" t="str">
        <f t="shared" si="71"/>
        <v/>
      </c>
      <c r="AX185" s="21">
        <f>HLOOKUP($AX$9&amp;$AX$10,Data!$A$1:$ZZ$2000,(MATCH($C185,Data!$A$1:$A$2000,0)),FALSE)</f>
        <v>78.644615528903913</v>
      </c>
      <c r="AY185" s="103"/>
      <c r="AZ185" s="21"/>
    </row>
    <row r="186" spans="1:52">
      <c r="A186" s="56" t="str">
        <f>$D$1&amp;176</f>
        <v>SD176</v>
      </c>
      <c r="B186" s="57">
        <f>IF(ISERROR(VLOOKUP(A186,classifications!A:C,3,FALSE)),0,VLOOKUP(A186,classifications!A:C,3,FALSE))</f>
        <v>0</v>
      </c>
      <c r="C186" s="8" t="s">
        <v>97</v>
      </c>
      <c r="D186" s="26" t="str">
        <f>VLOOKUP($C186,classifications!$C:$J,4,FALSE)</f>
        <v>SD</v>
      </c>
      <c r="E186" s="26">
        <f>VLOOKUP(C186,classifications!C:K,9,FALSE)</f>
        <v>0</v>
      </c>
      <c r="F186" s="36">
        <f t="shared" si="50"/>
        <v>82.784798386782171</v>
      </c>
      <c r="G186" s="71"/>
      <c r="H186" s="37">
        <f t="shared" si="51"/>
        <v>82.784798386782171</v>
      </c>
      <c r="I186" s="77">
        <f>IF(H186="","",IF($I$8="A",(RANK(H186,H$11:H$368,1)+COUNTIF(H$11:H186,H186)-1),(RANK(H186,H$11:H$368)+COUNTIF(H$11:H186,H186)-1)))</f>
        <v>62</v>
      </c>
      <c r="J186" s="35"/>
      <c r="K186" s="28">
        <f t="shared" si="59"/>
        <v>176</v>
      </c>
      <c r="L186" s="36" t="str">
        <f t="shared" si="52"/>
        <v>Redditch</v>
      </c>
      <c r="M186" s="102">
        <f t="shared" si="60"/>
        <v>75.223251401087737</v>
      </c>
      <c r="N186" s="101">
        <f t="shared" si="61"/>
        <v>75.223251401087737</v>
      </c>
      <c r="O186" s="94" t="str">
        <f t="shared" si="53"/>
        <v/>
      </c>
      <c r="P186" s="94" t="str">
        <f t="shared" si="68"/>
        <v/>
      </c>
      <c r="Q186" s="94" t="str">
        <f t="shared" si="69"/>
        <v/>
      </c>
      <c r="R186" s="90">
        <f t="shared" si="70"/>
        <v>75.223251401087737</v>
      </c>
      <c r="S186" s="37" t="str">
        <f t="shared" si="62"/>
        <v/>
      </c>
      <c r="T186" s="176">
        <f>IF(L186="","",VLOOKUP(L186,classifications!C:K,9,FALSE))</f>
        <v>0</v>
      </c>
      <c r="U186" s="183" t="str">
        <f t="shared" si="54"/>
        <v/>
      </c>
      <c r="V186" s="184" t="str">
        <f>IF(U186="","",IF($I$8="A",(RANK(U186,U$11:U$368)+COUNTIF(U$11:U186,U186)-1),(RANK(U186,U$11:U$368,1)+COUNTIF(U$11:U186,U186)-1)))</f>
        <v/>
      </c>
      <c r="W186" s="185"/>
      <c r="X186" s="38" t="str">
        <f>IF(L186="","",VLOOKUP($L186,classifications!$C:$J,6,FALSE))</f>
        <v>Urban with City and Town</v>
      </c>
      <c r="Y186" s="26" t="str">
        <f t="shared" si="55"/>
        <v/>
      </c>
      <c r="Z186" s="34" t="str">
        <f>IF(Y186="","",IF(I$8="A",(RANK(Y186,Y$11:Y$368,1)+COUNTIF(Y$11:Y186,Y186)-1),(RANK(Y186,Y$11:Y$368)+COUNTIF(Y$11:Y186,Y186)-1)))</f>
        <v/>
      </c>
      <c r="AA186" s="188" t="str">
        <f>IF(L186="","",VLOOKUP($L186,classifications!C:I,7,FALSE))</f>
        <v>Predominantly Urban</v>
      </c>
      <c r="AB186" s="184" t="str">
        <f t="shared" si="63"/>
        <v/>
      </c>
      <c r="AC186" s="184" t="str">
        <f>IF(AB186="","",IF($I$8="A",(RANK(AB186,AB$11:AB$368)+COUNTIF(AB$11:AB186,AB186)-1),(RANK(AB186,AB$11:AB$368,1)+COUNTIF(AB$11:AB186,AB186)-1)))</f>
        <v/>
      </c>
      <c r="AD186" s="184"/>
      <c r="AE186" s="28" t="str">
        <f t="shared" si="72"/>
        <v/>
      </c>
      <c r="AG186" s="96"/>
      <c r="AH186" s="29"/>
      <c r="AI186" s="38" t="str">
        <f>IF(L186="","",VLOOKUP($L186,classifications!$C:$J,8,FALSE))</f>
        <v>Worcestershire</v>
      </c>
      <c r="AJ186" s="39" t="str">
        <f t="shared" si="56"/>
        <v/>
      </c>
      <c r="AK186" s="34" t="str">
        <f>IF(AJ186="","",IF(I$8="A",(RANK(AJ186,AJ$11:AJ$368,1)+COUNTIF(AJ$11:AJ186,AJ186)-1),(RANK(AJ186,AJ$11:AJ$368)+COUNTIF(AJ$11:AJ186,AJ186)-1)))</f>
        <v/>
      </c>
      <c r="AL186" s="29" t="str">
        <f t="shared" si="64"/>
        <v/>
      </c>
      <c r="AM186" s="8" t="str">
        <f t="shared" si="57"/>
        <v/>
      </c>
      <c r="AN186" s="8" t="str">
        <f t="shared" si="65"/>
        <v/>
      </c>
      <c r="AP186" s="38" t="str">
        <f>IF(L186="","",VLOOKUP($L186,classifications!$C:$E,3,FALSE))</f>
        <v>West Midlands</v>
      </c>
      <c r="AQ186" s="39" t="str">
        <f t="shared" si="66"/>
        <v/>
      </c>
      <c r="AR186" s="34" t="str">
        <f>IF(AQ186="","",IF(I$8="A",(RANK(AQ186,AQ$11:AQ$368,1)+COUNTIF(AQ$11:AQ186,AQ186)-1),(RANK(AQ186,AQ$11:AQ$368)+COUNTIF(AQ$11:AQ186,AQ186)-1)))</f>
        <v/>
      </c>
      <c r="AS186" s="29" t="str">
        <f t="shared" si="67"/>
        <v/>
      </c>
      <c r="AT186" s="34" t="str">
        <f t="shared" si="58"/>
        <v/>
      </c>
      <c r="AU186" s="39" t="str">
        <f t="shared" si="71"/>
        <v/>
      </c>
      <c r="AX186" s="21">
        <f>HLOOKUP($AX$9&amp;$AX$10,Data!$A$1:$ZZ$2000,(MATCH($C186,Data!$A$1:$A$2000,0)),FALSE)</f>
        <v>82.784798386782171</v>
      </c>
      <c r="AY186" s="103"/>
      <c r="AZ186" s="21"/>
    </row>
    <row r="187" spans="1:52">
      <c r="A187" s="56" t="str">
        <f>$D$1&amp;177</f>
        <v>SD177</v>
      </c>
      <c r="B187" s="57">
        <f>IF(ISERROR(VLOOKUP(A187,classifications!A:C,3,FALSE)),0,VLOOKUP(A187,classifications!A:C,3,FALSE))</f>
        <v>0</v>
      </c>
      <c r="C187" s="8" t="s">
        <v>98</v>
      </c>
      <c r="D187" s="26" t="str">
        <f>VLOOKUP($C187,classifications!$C:$J,4,FALSE)</f>
        <v>SD</v>
      </c>
      <c r="E187" s="26" t="str">
        <f>VLOOKUP(C187,classifications!C:K,9,FALSE)</f>
        <v>Sparse</v>
      </c>
      <c r="F187" s="36">
        <f t="shared" si="50"/>
        <v>85.408739884561712</v>
      </c>
      <c r="G187" s="71"/>
      <c r="H187" s="37">
        <f t="shared" si="51"/>
        <v>85.408739884561712</v>
      </c>
      <c r="I187" s="77">
        <f>IF(H187="","",IF($I$8="A",(RANK(H187,H$11:H$368,1)+COUNTIF(H$11:H187,H187)-1),(RANK(H187,H$11:H$368)+COUNTIF(H$11:H187,H187)-1)))</f>
        <v>24</v>
      </c>
      <c r="J187" s="35"/>
      <c r="K187" s="28">
        <f t="shared" si="59"/>
        <v>177</v>
      </c>
      <c r="L187" s="36" t="str">
        <f t="shared" si="52"/>
        <v>Pendle</v>
      </c>
      <c r="M187" s="102">
        <f t="shared" si="60"/>
        <v>75.166650807951314</v>
      </c>
      <c r="N187" s="101">
        <f t="shared" si="61"/>
        <v>75.166650807951314</v>
      </c>
      <c r="O187" s="94" t="str">
        <f t="shared" si="53"/>
        <v/>
      </c>
      <c r="P187" s="94" t="str">
        <f t="shared" si="68"/>
        <v/>
      </c>
      <c r="Q187" s="94" t="str">
        <f t="shared" si="69"/>
        <v/>
      </c>
      <c r="R187" s="90">
        <f t="shared" si="70"/>
        <v>75.166650807951314</v>
      </c>
      <c r="S187" s="37" t="str">
        <f t="shared" si="62"/>
        <v/>
      </c>
      <c r="T187" s="176">
        <f>IF(L187="","",VLOOKUP(L187,classifications!C:K,9,FALSE))</f>
        <v>0</v>
      </c>
      <c r="U187" s="183" t="str">
        <f t="shared" si="54"/>
        <v/>
      </c>
      <c r="V187" s="184" t="str">
        <f>IF(U187="","",IF($I$8="A",(RANK(U187,U$11:U$368)+COUNTIF(U$11:U187,U187)-1),(RANK(U187,U$11:U$368,1)+COUNTIF(U$11:U187,U187)-1)))</f>
        <v/>
      </c>
      <c r="W187" s="185"/>
      <c r="X187" s="38" t="str">
        <f>IF(L187="","",VLOOKUP($L187,classifications!$C:$J,6,FALSE))</f>
        <v>Urban with City and Town</v>
      </c>
      <c r="Y187" s="26" t="str">
        <f t="shared" si="55"/>
        <v/>
      </c>
      <c r="Z187" s="34" t="str">
        <f>IF(Y187="","",IF(I$8="A",(RANK(Y187,Y$11:Y$368,1)+COUNTIF(Y$11:Y187,Y187)-1),(RANK(Y187,Y$11:Y$368)+COUNTIF(Y$11:Y187,Y187)-1)))</f>
        <v/>
      </c>
      <c r="AA187" s="188" t="str">
        <f>IF(L187="","",VLOOKUP($L187,classifications!C:I,7,FALSE))</f>
        <v>Predominantly Urban</v>
      </c>
      <c r="AB187" s="184" t="str">
        <f t="shared" si="63"/>
        <v/>
      </c>
      <c r="AC187" s="184" t="str">
        <f>IF(AB187="","",IF($I$8="A",(RANK(AB187,AB$11:AB$368)+COUNTIF(AB$11:AB187,AB187)-1),(RANK(AB187,AB$11:AB$368,1)+COUNTIF(AB$11:AB187,AB187)-1)))</f>
        <v/>
      </c>
      <c r="AD187" s="184"/>
      <c r="AE187" s="28" t="str">
        <f t="shared" si="72"/>
        <v/>
      </c>
      <c r="AG187" s="96"/>
      <c r="AH187" s="29"/>
      <c r="AI187" s="38" t="str">
        <f>IF(L187="","",VLOOKUP($L187,classifications!$C:$J,8,FALSE))</f>
        <v>Lancashire</v>
      </c>
      <c r="AJ187" s="39" t="str">
        <f t="shared" si="56"/>
        <v/>
      </c>
      <c r="AK187" s="34" t="str">
        <f>IF(AJ187="","",IF(I$8="A",(RANK(AJ187,AJ$11:AJ$368,1)+COUNTIF(AJ$11:AJ187,AJ187)-1),(RANK(AJ187,AJ$11:AJ$368)+COUNTIF(AJ$11:AJ187,AJ187)-1)))</f>
        <v/>
      </c>
      <c r="AL187" s="29" t="str">
        <f t="shared" si="64"/>
        <v/>
      </c>
      <c r="AM187" s="8" t="str">
        <f t="shared" si="57"/>
        <v/>
      </c>
      <c r="AN187" s="8" t="str">
        <f t="shared" si="65"/>
        <v/>
      </c>
      <c r="AP187" s="38" t="str">
        <f>IF(L187="","",VLOOKUP($L187,classifications!$C:$E,3,FALSE))</f>
        <v>North West</v>
      </c>
      <c r="AQ187" s="39">
        <f t="shared" si="66"/>
        <v>75.166650807951314</v>
      </c>
      <c r="AR187" s="34">
        <f>IF(AQ187="","",IF(I$8="A",(RANK(AQ187,AQ$11:AQ$368,1)+COUNTIF(AQ$11:AQ187,AQ187)-1),(RANK(AQ187,AQ$11:AQ$368)+COUNTIF(AQ$11:AQ187,AQ187)-1)))</f>
        <v>16</v>
      </c>
      <c r="AS187" s="29" t="str">
        <f t="shared" si="67"/>
        <v/>
      </c>
      <c r="AT187" s="34" t="str">
        <f t="shared" si="58"/>
        <v/>
      </c>
      <c r="AU187" s="39" t="str">
        <f t="shared" si="71"/>
        <v/>
      </c>
      <c r="AX187" s="21">
        <f>HLOOKUP($AX$9&amp;$AX$10,Data!$A$1:$ZZ$2000,(MATCH($C187,Data!$A$1:$A$2000,0)),FALSE)</f>
        <v>85.408739884561712</v>
      </c>
      <c r="AY187" s="103"/>
      <c r="AZ187" s="21"/>
    </row>
    <row r="188" spans="1:52">
      <c r="A188" s="56" t="str">
        <f>$D$1&amp;178</f>
        <v>SD178</v>
      </c>
      <c r="B188" s="57">
        <f>IF(ISERROR(VLOOKUP(A188,classifications!A:C,3,FALSE)),0,VLOOKUP(A188,classifications!A:C,3,FALSE))</f>
        <v>0</v>
      </c>
      <c r="C188" s="8" t="s">
        <v>236</v>
      </c>
      <c r="D188" s="26" t="str">
        <f>VLOOKUP($C188,classifications!$C:$J,4,FALSE)</f>
        <v>MD</v>
      </c>
      <c r="E188" s="26">
        <f>VLOOKUP(C188,classifications!C:K,9,FALSE)</f>
        <v>0</v>
      </c>
      <c r="F188" s="36">
        <f t="shared" si="50"/>
        <v>76.548101322470472</v>
      </c>
      <c r="G188" s="71"/>
      <c r="H188" s="37" t="str">
        <f t="shared" si="51"/>
        <v/>
      </c>
      <c r="I188" s="77" t="str">
        <f>IF(H188="","",IF($I$8="A",(RANK(H188,H$11:H$368,1)+COUNTIF(H$11:H188,H188)-1),(RANK(H188,H$11:H$368)+COUNTIF(H$11:H188,H188)-1)))</f>
        <v/>
      </c>
      <c r="J188" s="35"/>
      <c r="K188" s="28">
        <f t="shared" si="59"/>
        <v>178</v>
      </c>
      <c r="L188" s="36" t="str">
        <f t="shared" si="52"/>
        <v>Cannock Chase</v>
      </c>
      <c r="M188" s="102">
        <f t="shared" si="60"/>
        <v>75.152118132009605</v>
      </c>
      <c r="N188" s="101">
        <f t="shared" si="61"/>
        <v>75.152118132009605</v>
      </c>
      <c r="O188" s="94" t="str">
        <f t="shared" si="53"/>
        <v/>
      </c>
      <c r="P188" s="94" t="str">
        <f t="shared" si="68"/>
        <v/>
      </c>
      <c r="Q188" s="94" t="str">
        <f t="shared" si="69"/>
        <v/>
      </c>
      <c r="R188" s="90">
        <f t="shared" si="70"/>
        <v>75.152118132009605</v>
      </c>
      <c r="S188" s="37" t="str">
        <f t="shared" si="62"/>
        <v/>
      </c>
      <c r="T188" s="176">
        <f>IF(L188="","",VLOOKUP(L188,classifications!C:K,9,FALSE))</f>
        <v>0</v>
      </c>
      <c r="U188" s="183" t="str">
        <f t="shared" si="54"/>
        <v/>
      </c>
      <c r="V188" s="184" t="str">
        <f>IF(U188="","",IF($I$8="A",(RANK(U188,U$11:U$368)+COUNTIF(U$11:U188,U188)-1),(RANK(U188,U$11:U$368,1)+COUNTIF(U$11:U188,U188)-1)))</f>
        <v/>
      </c>
      <c r="W188" s="185"/>
      <c r="X188" s="38" t="str">
        <f>IF(L188="","",VLOOKUP($L188,classifications!$C:$J,6,FALSE))</f>
        <v>Urban with Significant Rural (rural including hub towns 26-49%)</v>
      </c>
      <c r="Y188" s="26" t="str">
        <f t="shared" si="55"/>
        <v/>
      </c>
      <c r="Z188" s="34" t="str">
        <f>IF(Y188="","",IF(I$8="A",(RANK(Y188,Y$11:Y$368,1)+COUNTIF(Y$11:Y188,Y188)-1),(RANK(Y188,Y$11:Y$368)+COUNTIF(Y$11:Y188,Y188)-1)))</f>
        <v/>
      </c>
      <c r="AA188" s="188" t="str">
        <f>IF(L188="","",VLOOKUP($L188,classifications!C:I,7,FALSE))</f>
        <v>Significant Rural</v>
      </c>
      <c r="AB188" s="184" t="str">
        <f t="shared" si="63"/>
        <v/>
      </c>
      <c r="AC188" s="184" t="str">
        <f>IF(AB188="","",IF($I$8="A",(RANK(AB188,AB$11:AB$368)+COUNTIF(AB$11:AB188,AB188)-1),(RANK(AB188,AB$11:AB$368,1)+COUNTIF(AB$11:AB188,AB188)-1)))</f>
        <v/>
      </c>
      <c r="AD188" s="184"/>
      <c r="AE188" s="28" t="str">
        <f t="shared" si="72"/>
        <v/>
      </c>
      <c r="AG188" s="96"/>
      <c r="AH188" s="29"/>
      <c r="AI188" s="38" t="str">
        <f>IF(L188="","",VLOOKUP($L188,classifications!$C:$J,8,FALSE))</f>
        <v>Staffordshire</v>
      </c>
      <c r="AJ188" s="39" t="str">
        <f t="shared" si="56"/>
        <v/>
      </c>
      <c r="AK188" s="34" t="str">
        <f>IF(AJ188="","",IF(I$8="A",(RANK(AJ188,AJ$11:AJ$368,1)+COUNTIF(AJ$11:AJ188,AJ188)-1),(RANK(AJ188,AJ$11:AJ$368)+COUNTIF(AJ$11:AJ188,AJ188)-1)))</f>
        <v/>
      </c>
      <c r="AL188" s="29" t="str">
        <f t="shared" si="64"/>
        <v/>
      </c>
      <c r="AM188" s="8" t="str">
        <f t="shared" si="57"/>
        <v/>
      </c>
      <c r="AN188" s="8" t="str">
        <f t="shared" si="65"/>
        <v/>
      </c>
      <c r="AP188" s="38" t="str">
        <f>IF(L188="","",VLOOKUP($L188,classifications!$C:$E,3,FALSE))</f>
        <v>West Midlands</v>
      </c>
      <c r="AQ188" s="39" t="str">
        <f t="shared" si="66"/>
        <v/>
      </c>
      <c r="AR188" s="34" t="str">
        <f>IF(AQ188="","",IF(I$8="A",(RANK(AQ188,AQ$11:AQ$368,1)+COUNTIF(AQ$11:AQ188,AQ188)-1),(RANK(AQ188,AQ$11:AQ$368)+COUNTIF(AQ$11:AQ188,AQ188)-1)))</f>
        <v/>
      </c>
      <c r="AS188" s="29" t="str">
        <f t="shared" si="67"/>
        <v/>
      </c>
      <c r="AT188" s="34" t="str">
        <f t="shared" si="58"/>
        <v/>
      </c>
      <c r="AU188" s="39" t="str">
        <f t="shared" si="71"/>
        <v/>
      </c>
      <c r="AX188" s="21">
        <f>HLOOKUP($AX$9&amp;$AX$10,Data!$A$1:$ZZ$2000,(MATCH($C188,Data!$A$1:$A$2000,0)),FALSE)</f>
        <v>76.548101322470472</v>
      </c>
      <c r="AY188" s="103"/>
      <c r="AZ188" s="21"/>
    </row>
    <row r="189" spans="1:52">
      <c r="A189" s="56" t="str">
        <f>$D$1&amp;179</f>
        <v>SD179</v>
      </c>
      <c r="B189" s="57">
        <f>IF(ISERROR(VLOOKUP(A189,classifications!A:C,3,FALSE)),0,VLOOKUP(A189,classifications!A:C,3,FALSE))</f>
        <v>0</v>
      </c>
      <c r="C189" s="8" t="s">
        <v>99</v>
      </c>
      <c r="D189" s="26" t="str">
        <f>VLOOKUP($C189,classifications!$C:$J,4,FALSE)</f>
        <v>SD</v>
      </c>
      <c r="E189" s="26">
        <f>VLOOKUP(C189,classifications!C:K,9,FALSE)</f>
        <v>0</v>
      </c>
      <c r="F189" s="36">
        <f t="shared" si="50"/>
        <v>73.836644973957874</v>
      </c>
      <c r="G189" s="71"/>
      <c r="H189" s="37">
        <f t="shared" si="51"/>
        <v>73.836644973957874</v>
      </c>
      <c r="I189" s="77">
        <f>IF(H189="","",IF($I$8="A",(RANK(H189,H$11:H$368,1)+COUNTIF(H$11:H189,H189)-1),(RANK(H189,H$11:H$368)+COUNTIF(H$11:H189,H189)-1)))</f>
        <v>184</v>
      </c>
      <c r="J189" s="35"/>
      <c r="K189" s="28">
        <f t="shared" si="59"/>
        <v>179</v>
      </c>
      <c r="L189" s="36" t="str">
        <f t="shared" si="52"/>
        <v>Rugby</v>
      </c>
      <c r="M189" s="102">
        <f t="shared" si="60"/>
        <v>74.80645961219075</v>
      </c>
      <c r="N189" s="101">
        <f t="shared" si="61"/>
        <v>74.80645961219075</v>
      </c>
      <c r="O189" s="94" t="str">
        <f t="shared" si="53"/>
        <v/>
      </c>
      <c r="P189" s="94" t="str">
        <f t="shared" si="68"/>
        <v/>
      </c>
      <c r="Q189" s="94" t="str">
        <f t="shared" si="69"/>
        <v/>
      </c>
      <c r="R189" s="90">
        <f t="shared" si="70"/>
        <v>74.80645961219075</v>
      </c>
      <c r="S189" s="37" t="str">
        <f t="shared" si="62"/>
        <v/>
      </c>
      <c r="T189" s="176" t="str">
        <f>IF(L189="","",VLOOKUP(L189,classifications!C:K,9,FALSE))</f>
        <v>Sparse</v>
      </c>
      <c r="U189" s="183">
        <f t="shared" si="54"/>
        <v>74.80645961219075</v>
      </c>
      <c r="V189" s="184">
        <f>IF(U189="","",IF($I$8="A",(RANK(U189,U$11:U$368)+COUNTIF(U$11:U189,U189)-1),(RANK(U189,U$11:U$368,1)+COUNTIF(U$11:U189,U189)-1)))</f>
        <v>3</v>
      </c>
      <c r="W189" s="185"/>
      <c r="X189" s="38" t="str">
        <f>IF(L189="","",VLOOKUP($L189,classifications!$C:$J,6,FALSE))</f>
        <v>Urban with City and Town</v>
      </c>
      <c r="Y189" s="26" t="str">
        <f t="shared" si="55"/>
        <v/>
      </c>
      <c r="Z189" s="34" t="str">
        <f>IF(Y189="","",IF(I$8="A",(RANK(Y189,Y$11:Y$368,1)+COUNTIF(Y$11:Y189,Y189)-1),(RANK(Y189,Y$11:Y$368)+COUNTIF(Y$11:Y189,Y189)-1)))</f>
        <v/>
      </c>
      <c r="AA189" s="188" t="str">
        <f>IF(L189="","",VLOOKUP($L189,classifications!C:I,7,FALSE))</f>
        <v>Predominantly Urban</v>
      </c>
      <c r="AB189" s="184" t="str">
        <f t="shared" si="63"/>
        <v/>
      </c>
      <c r="AC189" s="184" t="str">
        <f>IF(AB189="","",IF($I$8="A",(RANK(AB189,AB$11:AB$368)+COUNTIF(AB$11:AB189,AB189)-1),(RANK(AB189,AB$11:AB$368,1)+COUNTIF(AB$11:AB189,AB189)-1)))</f>
        <v/>
      </c>
      <c r="AD189" s="184"/>
      <c r="AE189" s="28" t="str">
        <f t="shared" si="72"/>
        <v/>
      </c>
      <c r="AG189" s="96"/>
      <c r="AH189" s="29"/>
      <c r="AI189" s="38" t="str">
        <f>IF(L189="","",VLOOKUP($L189,classifications!$C:$J,8,FALSE))</f>
        <v>Warwickshire</v>
      </c>
      <c r="AJ189" s="39" t="str">
        <f t="shared" si="56"/>
        <v/>
      </c>
      <c r="AK189" s="34" t="str">
        <f>IF(AJ189="","",IF(I$8="A",(RANK(AJ189,AJ$11:AJ$368,1)+COUNTIF(AJ$11:AJ189,AJ189)-1),(RANK(AJ189,AJ$11:AJ$368)+COUNTIF(AJ$11:AJ189,AJ189)-1)))</f>
        <v/>
      </c>
      <c r="AL189" s="29" t="str">
        <f t="shared" si="64"/>
        <v/>
      </c>
      <c r="AM189" s="8" t="str">
        <f t="shared" si="57"/>
        <v/>
      </c>
      <c r="AN189" s="8" t="str">
        <f t="shared" si="65"/>
        <v/>
      </c>
      <c r="AP189" s="38" t="str">
        <f>IF(L189="","",VLOOKUP($L189,classifications!$C:$E,3,FALSE))</f>
        <v>West Midlands</v>
      </c>
      <c r="AQ189" s="39" t="str">
        <f t="shared" si="66"/>
        <v/>
      </c>
      <c r="AR189" s="34" t="str">
        <f>IF(AQ189="","",IF(I$8="A",(RANK(AQ189,AQ$11:AQ$368,1)+COUNTIF(AQ$11:AQ189,AQ189)-1),(RANK(AQ189,AQ$11:AQ$368)+COUNTIF(AQ$11:AQ189,AQ189)-1)))</f>
        <v/>
      </c>
      <c r="AS189" s="29" t="str">
        <f t="shared" si="67"/>
        <v/>
      </c>
      <c r="AT189" s="34" t="str">
        <f t="shared" si="58"/>
        <v/>
      </c>
      <c r="AU189" s="39" t="str">
        <f t="shared" si="71"/>
        <v/>
      </c>
      <c r="AX189" s="21">
        <f>HLOOKUP($AX$9&amp;$AX$10,Data!$A$1:$ZZ$2000,(MATCH($C189,Data!$A$1:$A$2000,0)),FALSE)</f>
        <v>73.836644973957874</v>
      </c>
      <c r="AY189" s="103"/>
      <c r="AZ189" s="21"/>
    </row>
    <row r="190" spans="1:52">
      <c r="A190" s="56" t="str">
        <f>$D$1&amp;180</f>
        <v>SD180</v>
      </c>
      <c r="B190" s="57">
        <f>IF(ISERROR(VLOOKUP(A190,classifications!A:C,3,FALSE)),0,VLOOKUP(A190,classifications!A:C,3,FALSE))</f>
        <v>0</v>
      </c>
      <c r="C190" s="8" t="s">
        <v>273</v>
      </c>
      <c r="D190" s="26" t="str">
        <f>VLOOKUP($C190,classifications!$C:$J,4,FALSE)</f>
        <v>UA</v>
      </c>
      <c r="E190" s="26">
        <f>VLOOKUP(C190,classifications!C:K,9,FALSE)</f>
        <v>0</v>
      </c>
      <c r="F190" s="36">
        <f t="shared" si="50"/>
        <v>75.866442847861222</v>
      </c>
      <c r="G190" s="71"/>
      <c r="H190" s="37" t="str">
        <f t="shared" si="51"/>
        <v/>
      </c>
      <c r="I190" s="77" t="str">
        <f>IF(H190="","",IF($I$8="A",(RANK(H190,H$11:H$368,1)+COUNTIF(H$11:H190,H190)-1),(RANK(H190,H$11:H$368)+COUNTIF(H$11:H190,H190)-1)))</f>
        <v/>
      </c>
      <c r="J190" s="35"/>
      <c r="K190" s="28">
        <f t="shared" si="59"/>
        <v>180</v>
      </c>
      <c r="L190" s="36" t="str">
        <f t="shared" si="52"/>
        <v>West Lancashire</v>
      </c>
      <c r="M190" s="102">
        <f t="shared" si="60"/>
        <v>74.741479084428349</v>
      </c>
      <c r="N190" s="101">
        <f t="shared" si="61"/>
        <v>74.741479084428349</v>
      </c>
      <c r="O190" s="94" t="str">
        <f t="shared" si="53"/>
        <v/>
      </c>
      <c r="P190" s="94" t="str">
        <f t="shared" si="68"/>
        <v/>
      </c>
      <c r="Q190" s="94" t="str">
        <f t="shared" si="69"/>
        <v/>
      </c>
      <c r="R190" s="90">
        <f t="shared" si="70"/>
        <v>74.741479084428349</v>
      </c>
      <c r="S190" s="37" t="str">
        <f t="shared" si="62"/>
        <v/>
      </c>
      <c r="T190" s="176">
        <f>IF(L190="","",VLOOKUP(L190,classifications!C:K,9,FALSE))</f>
        <v>0</v>
      </c>
      <c r="U190" s="183" t="str">
        <f t="shared" si="54"/>
        <v/>
      </c>
      <c r="V190" s="184" t="str">
        <f>IF(U190="","",IF($I$8="A",(RANK(U190,U$11:U$368)+COUNTIF(U$11:U190,U190)-1),(RANK(U190,U$11:U$368,1)+COUNTIF(U$11:U190,U190)-1)))</f>
        <v/>
      </c>
      <c r="W190" s="185"/>
      <c r="X190" s="38" t="str">
        <f>IF(L190="","",VLOOKUP($L190,classifications!$C:$J,6,FALSE))</f>
        <v>Urban with Significant Rural (rural including hub towns 26-49%)</v>
      </c>
      <c r="Y190" s="26" t="str">
        <f t="shared" si="55"/>
        <v/>
      </c>
      <c r="Z190" s="34" t="str">
        <f>IF(Y190="","",IF(I$8="A",(RANK(Y190,Y$11:Y$368,1)+COUNTIF(Y$11:Y190,Y190)-1),(RANK(Y190,Y$11:Y$368)+COUNTIF(Y$11:Y190,Y190)-1)))</f>
        <v/>
      </c>
      <c r="AA190" s="188" t="str">
        <f>IF(L190="","",VLOOKUP($L190,classifications!C:I,7,FALSE))</f>
        <v>Significant Rural</v>
      </c>
      <c r="AB190" s="184" t="str">
        <f t="shared" si="63"/>
        <v/>
      </c>
      <c r="AC190" s="184" t="str">
        <f>IF(AB190="","",IF($I$8="A",(RANK(AB190,AB$11:AB$368)+COUNTIF(AB$11:AB190,AB190)-1),(RANK(AB190,AB$11:AB$368,1)+COUNTIF(AB$11:AB190,AB190)-1)))</f>
        <v/>
      </c>
      <c r="AD190" s="184"/>
      <c r="AE190" s="28" t="str">
        <f t="shared" si="72"/>
        <v/>
      </c>
      <c r="AG190" s="96"/>
      <c r="AH190" s="29"/>
      <c r="AI190" s="38" t="str">
        <f>IF(L190="","",VLOOKUP($L190,classifications!$C:$J,8,FALSE))</f>
        <v>Lancashire</v>
      </c>
      <c r="AJ190" s="39" t="str">
        <f t="shared" si="56"/>
        <v/>
      </c>
      <c r="AK190" s="34" t="str">
        <f>IF(AJ190="","",IF(I$8="A",(RANK(AJ190,AJ$11:AJ$368,1)+COUNTIF(AJ$11:AJ190,AJ190)-1),(RANK(AJ190,AJ$11:AJ$368)+COUNTIF(AJ$11:AJ190,AJ190)-1)))</f>
        <v/>
      </c>
      <c r="AL190" s="29" t="str">
        <f t="shared" si="64"/>
        <v/>
      </c>
      <c r="AM190" s="8" t="str">
        <f t="shared" si="57"/>
        <v/>
      </c>
      <c r="AN190" s="8" t="str">
        <f t="shared" si="65"/>
        <v/>
      </c>
      <c r="AP190" s="38" t="str">
        <f>IF(L190="","",VLOOKUP($L190,classifications!$C:$E,3,FALSE))</f>
        <v>North West</v>
      </c>
      <c r="AQ190" s="39">
        <f t="shared" si="66"/>
        <v>74.741479084428349</v>
      </c>
      <c r="AR190" s="34">
        <f>IF(AQ190="","",IF(I$8="A",(RANK(AQ190,AQ$11:AQ$368,1)+COUNTIF(AQ$11:AQ190,AQ190)-1),(RANK(AQ190,AQ$11:AQ$368)+COUNTIF(AQ$11:AQ190,AQ190)-1)))</f>
        <v>17</v>
      </c>
      <c r="AS190" s="29" t="str">
        <f t="shared" si="67"/>
        <v/>
      </c>
      <c r="AT190" s="34" t="str">
        <f t="shared" si="58"/>
        <v/>
      </c>
      <c r="AU190" s="39" t="str">
        <f t="shared" si="71"/>
        <v/>
      </c>
      <c r="AX190" s="21">
        <f>HLOOKUP($AX$9&amp;$AX$10,Data!$A$1:$ZZ$2000,(MATCH($C190,Data!$A$1:$A$2000,0)),FALSE)</f>
        <v>75.866442847861222</v>
      </c>
      <c r="AY190" s="103"/>
      <c r="AZ190" s="21"/>
    </row>
    <row r="191" spans="1:52">
      <c r="A191" s="56" t="str">
        <f>$D$1&amp;181</f>
        <v>SD181</v>
      </c>
      <c r="B191" s="57">
        <f>IF(ISERROR(VLOOKUP(A191,classifications!A:C,3,FALSE)),0,VLOOKUP(A191,classifications!A:C,3,FALSE))</f>
        <v>0</v>
      </c>
      <c r="C191" s="8" t="s">
        <v>100</v>
      </c>
      <c r="D191" s="26" t="str">
        <f>VLOOKUP($C191,classifications!$C:$J,4,FALSE)</f>
        <v>SD</v>
      </c>
      <c r="E191" s="26" t="str">
        <f>VLOOKUP(C191,classifications!C:K,9,FALSE)</f>
        <v>Sparse</v>
      </c>
      <c r="F191" s="36">
        <f t="shared" si="50"/>
        <v>80.58383595886491</v>
      </c>
      <c r="G191" s="71"/>
      <c r="H191" s="37">
        <f t="shared" si="51"/>
        <v>80.58383595886491</v>
      </c>
      <c r="I191" s="77">
        <f>IF(H191="","",IF($I$8="A",(RANK(H191,H$11:H$368,1)+COUNTIF(H$11:H191,H191)-1),(RANK(H191,H$11:H$368)+COUNTIF(H$11:H191,H191)-1)))</f>
        <v>106</v>
      </c>
      <c r="J191" s="35"/>
      <c r="K191" s="28">
        <f t="shared" si="59"/>
        <v>181</v>
      </c>
      <c r="L191" s="36" t="str">
        <f t="shared" si="52"/>
        <v>Fenland</v>
      </c>
      <c r="M191" s="102">
        <f t="shared" si="60"/>
        <v>74.34559789460593</v>
      </c>
      <c r="N191" s="101">
        <f t="shared" si="61"/>
        <v>74.34559789460593</v>
      </c>
      <c r="O191" s="94" t="str">
        <f t="shared" si="53"/>
        <v/>
      </c>
      <c r="P191" s="94" t="str">
        <f t="shared" si="68"/>
        <v/>
      </c>
      <c r="Q191" s="94" t="str">
        <f t="shared" si="69"/>
        <v/>
      </c>
      <c r="R191" s="90">
        <f t="shared" si="70"/>
        <v>74.34559789460593</v>
      </c>
      <c r="S191" s="37" t="str">
        <f t="shared" si="62"/>
        <v/>
      </c>
      <c r="T191" s="176">
        <f>IF(L191="","",VLOOKUP(L191,classifications!C:K,9,FALSE))</f>
        <v>0</v>
      </c>
      <c r="U191" s="183" t="str">
        <f t="shared" si="54"/>
        <v/>
      </c>
      <c r="V191" s="184" t="str">
        <f>IF(U191="","",IF($I$8="A",(RANK(U191,U$11:U$368)+COUNTIF(U$11:U191,U191)-1),(RANK(U191,U$11:U$368,1)+COUNTIF(U$11:U191,U191)-1)))</f>
        <v/>
      </c>
      <c r="W191" s="185"/>
      <c r="X191" s="38" t="str">
        <f>IF(L191="","",VLOOKUP($L191,classifications!$C:$J,6,FALSE))</f>
        <v xml:space="preserve">Largely Rural (rural including hub towns 50-79%) </v>
      </c>
      <c r="Y191" s="26" t="str">
        <f t="shared" si="55"/>
        <v/>
      </c>
      <c r="Z191" s="34" t="str">
        <f>IF(Y191="","",IF(I$8="A",(RANK(Y191,Y$11:Y$368,1)+COUNTIF(Y$11:Y191,Y191)-1),(RANK(Y191,Y$11:Y$368)+COUNTIF(Y$11:Y191,Y191)-1)))</f>
        <v/>
      </c>
      <c r="AA191" s="188" t="str">
        <f>IF(L191="","",VLOOKUP($L191,classifications!C:I,7,FALSE))</f>
        <v>Predominantly Rural</v>
      </c>
      <c r="AB191" s="184">
        <f t="shared" si="63"/>
        <v>74.34559789460593</v>
      </c>
      <c r="AC191" s="184">
        <f>IF(AB191="","",IF($I$8="A",(RANK(AB191,AB$11:AB$368)+COUNTIF(AB$11:AB191,AB191)-1),(RANK(AB191,AB$11:AB$368,1)+COUNTIF(AB$11:AB191,AB191)-1)))</f>
        <v>3</v>
      </c>
      <c r="AD191" s="184"/>
      <c r="AE191" s="28" t="str">
        <f t="shared" si="72"/>
        <v/>
      </c>
      <c r="AG191" s="96"/>
      <c r="AH191" s="29"/>
      <c r="AI191" s="38" t="str">
        <f>IF(L191="","",VLOOKUP($L191,classifications!$C:$J,8,FALSE))</f>
        <v>Cambridgeshire</v>
      </c>
      <c r="AJ191" s="39" t="str">
        <f t="shared" si="56"/>
        <v/>
      </c>
      <c r="AK191" s="34" t="str">
        <f>IF(AJ191="","",IF(I$8="A",(RANK(AJ191,AJ$11:AJ$368,1)+COUNTIF(AJ$11:AJ191,AJ191)-1),(RANK(AJ191,AJ$11:AJ$368)+COUNTIF(AJ$11:AJ191,AJ191)-1)))</f>
        <v/>
      </c>
      <c r="AL191" s="29" t="str">
        <f t="shared" si="64"/>
        <v/>
      </c>
      <c r="AM191" s="8" t="str">
        <f t="shared" si="57"/>
        <v/>
      </c>
      <c r="AN191" s="8" t="str">
        <f t="shared" si="65"/>
        <v/>
      </c>
      <c r="AP191" s="38" t="str">
        <f>IF(L191="","",VLOOKUP($L191,classifications!$C:$E,3,FALSE))</f>
        <v>East of England</v>
      </c>
      <c r="AQ191" s="39" t="str">
        <f t="shared" si="66"/>
        <v/>
      </c>
      <c r="AR191" s="34" t="str">
        <f>IF(AQ191="","",IF(I$8="A",(RANK(AQ191,AQ$11:AQ$368,1)+COUNTIF(AQ$11:AQ191,AQ191)-1),(RANK(AQ191,AQ$11:AQ$368)+COUNTIF(AQ$11:AQ191,AQ191)-1)))</f>
        <v/>
      </c>
      <c r="AS191" s="29" t="str">
        <f t="shared" si="67"/>
        <v/>
      </c>
      <c r="AT191" s="34" t="str">
        <f t="shared" si="58"/>
        <v/>
      </c>
      <c r="AU191" s="39" t="str">
        <f t="shared" si="71"/>
        <v/>
      </c>
      <c r="AX191" s="21">
        <f>HLOOKUP($AX$9&amp;$AX$10,Data!$A$1:$ZZ$2000,(MATCH($C191,Data!$A$1:$A$2000,0)),FALSE)</f>
        <v>80.58383595886491</v>
      </c>
      <c r="AY191" s="103"/>
      <c r="AZ191" s="21"/>
    </row>
    <row r="192" spans="1:52">
      <c r="A192" s="56" t="str">
        <f>$D$1&amp;182</f>
        <v>SD182</v>
      </c>
      <c r="B192" s="57">
        <f>IF(ISERROR(VLOOKUP(A192,classifications!A:C,3,FALSE)),0,VLOOKUP(A192,classifications!A:C,3,FALSE))</f>
        <v>0</v>
      </c>
      <c r="C192" s="8" t="s">
        <v>101</v>
      </c>
      <c r="D192" s="26" t="str">
        <f>VLOOKUP($C192,classifications!$C:$J,4,FALSE)</f>
        <v>SD</v>
      </c>
      <c r="E192" s="26" t="str">
        <f>VLOOKUP(C192,classifications!C:K,9,FALSE)</f>
        <v>Sparse</v>
      </c>
      <c r="F192" s="36">
        <f t="shared" si="50"/>
        <v>84.334564848336342</v>
      </c>
      <c r="G192" s="71"/>
      <c r="H192" s="37">
        <f t="shared" si="51"/>
        <v>84.334564848336342</v>
      </c>
      <c r="I192" s="77">
        <f>IF(H192="","",IF($I$8="A",(RANK(H192,H$11:H$368,1)+COUNTIF(H$11:H192,H192)-1),(RANK(H192,H$11:H$368)+COUNTIF(H$11:H192,H192)-1)))</f>
        <v>42</v>
      </c>
      <c r="J192" s="35"/>
      <c r="K192" s="28">
        <f t="shared" si="59"/>
        <v>182</v>
      </c>
      <c r="L192" s="36" t="str">
        <f t="shared" si="52"/>
        <v>Gravesham</v>
      </c>
      <c r="M192" s="102">
        <f t="shared" si="60"/>
        <v>74.189896490200681</v>
      </c>
      <c r="N192" s="101">
        <f t="shared" si="61"/>
        <v>74.189896490200681</v>
      </c>
      <c r="O192" s="94" t="str">
        <f t="shared" si="53"/>
        <v/>
      </c>
      <c r="P192" s="94" t="str">
        <f t="shared" si="68"/>
        <v/>
      </c>
      <c r="Q192" s="94" t="str">
        <f t="shared" si="69"/>
        <v/>
      </c>
      <c r="R192" s="90">
        <f t="shared" si="70"/>
        <v>74.189896490200681</v>
      </c>
      <c r="S192" s="37" t="str">
        <f t="shared" si="62"/>
        <v/>
      </c>
      <c r="T192" s="176">
        <f>IF(L192="","",VLOOKUP(L192,classifications!C:K,9,FALSE))</f>
        <v>0</v>
      </c>
      <c r="U192" s="183" t="str">
        <f t="shared" si="54"/>
        <v/>
      </c>
      <c r="V192" s="184" t="str">
        <f>IF(U192="","",IF($I$8="A",(RANK(U192,U$11:U$368)+COUNTIF(U$11:U192,U192)-1),(RANK(U192,U$11:U$368,1)+COUNTIF(U$11:U192,U192)-1)))</f>
        <v/>
      </c>
      <c r="W192" s="185"/>
      <c r="X192" s="38" t="str">
        <f>IF(L192="","",VLOOKUP($L192,classifications!$C:$J,6,FALSE))</f>
        <v>Urban with Major Conurbation</v>
      </c>
      <c r="Y192" s="26" t="str">
        <f t="shared" si="55"/>
        <v/>
      </c>
      <c r="Z192" s="34" t="str">
        <f>IF(Y192="","",IF(I$8="A",(RANK(Y192,Y$11:Y$368,1)+COUNTIF(Y$11:Y192,Y192)-1),(RANK(Y192,Y$11:Y$368)+COUNTIF(Y$11:Y192,Y192)-1)))</f>
        <v/>
      </c>
      <c r="AA192" s="188" t="str">
        <f>IF(L192="","",VLOOKUP($L192,classifications!C:I,7,FALSE))</f>
        <v>Predominantly Urban</v>
      </c>
      <c r="AB192" s="184" t="str">
        <f t="shared" si="63"/>
        <v/>
      </c>
      <c r="AC192" s="184" t="str">
        <f>IF(AB192="","",IF($I$8="A",(RANK(AB192,AB$11:AB$368)+COUNTIF(AB$11:AB192,AB192)-1),(RANK(AB192,AB$11:AB$368,1)+COUNTIF(AB$11:AB192,AB192)-1)))</f>
        <v/>
      </c>
      <c r="AD192" s="184"/>
      <c r="AE192" s="28" t="str">
        <f t="shared" si="72"/>
        <v/>
      </c>
      <c r="AG192" s="96"/>
      <c r="AH192" s="29"/>
      <c r="AI192" s="38" t="str">
        <f>IF(L192="","",VLOOKUP($L192,classifications!$C:$J,8,FALSE))</f>
        <v>Kent</v>
      </c>
      <c r="AJ192" s="39" t="str">
        <f t="shared" si="56"/>
        <v/>
      </c>
      <c r="AK192" s="34" t="str">
        <f>IF(AJ192="","",IF(I$8="A",(RANK(AJ192,AJ$11:AJ$368,1)+COUNTIF(AJ$11:AJ192,AJ192)-1),(RANK(AJ192,AJ$11:AJ$368)+COUNTIF(AJ$11:AJ192,AJ192)-1)))</f>
        <v/>
      </c>
      <c r="AL192" s="29" t="str">
        <f t="shared" si="64"/>
        <v/>
      </c>
      <c r="AM192" s="8" t="str">
        <f t="shared" si="57"/>
        <v/>
      </c>
      <c r="AN192" s="8" t="str">
        <f t="shared" si="65"/>
        <v/>
      </c>
      <c r="AP192" s="38" t="str">
        <f>IF(L192="","",VLOOKUP($L192,classifications!$C:$E,3,FALSE))</f>
        <v>South East</v>
      </c>
      <c r="AQ192" s="39" t="str">
        <f t="shared" si="66"/>
        <v/>
      </c>
      <c r="AR192" s="34" t="str">
        <f>IF(AQ192="","",IF(I$8="A",(RANK(AQ192,AQ$11:AQ$368,1)+COUNTIF(AQ$11:AQ192,AQ192)-1),(RANK(AQ192,AQ$11:AQ$368)+COUNTIF(AQ$11:AQ192,AQ192)-1)))</f>
        <v/>
      </c>
      <c r="AS192" s="29" t="str">
        <f t="shared" si="67"/>
        <v/>
      </c>
      <c r="AT192" s="34" t="str">
        <f t="shared" si="58"/>
        <v/>
      </c>
      <c r="AU192" s="39" t="str">
        <f t="shared" si="71"/>
        <v/>
      </c>
      <c r="AX192" s="21">
        <f>HLOOKUP($AX$9&amp;$AX$10,Data!$A$1:$ZZ$2000,(MATCH($C192,Data!$A$1:$A$2000,0)),FALSE)</f>
        <v>84.334564848336342</v>
      </c>
      <c r="AY192" s="103"/>
      <c r="AZ192" s="21"/>
    </row>
    <row r="193" spans="1:52">
      <c r="A193" s="56" t="str">
        <f>$D$1&amp;183</f>
        <v>SD183</v>
      </c>
      <c r="B193" s="57">
        <f>IF(ISERROR(VLOOKUP(A193,classifications!A:C,3,FALSE)),0,VLOOKUP(A193,classifications!A:C,3,FALSE))</f>
        <v>0</v>
      </c>
      <c r="C193" s="8" t="s">
        <v>214</v>
      </c>
      <c r="D193" s="26" t="str">
        <f>VLOOKUP($C193,classifications!$C:$J,4,FALSE)</f>
        <v>L</v>
      </c>
      <c r="E193" s="26">
        <f>VLOOKUP(C193,classifications!C:K,9,FALSE)</f>
        <v>0</v>
      </c>
      <c r="F193" s="36">
        <f t="shared" si="50"/>
        <v>84.680944566562957</v>
      </c>
      <c r="G193" s="71"/>
      <c r="H193" s="37" t="str">
        <f t="shared" si="51"/>
        <v/>
      </c>
      <c r="I193" s="77" t="str">
        <f>IF(H193="","",IF($I$8="A",(RANK(H193,H$11:H$368,1)+COUNTIF(H$11:H193,H193)-1),(RANK(H193,H$11:H$368)+COUNTIF(H$11:H193,H193)-1)))</f>
        <v/>
      </c>
      <c r="J193" s="35"/>
      <c r="K193" s="28">
        <f t="shared" si="59"/>
        <v>183</v>
      </c>
      <c r="L193" s="36" t="str">
        <f t="shared" si="52"/>
        <v>Gosport</v>
      </c>
      <c r="M193" s="102">
        <f t="shared" si="60"/>
        <v>74.018597968929896</v>
      </c>
      <c r="N193" s="101">
        <f t="shared" si="61"/>
        <v>74.018597968929896</v>
      </c>
      <c r="O193" s="94" t="str">
        <f t="shared" si="53"/>
        <v/>
      </c>
      <c r="P193" s="94" t="str">
        <f t="shared" si="68"/>
        <v/>
      </c>
      <c r="Q193" s="94" t="str">
        <f t="shared" si="69"/>
        <v/>
      </c>
      <c r="R193" s="90">
        <f t="shared" si="70"/>
        <v>74.018597968929896</v>
      </c>
      <c r="S193" s="37" t="str">
        <f t="shared" si="62"/>
        <v/>
      </c>
      <c r="T193" s="176">
        <f>IF(L193="","",VLOOKUP(L193,classifications!C:K,9,FALSE))</f>
        <v>0</v>
      </c>
      <c r="U193" s="183" t="str">
        <f t="shared" si="54"/>
        <v/>
      </c>
      <c r="V193" s="184" t="str">
        <f>IF(U193="","",IF($I$8="A",(RANK(U193,U$11:U$368)+COUNTIF(U$11:U193,U193)-1),(RANK(U193,U$11:U$368,1)+COUNTIF(U$11:U193,U193)-1)))</f>
        <v/>
      </c>
      <c r="W193" s="185"/>
      <c r="X193" s="38" t="str">
        <f>IF(L193="","",VLOOKUP($L193,classifications!$C:$J,6,FALSE))</f>
        <v>Urban with City and Town</v>
      </c>
      <c r="Y193" s="26" t="str">
        <f t="shared" si="55"/>
        <v/>
      </c>
      <c r="Z193" s="34" t="str">
        <f>IF(Y193="","",IF(I$8="A",(RANK(Y193,Y$11:Y$368,1)+COUNTIF(Y$11:Y193,Y193)-1),(RANK(Y193,Y$11:Y$368)+COUNTIF(Y$11:Y193,Y193)-1)))</f>
        <v/>
      </c>
      <c r="AA193" s="188" t="str">
        <f>IF(L193="","",VLOOKUP($L193,classifications!C:I,7,FALSE))</f>
        <v>Predominantly Urban</v>
      </c>
      <c r="AB193" s="184" t="str">
        <f t="shared" si="63"/>
        <v/>
      </c>
      <c r="AC193" s="184" t="str">
        <f>IF(AB193="","",IF($I$8="A",(RANK(AB193,AB$11:AB$368)+COUNTIF(AB$11:AB193,AB193)-1),(RANK(AB193,AB$11:AB$368,1)+COUNTIF(AB$11:AB193,AB193)-1)))</f>
        <v/>
      </c>
      <c r="AD193" s="184"/>
      <c r="AE193" s="28" t="str">
        <f t="shared" si="72"/>
        <v/>
      </c>
      <c r="AG193" s="96"/>
      <c r="AH193" s="29"/>
      <c r="AI193" s="38" t="str">
        <f>IF(L193="","",VLOOKUP($L193,classifications!$C:$J,8,FALSE))</f>
        <v>Hampshire</v>
      </c>
      <c r="AJ193" s="39" t="str">
        <f t="shared" si="56"/>
        <v/>
      </c>
      <c r="AK193" s="34" t="str">
        <f>IF(AJ193="","",IF(I$8="A",(RANK(AJ193,AJ$11:AJ$368,1)+COUNTIF(AJ$11:AJ193,AJ193)-1),(RANK(AJ193,AJ$11:AJ$368)+COUNTIF(AJ$11:AJ193,AJ193)-1)))</f>
        <v/>
      </c>
      <c r="AL193" s="29" t="str">
        <f t="shared" si="64"/>
        <v/>
      </c>
      <c r="AM193" s="8" t="str">
        <f t="shared" si="57"/>
        <v/>
      </c>
      <c r="AN193" s="8" t="str">
        <f t="shared" si="65"/>
        <v/>
      </c>
      <c r="AP193" s="38" t="str">
        <f>IF(L193="","",VLOOKUP($L193,classifications!$C:$E,3,FALSE))</f>
        <v>South East</v>
      </c>
      <c r="AQ193" s="39" t="str">
        <f t="shared" si="66"/>
        <v/>
      </c>
      <c r="AR193" s="34" t="str">
        <f>IF(AQ193="","",IF(I$8="A",(RANK(AQ193,AQ$11:AQ$368,1)+COUNTIF(AQ$11:AQ193,AQ193)-1),(RANK(AQ193,AQ$11:AQ$368)+COUNTIF(AQ$11:AQ193,AQ193)-1)))</f>
        <v/>
      </c>
      <c r="AS193" s="29" t="str">
        <f t="shared" si="67"/>
        <v/>
      </c>
      <c r="AT193" s="34" t="str">
        <f t="shared" si="58"/>
        <v/>
      </c>
      <c r="AU193" s="39" t="str">
        <f t="shared" si="71"/>
        <v/>
      </c>
      <c r="AX193" s="21">
        <f>HLOOKUP($AX$9&amp;$AX$10,Data!$A$1:$ZZ$2000,(MATCH($C193,Data!$A$1:$A$2000,0)),FALSE)</f>
        <v>84.680944566562957</v>
      </c>
      <c r="AY193" s="103"/>
      <c r="AZ193" s="21"/>
    </row>
    <row r="194" spans="1:52">
      <c r="A194" s="56" t="str">
        <f>$D$1&amp;184</f>
        <v>SD184</v>
      </c>
      <c r="B194" s="57">
        <f>IF(ISERROR(VLOOKUP(A194,classifications!A:C,3,FALSE)),0,VLOOKUP(A194,classifications!A:C,3,FALSE))</f>
        <v>0</v>
      </c>
      <c r="C194" s="8" t="s">
        <v>102</v>
      </c>
      <c r="D194" s="26" t="str">
        <f>VLOOKUP($C194,classifications!$C:$J,4,FALSE)</f>
        <v>SD</v>
      </c>
      <c r="E194" s="26" t="str">
        <f>VLOOKUP(C194,classifications!C:K,9,FALSE)</f>
        <v>Sparse</v>
      </c>
      <c r="F194" s="36">
        <f t="shared" si="50"/>
        <v>86.428841112143985</v>
      </c>
      <c r="G194" s="71"/>
      <c r="H194" s="37">
        <f t="shared" si="51"/>
        <v>86.428841112143985</v>
      </c>
      <c r="I194" s="77">
        <f>IF(H194="","",IF($I$8="A",(RANK(H194,H$11:H$368,1)+COUNTIF(H$11:H194,H194)-1),(RANK(H194,H$11:H$368)+COUNTIF(H$11:H194,H194)-1)))</f>
        <v>14</v>
      </c>
      <c r="J194" s="35"/>
      <c r="K194" s="28">
        <f t="shared" si="59"/>
        <v>184</v>
      </c>
      <c r="L194" s="36" t="str">
        <f t="shared" si="52"/>
        <v>Mansfield</v>
      </c>
      <c r="M194" s="102">
        <f t="shared" si="60"/>
        <v>73.836644973957874</v>
      </c>
      <c r="N194" s="101">
        <f t="shared" si="61"/>
        <v>73.836644973957874</v>
      </c>
      <c r="O194" s="94" t="str">
        <f t="shared" si="53"/>
        <v/>
      </c>
      <c r="P194" s="94" t="str">
        <f t="shared" si="68"/>
        <v/>
      </c>
      <c r="Q194" s="94" t="str">
        <f t="shared" si="69"/>
        <v/>
      </c>
      <c r="R194" s="90">
        <f t="shared" si="70"/>
        <v>73.836644973957874</v>
      </c>
      <c r="S194" s="37" t="str">
        <f t="shared" si="62"/>
        <v/>
      </c>
      <c r="T194" s="176">
        <f>IF(L194="","",VLOOKUP(L194,classifications!C:K,9,FALSE))</f>
        <v>0</v>
      </c>
      <c r="U194" s="183" t="str">
        <f t="shared" si="54"/>
        <v/>
      </c>
      <c r="V194" s="184" t="str">
        <f>IF(U194="","",IF($I$8="A",(RANK(U194,U$11:U$368)+COUNTIF(U$11:U194,U194)-1),(RANK(U194,U$11:U$368,1)+COUNTIF(U$11:U194,U194)-1)))</f>
        <v/>
      </c>
      <c r="W194" s="185"/>
      <c r="X194" s="38" t="str">
        <f>IF(L194="","",VLOOKUP($L194,classifications!$C:$J,6,FALSE))</f>
        <v>Urban with City and Town</v>
      </c>
      <c r="Y194" s="26" t="str">
        <f t="shared" si="55"/>
        <v/>
      </c>
      <c r="Z194" s="34" t="str">
        <f>IF(Y194="","",IF(I$8="A",(RANK(Y194,Y$11:Y$368,1)+COUNTIF(Y$11:Y194,Y194)-1),(RANK(Y194,Y$11:Y$368)+COUNTIF(Y$11:Y194,Y194)-1)))</f>
        <v/>
      </c>
      <c r="AA194" s="188" t="str">
        <f>IF(L194="","",VLOOKUP($L194,classifications!C:I,7,FALSE))</f>
        <v>Predominantly Urban</v>
      </c>
      <c r="AB194" s="184" t="str">
        <f t="shared" si="63"/>
        <v/>
      </c>
      <c r="AC194" s="184" t="str">
        <f>IF(AB194="","",IF($I$8="A",(RANK(AB194,AB$11:AB$368)+COUNTIF(AB$11:AB194,AB194)-1),(RANK(AB194,AB$11:AB$368,1)+COUNTIF(AB$11:AB194,AB194)-1)))</f>
        <v/>
      </c>
      <c r="AD194" s="184"/>
      <c r="AE194" s="28" t="str">
        <f t="shared" si="72"/>
        <v/>
      </c>
      <c r="AG194" s="96"/>
      <c r="AH194" s="29"/>
      <c r="AI194" s="38" t="str">
        <f>IF(L194="","",VLOOKUP($L194,classifications!$C:$J,8,FALSE))</f>
        <v>Nottinghamshire</v>
      </c>
      <c r="AJ194" s="39" t="str">
        <f t="shared" si="56"/>
        <v/>
      </c>
      <c r="AK194" s="34" t="str">
        <f>IF(AJ194="","",IF(I$8="A",(RANK(AJ194,AJ$11:AJ$368,1)+COUNTIF(AJ$11:AJ194,AJ194)-1),(RANK(AJ194,AJ$11:AJ$368)+COUNTIF(AJ$11:AJ194,AJ194)-1)))</f>
        <v/>
      </c>
      <c r="AL194" s="29" t="str">
        <f t="shared" si="64"/>
        <v/>
      </c>
      <c r="AM194" s="8" t="str">
        <f t="shared" si="57"/>
        <v/>
      </c>
      <c r="AN194" s="8" t="str">
        <f t="shared" si="65"/>
        <v/>
      </c>
      <c r="AP194" s="38" t="str">
        <f>IF(L194="","",VLOOKUP($L194,classifications!$C:$E,3,FALSE))</f>
        <v>East Midlands</v>
      </c>
      <c r="AQ194" s="39" t="str">
        <f t="shared" si="66"/>
        <v/>
      </c>
      <c r="AR194" s="34" t="str">
        <f>IF(AQ194="","",IF(I$8="A",(RANK(AQ194,AQ$11:AQ$368,1)+COUNTIF(AQ$11:AQ194,AQ194)-1),(RANK(AQ194,AQ$11:AQ$368)+COUNTIF(AQ$11:AQ194,AQ194)-1)))</f>
        <v/>
      </c>
      <c r="AS194" s="29" t="str">
        <f t="shared" si="67"/>
        <v/>
      </c>
      <c r="AT194" s="34" t="str">
        <f t="shared" si="58"/>
        <v/>
      </c>
      <c r="AU194" s="39" t="str">
        <f t="shared" si="71"/>
        <v/>
      </c>
      <c r="AX194" s="21">
        <f>HLOOKUP($AX$9&amp;$AX$10,Data!$A$1:$ZZ$2000,(MATCH($C194,Data!$A$1:$A$2000,0)),FALSE)</f>
        <v>86.428841112143985</v>
      </c>
      <c r="AY194" s="103"/>
      <c r="AZ194" s="21"/>
    </row>
    <row r="195" spans="1:52">
      <c r="A195" s="56" t="str">
        <f>$D$1&amp;185</f>
        <v>SD185</v>
      </c>
      <c r="B195" s="57">
        <f>IF(ISERROR(VLOOKUP(A195,classifications!A:C,3,FALSE)),0,VLOOKUP(A195,classifications!A:C,3,FALSE))</f>
        <v>0</v>
      </c>
      <c r="C195" s="8" t="s">
        <v>103</v>
      </c>
      <c r="D195" s="26" t="str">
        <f>VLOOKUP($C195,classifications!$C:$J,4,FALSE)</f>
        <v>SD</v>
      </c>
      <c r="E195" s="26" t="str">
        <f>VLOOKUP(C195,classifications!C:K,9,FALSE)</f>
        <v>Sparse</v>
      </c>
      <c r="F195" s="36">
        <f t="shared" si="50"/>
        <v>84.838104587117726</v>
      </c>
      <c r="G195" s="71"/>
      <c r="H195" s="37">
        <f t="shared" si="51"/>
        <v>84.838104587117726</v>
      </c>
      <c r="I195" s="77">
        <f>IF(H195="","",IF($I$8="A",(RANK(H195,H$11:H$368,1)+COUNTIF(H$11:H195,H195)-1),(RANK(H195,H$11:H$368)+COUNTIF(H$11:H195,H195)-1)))</f>
        <v>34</v>
      </c>
      <c r="J195" s="35"/>
      <c r="K195" s="28">
        <f t="shared" si="59"/>
        <v>185</v>
      </c>
      <c r="L195" s="36" t="str">
        <f t="shared" si="52"/>
        <v>Northampton</v>
      </c>
      <c r="M195" s="102">
        <f t="shared" si="60"/>
        <v>73.836303309698209</v>
      </c>
      <c r="N195" s="101">
        <f t="shared" si="61"/>
        <v>73.836303309698209</v>
      </c>
      <c r="O195" s="94" t="str">
        <f t="shared" si="53"/>
        <v/>
      </c>
      <c r="P195" s="94" t="str">
        <f t="shared" si="68"/>
        <v/>
      </c>
      <c r="Q195" s="94" t="str">
        <f t="shared" si="69"/>
        <v/>
      </c>
      <c r="R195" s="90">
        <f t="shared" si="70"/>
        <v>73.836303309698209</v>
      </c>
      <c r="S195" s="37" t="str">
        <f t="shared" si="62"/>
        <v/>
      </c>
      <c r="T195" s="176">
        <f>IF(L195="","",VLOOKUP(L195,classifications!C:K,9,FALSE))</f>
        <v>0</v>
      </c>
      <c r="U195" s="183" t="str">
        <f t="shared" si="54"/>
        <v/>
      </c>
      <c r="V195" s="184" t="str">
        <f>IF(U195="","",IF($I$8="A",(RANK(U195,U$11:U$368)+COUNTIF(U$11:U195,U195)-1),(RANK(U195,U$11:U$368,1)+COUNTIF(U$11:U195,U195)-1)))</f>
        <v/>
      </c>
      <c r="W195" s="185"/>
      <c r="X195" s="38" t="str">
        <f>IF(L195="","",VLOOKUP($L195,classifications!$C:$J,6,FALSE))</f>
        <v>Urban with City and Town</v>
      </c>
      <c r="Y195" s="26" t="str">
        <f t="shared" si="55"/>
        <v/>
      </c>
      <c r="Z195" s="34" t="str">
        <f>IF(Y195="","",IF(I$8="A",(RANK(Y195,Y$11:Y$368,1)+COUNTIF(Y$11:Y195,Y195)-1),(RANK(Y195,Y$11:Y$368)+COUNTIF(Y$11:Y195,Y195)-1)))</f>
        <v/>
      </c>
      <c r="AA195" s="188" t="str">
        <f>IF(L195="","",VLOOKUP($L195,classifications!C:I,7,FALSE))</f>
        <v>Predominantly Urban</v>
      </c>
      <c r="AB195" s="184" t="str">
        <f t="shared" si="63"/>
        <v/>
      </c>
      <c r="AC195" s="184" t="str">
        <f>IF(AB195="","",IF($I$8="A",(RANK(AB195,AB$11:AB$368)+COUNTIF(AB$11:AB195,AB195)-1),(RANK(AB195,AB$11:AB$368,1)+COUNTIF(AB$11:AB195,AB195)-1)))</f>
        <v/>
      </c>
      <c r="AD195" s="184"/>
      <c r="AE195" s="28" t="str">
        <f t="shared" si="72"/>
        <v/>
      </c>
      <c r="AG195" s="96"/>
      <c r="AH195" s="29"/>
      <c r="AI195" s="38" t="str">
        <f>IF(L195="","",VLOOKUP($L195,classifications!$C:$J,8,FALSE))</f>
        <v>Northamptonshire</v>
      </c>
      <c r="AJ195" s="39" t="str">
        <f t="shared" si="56"/>
        <v/>
      </c>
      <c r="AK195" s="34" t="str">
        <f>IF(AJ195="","",IF(I$8="A",(RANK(AJ195,AJ$11:AJ$368,1)+COUNTIF(AJ$11:AJ195,AJ195)-1),(RANK(AJ195,AJ$11:AJ$368)+COUNTIF(AJ$11:AJ195,AJ195)-1)))</f>
        <v/>
      </c>
      <c r="AL195" s="29" t="str">
        <f t="shared" si="64"/>
        <v/>
      </c>
      <c r="AM195" s="8" t="str">
        <f t="shared" si="57"/>
        <v/>
      </c>
      <c r="AN195" s="8" t="str">
        <f t="shared" si="65"/>
        <v/>
      </c>
      <c r="AP195" s="38" t="str">
        <f>IF(L195="","",VLOOKUP($L195,classifications!$C:$E,3,FALSE))</f>
        <v>East Midlands</v>
      </c>
      <c r="AQ195" s="39" t="str">
        <f t="shared" si="66"/>
        <v/>
      </c>
      <c r="AR195" s="34" t="str">
        <f>IF(AQ195="","",IF(I$8="A",(RANK(AQ195,AQ$11:AQ$368,1)+COUNTIF(AQ$11:AQ195,AQ195)-1),(RANK(AQ195,AQ$11:AQ$368)+COUNTIF(AQ$11:AQ195,AQ195)-1)))</f>
        <v/>
      </c>
      <c r="AS195" s="29" t="str">
        <f t="shared" si="67"/>
        <v/>
      </c>
      <c r="AT195" s="34" t="str">
        <f t="shared" si="58"/>
        <v/>
      </c>
      <c r="AU195" s="39" t="str">
        <f t="shared" si="71"/>
        <v/>
      </c>
      <c r="AX195" s="21">
        <f>HLOOKUP($AX$9&amp;$AX$10,Data!$A$1:$ZZ$2000,(MATCH($C195,Data!$A$1:$A$2000,0)),FALSE)</f>
        <v>84.838104587117726</v>
      </c>
      <c r="AY195" s="103"/>
      <c r="AZ195" s="21"/>
    </row>
    <row r="196" spans="1:52">
      <c r="A196" s="56" t="str">
        <f>$D$1&amp;186</f>
        <v>SD186</v>
      </c>
      <c r="B196" s="57">
        <f>IF(ISERROR(VLOOKUP(A196,classifications!A:C,3,FALSE)),0,VLOOKUP(A196,classifications!A:C,3,FALSE))</f>
        <v>0</v>
      </c>
      <c r="C196" s="8" t="s">
        <v>104</v>
      </c>
      <c r="D196" s="26" t="str">
        <f>VLOOKUP($C196,classifications!$C:$J,4,FALSE)</f>
        <v>SD</v>
      </c>
      <c r="E196" s="26" t="str">
        <f>VLOOKUP(C196,classifications!C:K,9,FALSE)</f>
        <v>Sparse</v>
      </c>
      <c r="F196" s="36">
        <f t="shared" si="50"/>
        <v>87.100026452317209</v>
      </c>
      <c r="G196" s="71"/>
      <c r="H196" s="37">
        <f t="shared" si="51"/>
        <v>87.100026452317209</v>
      </c>
      <c r="I196" s="77">
        <f>IF(H196="","",IF($I$8="A",(RANK(H196,H$11:H$368,1)+COUNTIF(H$11:H196,H196)-1),(RANK(H196,H$11:H$368)+COUNTIF(H$11:H196,H196)-1)))</f>
        <v>6</v>
      </c>
      <c r="J196" s="35"/>
      <c r="K196" s="28">
        <f t="shared" si="59"/>
        <v>186</v>
      </c>
      <c r="L196" s="36" t="str">
        <f t="shared" si="52"/>
        <v>Burnley</v>
      </c>
      <c r="M196" s="102">
        <f t="shared" si="60"/>
        <v>73.809805282781127</v>
      </c>
      <c r="N196" s="101">
        <f t="shared" si="61"/>
        <v>73.809805282781127</v>
      </c>
      <c r="O196" s="94" t="str">
        <f t="shared" si="53"/>
        <v/>
      </c>
      <c r="P196" s="94" t="str">
        <f t="shared" si="68"/>
        <v/>
      </c>
      <c r="Q196" s="94" t="str">
        <f t="shared" si="69"/>
        <v/>
      </c>
      <c r="R196" s="90">
        <f t="shared" si="70"/>
        <v>73.809805282781127</v>
      </c>
      <c r="S196" s="37" t="str">
        <f t="shared" si="62"/>
        <v/>
      </c>
      <c r="T196" s="176">
        <f>IF(L196="","",VLOOKUP(L196,classifications!C:K,9,FALSE))</f>
        <v>0</v>
      </c>
      <c r="U196" s="183" t="str">
        <f t="shared" si="54"/>
        <v/>
      </c>
      <c r="V196" s="184" t="str">
        <f>IF(U196="","",IF($I$8="A",(RANK(U196,U$11:U$368)+COUNTIF(U$11:U196,U196)-1),(RANK(U196,U$11:U$368,1)+COUNTIF(U$11:U196,U196)-1)))</f>
        <v/>
      </c>
      <c r="W196" s="185"/>
      <c r="X196" s="38" t="str">
        <f>IF(L196="","",VLOOKUP($L196,classifications!$C:$J,6,FALSE))</f>
        <v>Urban with City and Town</v>
      </c>
      <c r="Y196" s="26" t="str">
        <f t="shared" si="55"/>
        <v/>
      </c>
      <c r="Z196" s="34" t="str">
        <f>IF(Y196="","",IF(I$8="A",(RANK(Y196,Y$11:Y$368,1)+COUNTIF(Y$11:Y196,Y196)-1),(RANK(Y196,Y$11:Y$368)+COUNTIF(Y$11:Y196,Y196)-1)))</f>
        <v/>
      </c>
      <c r="AA196" s="188" t="str">
        <f>IF(L196="","",VLOOKUP($L196,classifications!C:I,7,FALSE))</f>
        <v>Predominantly Urban</v>
      </c>
      <c r="AB196" s="184" t="str">
        <f t="shared" si="63"/>
        <v/>
      </c>
      <c r="AC196" s="184" t="str">
        <f>IF(AB196="","",IF($I$8="A",(RANK(AB196,AB$11:AB$368)+COUNTIF(AB$11:AB196,AB196)-1),(RANK(AB196,AB$11:AB$368,1)+COUNTIF(AB$11:AB196,AB196)-1)))</f>
        <v/>
      </c>
      <c r="AD196" s="184"/>
      <c r="AE196" s="28" t="str">
        <f t="shared" si="72"/>
        <v/>
      </c>
      <c r="AG196" s="96"/>
      <c r="AH196" s="29"/>
      <c r="AI196" s="38" t="str">
        <f>IF(L196="","",VLOOKUP($L196,classifications!$C:$J,8,FALSE))</f>
        <v>Lancashire</v>
      </c>
      <c r="AJ196" s="39" t="str">
        <f t="shared" si="56"/>
        <v/>
      </c>
      <c r="AK196" s="34" t="str">
        <f>IF(AJ196="","",IF(I$8="A",(RANK(AJ196,AJ$11:AJ$368,1)+COUNTIF(AJ$11:AJ196,AJ196)-1),(RANK(AJ196,AJ$11:AJ$368)+COUNTIF(AJ$11:AJ196,AJ196)-1)))</f>
        <v/>
      </c>
      <c r="AL196" s="29" t="str">
        <f t="shared" si="64"/>
        <v/>
      </c>
      <c r="AM196" s="8" t="str">
        <f t="shared" si="57"/>
        <v/>
      </c>
      <c r="AN196" s="8" t="str">
        <f t="shared" si="65"/>
        <v/>
      </c>
      <c r="AP196" s="38" t="str">
        <f>IF(L196="","",VLOOKUP($L196,classifications!$C:$E,3,FALSE))</f>
        <v>North West</v>
      </c>
      <c r="AQ196" s="39">
        <f t="shared" si="66"/>
        <v>73.809805282781127</v>
      </c>
      <c r="AR196" s="34">
        <f>IF(AQ196="","",IF(I$8="A",(RANK(AQ196,AQ$11:AQ$368,1)+COUNTIF(AQ$11:AQ196,AQ196)-1),(RANK(AQ196,AQ$11:AQ$368)+COUNTIF(AQ$11:AQ196,AQ196)-1)))</f>
        <v>18</v>
      </c>
      <c r="AS196" s="29" t="str">
        <f t="shared" si="67"/>
        <v/>
      </c>
      <c r="AT196" s="34" t="str">
        <f t="shared" si="58"/>
        <v/>
      </c>
      <c r="AU196" s="39" t="str">
        <f t="shared" si="71"/>
        <v/>
      </c>
      <c r="AX196" s="21">
        <f>HLOOKUP($AX$9&amp;$AX$10,Data!$A$1:$ZZ$2000,(MATCH($C196,Data!$A$1:$A$2000,0)),FALSE)</f>
        <v>87.100026452317209</v>
      </c>
      <c r="AY196" s="103"/>
      <c r="AZ196" s="21"/>
    </row>
    <row r="197" spans="1:52">
      <c r="A197" s="56" t="str">
        <f>$D$1&amp;187</f>
        <v>SD187</v>
      </c>
      <c r="B197" s="57">
        <f>IF(ISERROR(VLOOKUP(A197,classifications!A:C,3,FALSE)),0,VLOOKUP(A197,classifications!A:C,3,FALSE))</f>
        <v>0</v>
      </c>
      <c r="C197" s="8" t="s">
        <v>274</v>
      </c>
      <c r="D197" s="26" t="str">
        <f>VLOOKUP($C197,classifications!$C:$J,4,FALSE)</f>
        <v>UA</v>
      </c>
      <c r="E197" s="26">
        <f>VLOOKUP(C197,classifications!C:K,9,FALSE)</f>
        <v>0</v>
      </c>
      <c r="F197" s="36">
        <f t="shared" si="50"/>
        <v>70.342808660277015</v>
      </c>
      <c r="G197" s="71"/>
      <c r="H197" s="37" t="str">
        <f t="shared" si="51"/>
        <v/>
      </c>
      <c r="I197" s="77" t="str">
        <f>IF(H197="","",IF($I$8="A",(RANK(H197,H$11:H$368,1)+COUNTIF(H$11:H197,H197)-1),(RANK(H197,H$11:H$368)+COUNTIF(H$11:H197,H197)-1)))</f>
        <v/>
      </c>
      <c r="J197" s="35"/>
      <c r="K197" s="28">
        <f t="shared" si="59"/>
        <v>187</v>
      </c>
      <c r="L197" s="36" t="str">
        <f t="shared" si="52"/>
        <v>Corby</v>
      </c>
      <c r="M197" s="102">
        <f t="shared" si="60"/>
        <v>73.347914819097085</v>
      </c>
      <c r="N197" s="101">
        <f t="shared" si="61"/>
        <v>73.347914819097085</v>
      </c>
      <c r="O197" s="94" t="str">
        <f t="shared" si="53"/>
        <v/>
      </c>
      <c r="P197" s="94" t="str">
        <f t="shared" si="68"/>
        <v/>
      </c>
      <c r="Q197" s="94" t="str">
        <f t="shared" si="69"/>
        <v/>
      </c>
      <c r="R197" s="90">
        <f t="shared" si="70"/>
        <v>73.347914819097085</v>
      </c>
      <c r="S197" s="37" t="str">
        <f t="shared" si="62"/>
        <v/>
      </c>
      <c r="T197" s="176">
        <f>IF(L197="","",VLOOKUP(L197,classifications!C:K,9,FALSE))</f>
        <v>0</v>
      </c>
      <c r="U197" s="183" t="str">
        <f t="shared" si="54"/>
        <v/>
      </c>
      <c r="V197" s="184" t="str">
        <f>IF(U197="","",IF($I$8="A",(RANK(U197,U$11:U$368)+COUNTIF(U$11:U197,U197)-1),(RANK(U197,U$11:U$368,1)+COUNTIF(U$11:U197,U197)-1)))</f>
        <v/>
      </c>
      <c r="W197" s="185"/>
      <c r="X197" s="38" t="str">
        <f>IF(L197="","",VLOOKUP($L197,classifications!$C:$J,6,FALSE))</f>
        <v>Urban with City and Town</v>
      </c>
      <c r="Y197" s="26" t="str">
        <f t="shared" si="55"/>
        <v/>
      </c>
      <c r="Z197" s="34" t="str">
        <f>IF(Y197="","",IF(I$8="A",(RANK(Y197,Y$11:Y$368,1)+COUNTIF(Y$11:Y197,Y197)-1),(RANK(Y197,Y$11:Y$368)+COUNTIF(Y$11:Y197,Y197)-1)))</f>
        <v/>
      </c>
      <c r="AA197" s="188" t="str">
        <f>IF(L197="","",VLOOKUP($L197,classifications!C:I,7,FALSE))</f>
        <v>Predominantly Urban</v>
      </c>
      <c r="AB197" s="184" t="str">
        <f t="shared" si="63"/>
        <v/>
      </c>
      <c r="AC197" s="184" t="str">
        <f>IF(AB197="","",IF($I$8="A",(RANK(AB197,AB$11:AB$368)+COUNTIF(AB$11:AB197,AB197)-1),(RANK(AB197,AB$11:AB$368,1)+COUNTIF(AB$11:AB197,AB197)-1)))</f>
        <v/>
      </c>
      <c r="AD197" s="184"/>
      <c r="AE197" s="28" t="str">
        <f t="shared" si="72"/>
        <v/>
      </c>
      <c r="AG197" s="96"/>
      <c r="AH197" s="29"/>
      <c r="AI197" s="38" t="str">
        <f>IF(L197="","",VLOOKUP($L197,classifications!$C:$J,8,FALSE))</f>
        <v>Northamptonshire</v>
      </c>
      <c r="AJ197" s="39" t="str">
        <f t="shared" si="56"/>
        <v/>
      </c>
      <c r="AK197" s="34" t="str">
        <f>IF(AJ197="","",IF(I$8="A",(RANK(AJ197,AJ$11:AJ$368,1)+COUNTIF(AJ$11:AJ197,AJ197)-1),(RANK(AJ197,AJ$11:AJ$368)+COUNTIF(AJ$11:AJ197,AJ197)-1)))</f>
        <v/>
      </c>
      <c r="AL197" s="29" t="str">
        <f t="shared" si="64"/>
        <v/>
      </c>
      <c r="AM197" s="8" t="str">
        <f t="shared" si="57"/>
        <v/>
      </c>
      <c r="AN197" s="8" t="str">
        <f t="shared" si="65"/>
        <v/>
      </c>
      <c r="AP197" s="38" t="str">
        <f>IF(L197="","",VLOOKUP($L197,classifications!$C:$E,3,FALSE))</f>
        <v>East Midlands</v>
      </c>
      <c r="AQ197" s="39" t="str">
        <f t="shared" si="66"/>
        <v/>
      </c>
      <c r="AR197" s="34" t="str">
        <f>IF(AQ197="","",IF(I$8="A",(RANK(AQ197,AQ$11:AQ$368,1)+COUNTIF(AQ$11:AQ197,AQ197)-1),(RANK(AQ197,AQ$11:AQ$368)+COUNTIF(AQ$11:AQ197,AQ197)-1)))</f>
        <v/>
      </c>
      <c r="AS197" s="29" t="str">
        <f t="shared" si="67"/>
        <v/>
      </c>
      <c r="AT197" s="34" t="str">
        <f t="shared" si="58"/>
        <v/>
      </c>
      <c r="AU197" s="39" t="str">
        <f t="shared" si="71"/>
        <v/>
      </c>
      <c r="AX197" s="21">
        <f>HLOOKUP($AX$9&amp;$AX$10,Data!$A$1:$ZZ$2000,(MATCH($C197,Data!$A$1:$A$2000,0)),FALSE)</f>
        <v>70.342808660277015</v>
      </c>
      <c r="AY197" s="103"/>
      <c r="AZ197" s="21"/>
    </row>
    <row r="198" spans="1:52">
      <c r="A198" s="56" t="str">
        <f>$D$1&amp;188</f>
        <v>SD188</v>
      </c>
      <c r="B198" s="57">
        <f>IF(ISERROR(VLOOKUP(A198,classifications!A:C,3,FALSE)),0,VLOOKUP(A198,classifications!A:C,3,FALSE))</f>
        <v>0</v>
      </c>
      <c r="C198" s="8" t="s">
        <v>275</v>
      </c>
      <c r="D198" s="26" t="str">
        <f>VLOOKUP($C198,classifications!$C:$J,4,FALSE)</f>
        <v>UA</v>
      </c>
      <c r="E198" s="26">
        <f>VLOOKUP(C198,classifications!C:K,9,FALSE)</f>
        <v>0</v>
      </c>
      <c r="F198" s="36">
        <f t="shared" si="50"/>
        <v>84.446445868102927</v>
      </c>
      <c r="G198" s="71"/>
      <c r="H198" s="37" t="str">
        <f t="shared" si="51"/>
        <v/>
      </c>
      <c r="I198" s="77" t="str">
        <f>IF(H198="","",IF($I$8="A",(RANK(H198,H$11:H$368,1)+COUNTIF(H$11:H198,H198)-1),(RANK(H198,H$11:H$368)+COUNTIF(H$11:H198,H198)-1)))</f>
        <v/>
      </c>
      <c r="J198" s="35"/>
      <c r="K198" s="28">
        <f t="shared" si="59"/>
        <v>188</v>
      </c>
      <c r="L198" s="36" t="str">
        <f t="shared" si="52"/>
        <v>Nuneaton &amp; Bedworth</v>
      </c>
      <c r="M198" s="102">
        <f t="shared" si="60"/>
        <v>73.029566226241215</v>
      </c>
      <c r="N198" s="101">
        <f t="shared" si="61"/>
        <v>73.029566226241215</v>
      </c>
      <c r="O198" s="94" t="str">
        <f t="shared" si="53"/>
        <v/>
      </c>
      <c r="P198" s="94" t="str">
        <f t="shared" si="68"/>
        <v/>
      </c>
      <c r="Q198" s="94" t="str">
        <f t="shared" si="69"/>
        <v/>
      </c>
      <c r="R198" s="90">
        <f t="shared" si="70"/>
        <v>73.029566226241215</v>
      </c>
      <c r="S198" s="37" t="str">
        <f t="shared" si="62"/>
        <v/>
      </c>
      <c r="T198" s="176">
        <f>IF(L198="","",VLOOKUP(L198,classifications!C:K,9,FALSE))</f>
        <v>0</v>
      </c>
      <c r="U198" s="183" t="str">
        <f t="shared" si="54"/>
        <v/>
      </c>
      <c r="V198" s="184" t="str">
        <f>IF(U198="","",IF($I$8="A",(RANK(U198,U$11:U$368)+COUNTIF(U$11:U198,U198)-1),(RANK(U198,U$11:U$368,1)+COUNTIF(U$11:U198,U198)-1)))</f>
        <v/>
      </c>
      <c r="W198" s="185"/>
      <c r="X198" s="38" t="str">
        <f>IF(L198="","",VLOOKUP($L198,classifications!$C:$J,6,FALSE))</f>
        <v>Urban with City and Town</v>
      </c>
      <c r="Y198" s="26" t="str">
        <f t="shared" si="55"/>
        <v/>
      </c>
      <c r="Z198" s="34" t="str">
        <f>IF(Y198="","",IF(I$8="A",(RANK(Y198,Y$11:Y$368,1)+COUNTIF(Y$11:Y198,Y198)-1),(RANK(Y198,Y$11:Y$368)+COUNTIF(Y$11:Y198,Y198)-1)))</f>
        <v/>
      </c>
      <c r="AA198" s="188" t="str">
        <f>IF(L198="","",VLOOKUP($L198,classifications!C:I,7,FALSE))</f>
        <v>Predominantly Urban</v>
      </c>
      <c r="AB198" s="184" t="str">
        <f t="shared" si="63"/>
        <v/>
      </c>
      <c r="AC198" s="184" t="str">
        <f>IF(AB198="","",IF($I$8="A",(RANK(AB198,AB$11:AB$368)+COUNTIF(AB$11:AB198,AB198)-1),(RANK(AB198,AB$11:AB$368,1)+COUNTIF(AB$11:AB198,AB198)-1)))</f>
        <v/>
      </c>
      <c r="AD198" s="184"/>
      <c r="AE198" s="28" t="str">
        <f t="shared" si="72"/>
        <v/>
      </c>
      <c r="AG198" s="96"/>
      <c r="AH198" s="29"/>
      <c r="AI198" s="38" t="str">
        <f>IF(L198="","",VLOOKUP($L198,classifications!$C:$J,8,FALSE))</f>
        <v>Warwickshire</v>
      </c>
      <c r="AJ198" s="39" t="str">
        <f t="shared" si="56"/>
        <v/>
      </c>
      <c r="AK198" s="34" t="str">
        <f>IF(AJ198="","",IF(I$8="A",(RANK(AJ198,AJ$11:AJ$368,1)+COUNTIF(AJ$11:AJ198,AJ198)-1),(RANK(AJ198,AJ$11:AJ$368)+COUNTIF(AJ$11:AJ198,AJ198)-1)))</f>
        <v/>
      </c>
      <c r="AL198" s="29" t="str">
        <f t="shared" si="64"/>
        <v/>
      </c>
      <c r="AM198" s="8" t="str">
        <f t="shared" si="57"/>
        <v/>
      </c>
      <c r="AN198" s="8" t="str">
        <f t="shared" si="65"/>
        <v/>
      </c>
      <c r="AP198" s="38" t="str">
        <f>IF(L198="","",VLOOKUP($L198,classifications!$C:$E,3,FALSE))</f>
        <v>West Midlands</v>
      </c>
      <c r="AQ198" s="39" t="str">
        <f t="shared" si="66"/>
        <v/>
      </c>
      <c r="AR198" s="34" t="str">
        <f>IF(AQ198="","",IF(I$8="A",(RANK(AQ198,AQ$11:AQ$368,1)+COUNTIF(AQ$11:AQ198,AQ198)-1),(RANK(AQ198,AQ$11:AQ$368)+COUNTIF(AQ$11:AQ198,AQ198)-1)))</f>
        <v/>
      </c>
      <c r="AS198" s="29" t="str">
        <f t="shared" si="67"/>
        <v/>
      </c>
      <c r="AT198" s="34" t="str">
        <f t="shared" si="58"/>
        <v/>
      </c>
      <c r="AU198" s="39" t="str">
        <f t="shared" si="71"/>
        <v/>
      </c>
      <c r="AX198" s="21">
        <f>HLOOKUP($AX$9&amp;$AX$10,Data!$A$1:$ZZ$2000,(MATCH($C198,Data!$A$1:$A$2000,0)),FALSE)</f>
        <v>84.446445868102927</v>
      </c>
      <c r="AY198" s="103"/>
      <c r="AZ198" s="21"/>
    </row>
    <row r="199" spans="1:52">
      <c r="A199" s="56" t="str">
        <f>$D$1&amp;189</f>
        <v>SD189</v>
      </c>
      <c r="B199" s="57">
        <f>IF(ISERROR(VLOOKUP(A199,classifications!A:C,3,FALSE)),0,VLOOKUP(A199,classifications!A:C,3,FALSE))</f>
        <v>0</v>
      </c>
      <c r="C199" s="8" t="s">
        <v>105</v>
      </c>
      <c r="D199" s="26" t="str">
        <f>VLOOKUP($C199,classifications!$C:$J,4,FALSE)</f>
        <v>SD</v>
      </c>
      <c r="E199" s="26">
        <f>VLOOKUP(C199,classifications!C:K,9,FALSE)</f>
        <v>0</v>
      </c>
      <c r="F199" s="36">
        <f t="shared" si="50"/>
        <v>85.933136408770679</v>
      </c>
      <c r="G199" s="71"/>
      <c r="H199" s="37">
        <f t="shared" si="51"/>
        <v>85.933136408770679</v>
      </c>
      <c r="I199" s="77">
        <f>IF(H199="","",IF($I$8="A",(RANK(H199,H$11:H$368,1)+COUNTIF(H$11:H199,H199)-1),(RANK(H199,H$11:H$368)+COUNTIF(H$11:H199,H199)-1)))</f>
        <v>20</v>
      </c>
      <c r="J199" s="35"/>
      <c r="K199" s="28">
        <f t="shared" si="59"/>
        <v>189</v>
      </c>
      <c r="L199" s="36" t="str">
        <f t="shared" si="52"/>
        <v>Crawley</v>
      </c>
      <c r="M199" s="102">
        <f t="shared" si="60"/>
        <v>72.492816346787393</v>
      </c>
      <c r="N199" s="101">
        <f t="shared" si="61"/>
        <v>72.492816346787393</v>
      </c>
      <c r="O199" s="94" t="str">
        <f t="shared" si="53"/>
        <v/>
      </c>
      <c r="P199" s="94" t="str">
        <f t="shared" si="68"/>
        <v/>
      </c>
      <c r="Q199" s="94" t="str">
        <f t="shared" si="69"/>
        <v/>
      </c>
      <c r="R199" s="90">
        <f t="shared" si="70"/>
        <v>72.492816346787393</v>
      </c>
      <c r="S199" s="37" t="str">
        <f t="shared" si="62"/>
        <v/>
      </c>
      <c r="T199" s="176">
        <f>IF(L199="","",VLOOKUP(L199,classifications!C:K,9,FALSE))</f>
        <v>0</v>
      </c>
      <c r="U199" s="183" t="str">
        <f t="shared" si="54"/>
        <v/>
      </c>
      <c r="V199" s="184" t="str">
        <f>IF(U199="","",IF($I$8="A",(RANK(U199,U$11:U$368)+COUNTIF(U$11:U199,U199)-1),(RANK(U199,U$11:U$368,1)+COUNTIF(U$11:U199,U199)-1)))</f>
        <v/>
      </c>
      <c r="W199" s="185"/>
      <c r="X199" s="38" t="str">
        <f>IF(L199="","",VLOOKUP($L199,classifications!$C:$J,6,FALSE))</f>
        <v>Urban with City and Town</v>
      </c>
      <c r="Y199" s="26" t="str">
        <f t="shared" si="55"/>
        <v/>
      </c>
      <c r="Z199" s="34" t="str">
        <f>IF(Y199="","",IF(I$8="A",(RANK(Y199,Y$11:Y$368,1)+COUNTIF(Y$11:Y199,Y199)-1),(RANK(Y199,Y$11:Y$368)+COUNTIF(Y$11:Y199,Y199)-1)))</f>
        <v/>
      </c>
      <c r="AA199" s="188" t="str">
        <f>IF(L199="","",VLOOKUP($L199,classifications!C:I,7,FALSE))</f>
        <v>Predominantly Urban</v>
      </c>
      <c r="AB199" s="184" t="str">
        <f t="shared" si="63"/>
        <v/>
      </c>
      <c r="AC199" s="184" t="str">
        <f>IF(AB199="","",IF($I$8="A",(RANK(AB199,AB$11:AB$368)+COUNTIF(AB$11:AB199,AB199)-1),(RANK(AB199,AB$11:AB$368,1)+COUNTIF(AB$11:AB199,AB199)-1)))</f>
        <v/>
      </c>
      <c r="AD199" s="184"/>
      <c r="AE199" s="28" t="str">
        <f t="shared" si="72"/>
        <v/>
      </c>
      <c r="AG199" s="96"/>
      <c r="AH199" s="29"/>
      <c r="AI199" s="38" t="str">
        <f>IF(L199="","",VLOOKUP($L199,classifications!$C:$J,8,FALSE))</f>
        <v>West Sussex</v>
      </c>
      <c r="AJ199" s="39" t="str">
        <f t="shared" si="56"/>
        <v/>
      </c>
      <c r="AK199" s="34" t="str">
        <f>IF(AJ199="","",IF(I$8="A",(RANK(AJ199,AJ$11:AJ$368,1)+COUNTIF(AJ$11:AJ199,AJ199)-1),(RANK(AJ199,AJ$11:AJ$368)+COUNTIF(AJ$11:AJ199,AJ199)-1)))</f>
        <v/>
      </c>
      <c r="AL199" s="29" t="str">
        <f t="shared" si="64"/>
        <v/>
      </c>
      <c r="AM199" s="8" t="str">
        <f t="shared" si="57"/>
        <v/>
      </c>
      <c r="AN199" s="8" t="str">
        <f t="shared" si="65"/>
        <v/>
      </c>
      <c r="AP199" s="38" t="str">
        <f>IF(L199="","",VLOOKUP($L199,classifications!$C:$E,3,FALSE))</f>
        <v>South East</v>
      </c>
      <c r="AQ199" s="39" t="str">
        <f t="shared" si="66"/>
        <v/>
      </c>
      <c r="AR199" s="34" t="str">
        <f>IF(AQ199="","",IF(I$8="A",(RANK(AQ199,AQ$11:AQ$368,1)+COUNTIF(AQ$11:AQ199,AQ199)-1),(RANK(AQ199,AQ$11:AQ$368)+COUNTIF(AQ$11:AQ199,AQ199)-1)))</f>
        <v/>
      </c>
      <c r="AS199" s="29" t="str">
        <f t="shared" si="67"/>
        <v/>
      </c>
      <c r="AT199" s="34" t="str">
        <f t="shared" si="58"/>
        <v/>
      </c>
      <c r="AU199" s="39" t="str">
        <f t="shared" si="71"/>
        <v/>
      </c>
      <c r="AX199" s="21">
        <f>HLOOKUP($AX$9&amp;$AX$10,Data!$A$1:$ZZ$2000,(MATCH($C199,Data!$A$1:$A$2000,0)),FALSE)</f>
        <v>85.933136408770679</v>
      </c>
      <c r="AY199" s="103"/>
      <c r="AZ199" s="21"/>
    </row>
    <row r="200" spans="1:52">
      <c r="A200" s="56" t="str">
        <f>$D$1&amp;190</f>
        <v>SD190</v>
      </c>
      <c r="B200" s="57">
        <f>IF(ISERROR(VLOOKUP(A200,classifications!A:C,3,FALSE)),0,VLOOKUP(A200,classifications!A:C,3,FALSE))</f>
        <v>0</v>
      </c>
      <c r="C200" s="8" t="s">
        <v>106</v>
      </c>
      <c r="D200" s="26" t="str">
        <f>VLOOKUP($C200,classifications!$C:$J,4,FALSE)</f>
        <v>SD</v>
      </c>
      <c r="E200" s="26" t="str">
        <f>VLOOKUP(C200,classifications!C:K,9,FALSE)</f>
        <v>Sparse</v>
      </c>
      <c r="F200" s="36">
        <f t="shared" si="50"/>
        <v>82.335363809376105</v>
      </c>
      <c r="G200" s="71"/>
      <c r="H200" s="37">
        <f t="shared" si="51"/>
        <v>82.335363809376105</v>
      </c>
      <c r="I200" s="77">
        <f>IF(H200="","",IF($I$8="A",(RANK(H200,H$11:H$368,1)+COUNTIF(H$11:H200,H200)-1),(RANK(H200,H$11:H$368)+COUNTIF(H$11:H200,H200)-1)))</f>
        <v>72</v>
      </c>
      <c r="J200" s="35"/>
      <c r="K200" s="28">
        <f t="shared" si="59"/>
        <v>190</v>
      </c>
      <c r="L200" s="36" t="str">
        <f t="shared" si="52"/>
        <v>South Holland</v>
      </c>
      <c r="M200" s="102">
        <f t="shared" si="60"/>
        <v>71.690616979243487</v>
      </c>
      <c r="N200" s="101">
        <f t="shared" si="61"/>
        <v>71.690616979243487</v>
      </c>
      <c r="O200" s="94" t="str">
        <f t="shared" si="53"/>
        <v/>
      </c>
      <c r="P200" s="94" t="str">
        <f t="shared" si="68"/>
        <v/>
      </c>
      <c r="Q200" s="94" t="str">
        <f t="shared" si="69"/>
        <v/>
      </c>
      <c r="R200" s="90">
        <f t="shared" si="70"/>
        <v>71.690616979243487</v>
      </c>
      <c r="S200" s="37" t="str">
        <f t="shared" si="62"/>
        <v/>
      </c>
      <c r="T200" s="176" t="str">
        <f>IF(L200="","",VLOOKUP(L200,classifications!C:K,9,FALSE))</f>
        <v>Sparse</v>
      </c>
      <c r="U200" s="183">
        <f t="shared" si="54"/>
        <v>71.690616979243487</v>
      </c>
      <c r="V200" s="184">
        <f>IF(U200="","",IF($I$8="A",(RANK(U200,U$11:U$368)+COUNTIF(U$11:U200,U200)-1),(RANK(U200,U$11:U$368,1)+COUNTIF(U$11:U200,U200)-1)))</f>
        <v>2</v>
      </c>
      <c r="W200" s="185"/>
      <c r="X200" s="38" t="str">
        <f>IF(L200="","",VLOOKUP($L200,classifications!$C:$J,6,FALSE))</f>
        <v xml:space="preserve">Largely Rural (rural including hub towns 50-79%) </v>
      </c>
      <c r="Y200" s="26" t="str">
        <f t="shared" si="55"/>
        <v/>
      </c>
      <c r="Z200" s="34" t="str">
        <f>IF(Y200="","",IF(I$8="A",(RANK(Y200,Y$11:Y$368,1)+COUNTIF(Y$11:Y200,Y200)-1),(RANK(Y200,Y$11:Y$368)+COUNTIF(Y$11:Y200,Y200)-1)))</f>
        <v/>
      </c>
      <c r="AA200" s="188" t="str">
        <f>IF(L200="","",VLOOKUP($L200,classifications!C:I,7,FALSE))</f>
        <v>Predominantly Rural</v>
      </c>
      <c r="AB200" s="184">
        <f t="shared" si="63"/>
        <v>71.690616979243487</v>
      </c>
      <c r="AC200" s="184">
        <f>IF(AB200="","",IF($I$8="A",(RANK(AB200,AB$11:AB$368)+COUNTIF(AB$11:AB200,AB200)-1),(RANK(AB200,AB$11:AB$368,1)+COUNTIF(AB$11:AB200,AB200)-1)))</f>
        <v>2</v>
      </c>
      <c r="AD200" s="184"/>
      <c r="AE200" s="28" t="str">
        <f t="shared" si="72"/>
        <v/>
      </c>
      <c r="AG200" s="96"/>
      <c r="AH200" s="29"/>
      <c r="AI200" s="38" t="str">
        <f>IF(L200="","",VLOOKUP($L200,classifications!$C:$J,8,FALSE))</f>
        <v>Lincolnshire</v>
      </c>
      <c r="AJ200" s="39" t="str">
        <f t="shared" si="56"/>
        <v/>
      </c>
      <c r="AK200" s="34" t="str">
        <f>IF(AJ200="","",IF(I$8="A",(RANK(AJ200,AJ$11:AJ$368,1)+COUNTIF(AJ$11:AJ200,AJ200)-1),(RANK(AJ200,AJ$11:AJ$368)+COUNTIF(AJ$11:AJ200,AJ200)-1)))</f>
        <v/>
      </c>
      <c r="AL200" s="29" t="str">
        <f t="shared" si="64"/>
        <v/>
      </c>
      <c r="AM200" s="8" t="str">
        <f t="shared" si="57"/>
        <v/>
      </c>
      <c r="AN200" s="8" t="str">
        <f t="shared" si="65"/>
        <v/>
      </c>
      <c r="AP200" s="38" t="str">
        <f>IF(L200="","",VLOOKUP($L200,classifications!$C:$E,3,FALSE))</f>
        <v>East Midlands</v>
      </c>
      <c r="AQ200" s="39" t="str">
        <f t="shared" si="66"/>
        <v/>
      </c>
      <c r="AR200" s="34" t="str">
        <f>IF(AQ200="","",IF(I$8="A",(RANK(AQ200,AQ$11:AQ$368,1)+COUNTIF(AQ$11:AQ200,AQ200)-1),(RANK(AQ200,AQ$11:AQ$368)+COUNTIF(AQ$11:AQ200,AQ200)-1)))</f>
        <v/>
      </c>
      <c r="AS200" s="29" t="str">
        <f t="shared" si="67"/>
        <v/>
      </c>
      <c r="AT200" s="34" t="str">
        <f t="shared" si="58"/>
        <v/>
      </c>
      <c r="AU200" s="39" t="str">
        <f t="shared" si="71"/>
        <v/>
      </c>
      <c r="AX200" s="21">
        <f>HLOOKUP($AX$9&amp;$AX$10,Data!$A$1:$ZZ$2000,(MATCH($C200,Data!$A$1:$A$2000,0)),FALSE)</f>
        <v>82.335363809376105</v>
      </c>
      <c r="AY200" s="103"/>
      <c r="AZ200" s="21"/>
    </row>
    <row r="201" spans="1:52">
      <c r="A201" s="56" t="str">
        <f>$D$1&amp;191</f>
        <v>SD191</v>
      </c>
      <c r="B201" s="57">
        <f>IF(ISERROR(VLOOKUP(A201,classifications!A:C,3,FALSE)),0,VLOOKUP(A201,classifications!A:C,3,FALSE))</f>
        <v>0</v>
      </c>
      <c r="C201" s="8" t="s">
        <v>345</v>
      </c>
      <c r="D201" s="26" t="str">
        <f>VLOOKUP($C201,classifications!$C:$J,4,FALSE)</f>
        <v>SD</v>
      </c>
      <c r="E201" s="26" t="str">
        <f>VLOOKUP(C201,classifications!C:K,9,FALSE)</f>
        <v>Sparse</v>
      </c>
      <c r="F201" s="36">
        <f t="shared" si="50"/>
        <v>78.883653322357262</v>
      </c>
      <c r="G201" s="71"/>
      <c r="H201" s="37">
        <f t="shared" si="51"/>
        <v>78.883653322357262</v>
      </c>
      <c r="I201" s="77">
        <f>IF(H201="","",IF($I$8="A",(RANK(H201,H$11:H$368,1)+COUNTIF(H$11:H201,H201)-1),(RANK(H201,H$11:H$368)+COUNTIF(H$11:H201,H201)-1)))</f>
        <v>137</v>
      </c>
      <c r="J201" s="35"/>
      <c r="K201" s="28">
        <f t="shared" si="59"/>
        <v>191</v>
      </c>
      <c r="L201" s="36" t="str">
        <f t="shared" si="52"/>
        <v>Harlow</v>
      </c>
      <c r="M201" s="102">
        <f t="shared" si="60"/>
        <v>70.591637842088218</v>
      </c>
      <c r="N201" s="101">
        <f t="shared" si="61"/>
        <v>70.591637842088218</v>
      </c>
      <c r="O201" s="94" t="str">
        <f t="shared" si="53"/>
        <v/>
      </c>
      <c r="P201" s="94" t="str">
        <f t="shared" si="68"/>
        <v/>
      </c>
      <c r="Q201" s="94" t="str">
        <f t="shared" si="69"/>
        <v/>
      </c>
      <c r="R201" s="90">
        <f t="shared" si="70"/>
        <v>70.591637842088218</v>
      </c>
      <c r="S201" s="37" t="str">
        <f t="shared" si="62"/>
        <v/>
      </c>
      <c r="T201" s="176">
        <f>IF(L201="","",VLOOKUP(L201,classifications!C:K,9,FALSE))</f>
        <v>0</v>
      </c>
      <c r="U201" s="183" t="str">
        <f t="shared" si="54"/>
        <v/>
      </c>
      <c r="V201" s="184" t="str">
        <f>IF(U201="","",IF($I$8="A",(RANK(U201,U$11:U$368)+COUNTIF(U$11:U201,U201)-1),(RANK(U201,U$11:U$368,1)+COUNTIF(U$11:U201,U201)-1)))</f>
        <v/>
      </c>
      <c r="W201" s="185"/>
      <c r="X201" s="38" t="str">
        <f>IF(L201="","",VLOOKUP($L201,classifications!$C:$J,6,FALSE))</f>
        <v>Urban with City and Town</v>
      </c>
      <c r="Y201" s="26" t="str">
        <f t="shared" si="55"/>
        <v/>
      </c>
      <c r="Z201" s="34" t="str">
        <f>IF(Y201="","",IF(I$8="A",(RANK(Y201,Y$11:Y$368,1)+COUNTIF(Y$11:Y201,Y201)-1),(RANK(Y201,Y$11:Y$368)+COUNTIF(Y$11:Y201,Y201)-1)))</f>
        <v/>
      </c>
      <c r="AA201" s="188" t="str">
        <f>IF(L201="","",VLOOKUP($L201,classifications!C:I,7,FALSE))</f>
        <v>Predominantly Urban</v>
      </c>
      <c r="AB201" s="184" t="str">
        <f t="shared" si="63"/>
        <v/>
      </c>
      <c r="AC201" s="184" t="str">
        <f>IF(AB201="","",IF($I$8="A",(RANK(AB201,AB$11:AB$368)+COUNTIF(AB$11:AB201,AB201)-1),(RANK(AB201,AB$11:AB$368,1)+COUNTIF(AB$11:AB201,AB201)-1)))</f>
        <v/>
      </c>
      <c r="AD201" s="184"/>
      <c r="AE201" s="28" t="str">
        <f t="shared" si="72"/>
        <v/>
      </c>
      <c r="AG201" s="96"/>
      <c r="AH201" s="29"/>
      <c r="AI201" s="38" t="str">
        <f>IF(L201="","",VLOOKUP($L201,classifications!$C:$J,8,FALSE))</f>
        <v>Essex</v>
      </c>
      <c r="AJ201" s="39" t="str">
        <f t="shared" si="56"/>
        <v/>
      </c>
      <c r="AK201" s="34" t="str">
        <f>IF(AJ201="","",IF(I$8="A",(RANK(AJ201,AJ$11:AJ$368,1)+COUNTIF(AJ$11:AJ201,AJ201)-1),(RANK(AJ201,AJ$11:AJ$368)+COUNTIF(AJ$11:AJ201,AJ201)-1)))</f>
        <v/>
      </c>
      <c r="AL201" s="29" t="str">
        <f t="shared" si="64"/>
        <v/>
      </c>
      <c r="AM201" s="8" t="str">
        <f t="shared" si="57"/>
        <v/>
      </c>
      <c r="AN201" s="8" t="str">
        <f t="shared" si="65"/>
        <v/>
      </c>
      <c r="AP201" s="38" t="str">
        <f>IF(L201="","",VLOOKUP($L201,classifications!$C:$E,3,FALSE))</f>
        <v>East of England</v>
      </c>
      <c r="AQ201" s="39" t="str">
        <f t="shared" si="66"/>
        <v/>
      </c>
      <c r="AR201" s="34" t="str">
        <f>IF(AQ201="","",IF(I$8="A",(RANK(AQ201,AQ$11:AQ$368,1)+COUNTIF(AQ$11:AQ201,AQ201)-1),(RANK(AQ201,AQ$11:AQ$368)+COUNTIF(AQ$11:AQ201,AQ201)-1)))</f>
        <v/>
      </c>
      <c r="AS201" s="29" t="str">
        <f t="shared" si="67"/>
        <v/>
      </c>
      <c r="AT201" s="34" t="str">
        <f t="shared" si="58"/>
        <v/>
      </c>
      <c r="AU201" s="39" t="str">
        <f t="shared" si="71"/>
        <v/>
      </c>
      <c r="AX201" s="21">
        <f>HLOOKUP($AX$9&amp;$AX$10,Data!$A$1:$ZZ$2000,(MATCH($C201,Data!$A$1:$A$2000,0)),FALSE)</f>
        <v>78.883653322357262</v>
      </c>
      <c r="AY201" s="103"/>
      <c r="AZ201" s="21"/>
    </row>
    <row r="202" spans="1:52">
      <c r="A202" s="56" t="str">
        <f>$D$1&amp;192</f>
        <v>SD192</v>
      </c>
      <c r="B202" s="57">
        <f>IF(ISERROR(VLOOKUP(A202,classifications!A:C,3,FALSE)),0,VLOOKUP(A202,classifications!A:C,3,FALSE))</f>
        <v>0</v>
      </c>
      <c r="C202" s="8" t="s">
        <v>237</v>
      </c>
      <c r="D202" s="26" t="str">
        <f>VLOOKUP($C202,classifications!$C:$J,4,FALSE)</f>
        <v>MD</v>
      </c>
      <c r="E202" s="26">
        <f>VLOOKUP(C202,classifications!C:K,9,FALSE)</f>
        <v>0</v>
      </c>
      <c r="F202" s="36">
        <f t="shared" si="50"/>
        <v>79.618611839014079</v>
      </c>
      <c r="G202" s="71"/>
      <c r="H202" s="37" t="str">
        <f t="shared" si="51"/>
        <v/>
      </c>
      <c r="I202" s="77" t="str">
        <f>IF(H202="","",IF($I$8="A",(RANK(H202,H$11:H$368,1)+COUNTIF(H$11:H202,H202)-1),(RANK(H202,H$11:H$368)+COUNTIF(H$11:H202,H202)-1)))</f>
        <v/>
      </c>
      <c r="J202" s="35"/>
      <c r="K202" s="28">
        <f t="shared" si="59"/>
        <v>192</v>
      </c>
      <c r="L202" s="36" t="str">
        <f t="shared" si="52"/>
        <v>West Lindsey</v>
      </c>
      <c r="M202" s="102">
        <f t="shared" si="60"/>
        <v>70.443513596076485</v>
      </c>
      <c r="N202" s="101">
        <f t="shared" si="61"/>
        <v>70.443513596076485</v>
      </c>
      <c r="O202" s="94" t="str">
        <f t="shared" si="53"/>
        <v/>
      </c>
      <c r="P202" s="94" t="str">
        <f t="shared" si="68"/>
        <v/>
      </c>
      <c r="Q202" s="94" t="str">
        <f t="shared" si="69"/>
        <v/>
      </c>
      <c r="R202" s="90">
        <f t="shared" si="70"/>
        <v>70.443513596076485</v>
      </c>
      <c r="S202" s="37" t="str">
        <f t="shared" si="62"/>
        <v/>
      </c>
      <c r="T202" s="176" t="str">
        <f>IF(L202="","",VLOOKUP(L202,classifications!C:K,9,FALSE))</f>
        <v>Sparse</v>
      </c>
      <c r="U202" s="183">
        <f t="shared" si="54"/>
        <v>70.443513596076485</v>
      </c>
      <c r="V202" s="184">
        <f>IF(U202="","",IF($I$8="A",(RANK(U202,U$11:U$368)+COUNTIF(U$11:U202,U202)-1),(RANK(U202,U$11:U$368,1)+COUNTIF(U$11:U202,U202)-1)))</f>
        <v>1</v>
      </c>
      <c r="W202" s="185"/>
      <c r="X202" s="38" t="str">
        <f>IF(L202="","",VLOOKUP($L202,classifications!$C:$J,6,FALSE))</f>
        <v xml:space="preserve">Mainly Rural (rural including hub towns &gt;=80%) </v>
      </c>
      <c r="Y202" s="26">
        <f t="shared" si="55"/>
        <v>70.443513596076485</v>
      </c>
      <c r="Z202" s="34">
        <f>IF(Y202="","",IF(I$8="A",(RANK(Y202,Y$11:Y$368,1)+COUNTIF(Y$11:Y202,Y202)-1),(RANK(Y202,Y$11:Y$368)+COUNTIF(Y$11:Y202,Y202)-1)))</f>
        <v>41</v>
      </c>
      <c r="AA202" s="188" t="str">
        <f>IF(L202="","",VLOOKUP($L202,classifications!C:I,7,FALSE))</f>
        <v>Predominantly Rural</v>
      </c>
      <c r="AB202" s="184">
        <f t="shared" si="63"/>
        <v>70.443513596076485</v>
      </c>
      <c r="AC202" s="184">
        <f>IF(AB202="","",IF($I$8="A",(RANK(AB202,AB$11:AB$368)+COUNTIF(AB$11:AB202,AB202)-1),(RANK(AB202,AB$11:AB$368,1)+COUNTIF(AB$11:AB202,AB202)-1)))</f>
        <v>1</v>
      </c>
      <c r="AD202" s="184"/>
      <c r="AE202" s="28" t="str">
        <f t="shared" si="72"/>
        <v/>
      </c>
      <c r="AG202" s="96"/>
      <c r="AH202" s="29"/>
      <c r="AI202" s="38" t="str">
        <f>IF(L202="","",VLOOKUP($L202,classifications!$C:$J,8,FALSE))</f>
        <v>Lincolnshire</v>
      </c>
      <c r="AJ202" s="39" t="str">
        <f t="shared" si="56"/>
        <v/>
      </c>
      <c r="AK202" s="34" t="str">
        <f>IF(AJ202="","",IF(I$8="A",(RANK(AJ202,AJ$11:AJ$368,1)+COUNTIF(AJ$11:AJ202,AJ202)-1),(RANK(AJ202,AJ$11:AJ$368)+COUNTIF(AJ$11:AJ202,AJ202)-1)))</f>
        <v/>
      </c>
      <c r="AL202" s="29" t="str">
        <f t="shared" si="64"/>
        <v/>
      </c>
      <c r="AM202" s="8" t="str">
        <f t="shared" si="57"/>
        <v/>
      </c>
      <c r="AN202" s="8" t="str">
        <f t="shared" si="65"/>
        <v/>
      </c>
      <c r="AP202" s="38" t="str">
        <f>IF(L202="","",VLOOKUP($L202,classifications!$C:$E,3,FALSE))</f>
        <v>East Midlands</v>
      </c>
      <c r="AQ202" s="39" t="str">
        <f t="shared" si="66"/>
        <v/>
      </c>
      <c r="AR202" s="34" t="str">
        <f>IF(AQ202="","",IF(I$8="A",(RANK(AQ202,AQ$11:AQ$368,1)+COUNTIF(AQ$11:AQ202,AQ202)-1),(RANK(AQ202,AQ$11:AQ$368)+COUNTIF(AQ$11:AQ202,AQ202)-1)))</f>
        <v/>
      </c>
      <c r="AS202" s="29" t="str">
        <f t="shared" si="67"/>
        <v/>
      </c>
      <c r="AT202" s="34" t="str">
        <f t="shared" si="58"/>
        <v/>
      </c>
      <c r="AU202" s="39" t="str">
        <f t="shared" si="71"/>
        <v/>
      </c>
      <c r="AX202" s="21">
        <f>HLOOKUP($AX$9&amp;$AX$10,Data!$A$1:$ZZ$2000,(MATCH($C202,Data!$A$1:$A$2000,0)),FALSE)</f>
        <v>79.618611839014079</v>
      </c>
      <c r="AY202" s="103"/>
      <c r="AZ202" s="21"/>
    </row>
    <row r="203" spans="1:52">
      <c r="A203" s="56" t="str">
        <f>$D$1&amp;193</f>
        <v>SD193</v>
      </c>
      <c r="B203" s="57">
        <f>IF(ISERROR(VLOOKUP(A203,classifications!A:C,3,FALSE)),0,VLOOKUP(A203,classifications!A:C,3,FALSE))</f>
        <v>0</v>
      </c>
      <c r="C203" s="8" t="s">
        <v>107</v>
      </c>
      <c r="D203" s="26" t="str">
        <f>VLOOKUP($C203,classifications!$C:$J,4,FALSE)</f>
        <v>SD</v>
      </c>
      <c r="E203" s="26">
        <f>VLOOKUP(C203,classifications!C:K,9,FALSE)</f>
        <v>0</v>
      </c>
      <c r="F203" s="36">
        <f t="shared" ref="F203:F266" si="73">HLOOKUP($D$6,AX$10:ZX$368,ROW()-9,FALSE)</f>
        <v>76.415405003842181</v>
      </c>
      <c r="G203" s="71"/>
      <c r="H203" s="37">
        <f t="shared" ref="H203:H266" si="74">IF(D203=$D$1,HLOOKUP($D$6,$AX$10:$ZZ$368,ROW()-9,FALSE),"")</f>
        <v>76.415405003842181</v>
      </c>
      <c r="I203" s="77">
        <f>IF(H203="","",IF($I$8="A",(RANK(H203,H$11:H$368,1)+COUNTIF(H$11:H203,H203)-1),(RANK(H203,H$11:H$368)+COUNTIF(H$11:H203,H203)-1)))</f>
        <v>165</v>
      </c>
      <c r="J203" s="35"/>
      <c r="K203" s="28" t="str">
        <f t="shared" si="59"/>
        <v/>
      </c>
      <c r="L203" s="36" t="str">
        <f t="shared" ref="L203:L266" si="75">IF(K203="","",INDEX(C$11:C$368,MATCH(K203,I$11:I$368,0)))</f>
        <v/>
      </c>
      <c r="M203" s="102" t="str">
        <f t="shared" si="60"/>
        <v/>
      </c>
      <c r="N203" s="101" t="str">
        <f t="shared" si="61"/>
        <v/>
      </c>
      <c r="O203" s="94" t="str">
        <f t="shared" ref="O203:O266" si="76">IF(I$8="A",IF(N203&gt;=$P$7,IF(N203&lt;=$O$10,N203,""),""),IF(N203&lt;=$P$7,IF(N203&gt;=$O$10,N203,""),""))</f>
        <v/>
      </c>
      <c r="P203" s="94" t="str">
        <f t="shared" si="68"/>
        <v/>
      </c>
      <c r="Q203" s="94" t="str">
        <f t="shared" si="69"/>
        <v/>
      </c>
      <c r="R203" s="90" t="str">
        <f t="shared" si="70"/>
        <v/>
      </c>
      <c r="S203" s="37" t="str">
        <f t="shared" si="62"/>
        <v/>
      </c>
      <c r="T203" s="176" t="str">
        <f>IF(L203="","",VLOOKUP(L203,classifications!C:K,9,FALSE))</f>
        <v/>
      </c>
      <c r="U203" s="183" t="str">
        <f t="shared" ref="U203:U266" si="77">IF(T203="Sparse",M203,"")</f>
        <v/>
      </c>
      <c r="V203" s="184" t="str">
        <f>IF(U203="","",IF($I$8="A",(RANK(U203,U$11:U$368)+COUNTIF(U$11:U203,U203)-1),(RANK(U203,U$11:U$368,1)+COUNTIF(U$11:U203,U203)-1)))</f>
        <v/>
      </c>
      <c r="W203" s="185"/>
      <c r="X203" s="38" t="str">
        <f>IF(L203="","",VLOOKUP($L203,classifications!$C:$J,6,FALSE))</f>
        <v/>
      </c>
      <c r="Y203" s="26" t="str">
        <f t="shared" ref="Y203:Y266" si="78">IF($D$1="UA",IF(X203="Largely Rural (rural including hub towns 50-79%) ",M203,IF(X203="Mainly Rural (rural including hub towns &gt;=80%) ",M203,IF(X203="Urban with Significant Rural (rural including hub towns 26-49%)",M203,""))),IF($D$1="SD",IF(X203=$H$3,M203,"")))</f>
        <v/>
      </c>
      <c r="Z203" s="34" t="str">
        <f>IF(Y203="","",IF(I$8="A",(RANK(Y203,Y$11:Y$368,1)+COUNTIF(Y$11:Y203,Y203)-1),(RANK(Y203,Y$11:Y$368)+COUNTIF(Y$11:Y203,Y203)-1)))</f>
        <v/>
      </c>
      <c r="AA203" s="188" t="str">
        <f>IF(L203="","",VLOOKUP($L203,classifications!C:I,7,FALSE))</f>
        <v/>
      </c>
      <c r="AB203" s="184" t="str">
        <f t="shared" si="63"/>
        <v/>
      </c>
      <c r="AC203" s="184" t="str">
        <f>IF(AB203="","",IF($I$8="A",(RANK(AB203,AB$11:AB$368)+COUNTIF(AB$11:AB203,AB203)-1),(RANK(AB203,AB$11:AB$368,1)+COUNTIF(AB$11:AB203,AB203)-1)))</f>
        <v/>
      </c>
      <c r="AD203" s="184"/>
      <c r="AE203" s="28" t="str">
        <f t="shared" si="72"/>
        <v/>
      </c>
      <c r="AG203" s="96"/>
      <c r="AH203" s="29"/>
      <c r="AI203" s="38" t="str">
        <f>IF(L203="","",VLOOKUP($L203,classifications!$C:$J,8,FALSE))</f>
        <v/>
      </c>
      <c r="AJ203" s="39" t="str">
        <f t="shared" ref="AJ203:AJ266" si="79">IF(AI203=$I$3,M203,"")</f>
        <v/>
      </c>
      <c r="AK203" s="34" t="str">
        <f>IF(AJ203="","",IF(I$8="A",(RANK(AJ203,AJ$11:AJ$368,1)+COUNTIF(AJ$11:AJ203,AJ203)-1),(RANK(AJ203,AJ$11:AJ$368)+COUNTIF(AJ$11:AJ203,AJ203)-1)))</f>
        <v/>
      </c>
      <c r="AL203" s="29" t="str">
        <f t="shared" si="64"/>
        <v/>
      </c>
      <c r="AM203" s="8" t="str">
        <f t="shared" ref="AM203:AM266" si="80">IF(ISNA(IF(AL203="","",INDEX(L$11:L$368,MATCH(AL203,AK$11:AK$368,0)))),"",(IF(AL203="","",INDEX(L$11:L$368,MATCH(AL203,AK$11:AK$368,0)))))</f>
        <v/>
      </c>
      <c r="AN203" s="8" t="str">
        <f t="shared" si="65"/>
        <v/>
      </c>
      <c r="AP203" s="38" t="str">
        <f>IF(L203="","",VLOOKUP($L203,classifications!$C:$E,3,FALSE))</f>
        <v/>
      </c>
      <c r="AQ203" s="39" t="str">
        <f t="shared" si="66"/>
        <v/>
      </c>
      <c r="AR203" s="34" t="str">
        <f>IF(AQ203="","",IF(I$8="A",(RANK(AQ203,AQ$11:AQ$368,1)+COUNTIF(AQ$11:AQ203,AQ203)-1),(RANK(AQ203,AQ$11:AQ$368)+COUNTIF(AQ$11:AQ203,AQ203)-1)))</f>
        <v/>
      </c>
      <c r="AS203" s="29" t="str">
        <f t="shared" si="67"/>
        <v/>
      </c>
      <c r="AT203" s="34" t="str">
        <f t="shared" ref="AT203:AT266" si="81">IF(AS203="","",INDEX(L$11:L$368,MATCH(AS203,AR$11:AR$368,0)))</f>
        <v/>
      </c>
      <c r="AU203" s="39" t="str">
        <f t="shared" si="71"/>
        <v/>
      </c>
      <c r="AX203" s="21">
        <f>HLOOKUP($AX$9&amp;$AX$10,Data!$A$1:$ZZ$2000,(MATCH($C203,Data!$A$1:$A$2000,0)),FALSE)</f>
        <v>76.415405003842181</v>
      </c>
      <c r="AY203" s="103"/>
      <c r="AZ203" s="21"/>
    </row>
    <row r="204" spans="1:52">
      <c r="A204" s="56" t="str">
        <f>$D$1&amp;194</f>
        <v>SD194</v>
      </c>
      <c r="B204" s="57">
        <f>IF(ISERROR(VLOOKUP(A204,classifications!A:C,3,FALSE)),0,VLOOKUP(A204,classifications!A:C,3,FALSE))</f>
        <v>0</v>
      </c>
      <c r="C204" s="8" t="s">
        <v>215</v>
      </c>
      <c r="D204" s="26" t="str">
        <f>VLOOKUP($C204,classifications!$C:$J,4,FALSE)</f>
        <v>L</v>
      </c>
      <c r="E204" s="26">
        <f>VLOOKUP(C204,classifications!C:K,9,FALSE)</f>
        <v>0</v>
      </c>
      <c r="F204" s="36">
        <f t="shared" si="73"/>
        <v>77.978077600427753</v>
      </c>
      <c r="G204" s="71"/>
      <c r="H204" s="37" t="str">
        <f t="shared" si="74"/>
        <v/>
      </c>
      <c r="I204" s="77" t="str">
        <f>IF(H204="","",IF($I$8="A",(RANK(H204,H$11:H$368,1)+COUNTIF(H$11:H204,H204)-1),(RANK(H204,H$11:H$368)+COUNTIF(H$11:H204,H204)-1)))</f>
        <v/>
      </c>
      <c r="J204" s="35"/>
      <c r="K204" s="28" t="str">
        <f t="shared" ref="K204:K267" si="82">IF(K203="","",IF(K203+1&gt;(COUNT(H$11:H$368)),"",K203+1))</f>
        <v/>
      </c>
      <c r="L204" s="36" t="str">
        <f t="shared" si="75"/>
        <v/>
      </c>
      <c r="M204" s="102" t="str">
        <f t="shared" ref="M204:M267" si="83">IF(L204="","",IF(VLOOKUP(L204,C:D,2,FALSE)=$F$3,VLOOKUP(L204,C:H,6,FALSE),""))</f>
        <v/>
      </c>
      <c r="N204" s="101" t="str">
        <f t="shared" ref="N204:N267" si="84">IF(L204="","",IF($H$8="%%",M204*100,M204))</f>
        <v/>
      </c>
      <c r="O204" s="94" t="str">
        <f t="shared" si="76"/>
        <v/>
      </c>
      <c r="P204" s="94" t="str">
        <f t="shared" si="68"/>
        <v/>
      </c>
      <c r="Q204" s="94" t="str">
        <f t="shared" si="69"/>
        <v/>
      </c>
      <c r="R204" s="90" t="str">
        <f t="shared" si="70"/>
        <v/>
      </c>
      <c r="S204" s="37" t="str">
        <f t="shared" ref="S204:S267" si="85">IF(L204=D$3,"u","")</f>
        <v/>
      </c>
      <c r="T204" s="176" t="str">
        <f>IF(L204="","",VLOOKUP(L204,classifications!C:K,9,FALSE))</f>
        <v/>
      </c>
      <c r="U204" s="183" t="str">
        <f t="shared" si="77"/>
        <v/>
      </c>
      <c r="V204" s="184" t="str">
        <f>IF(U204="","",IF($I$8="A",(RANK(U204,U$11:U$368)+COUNTIF(U$11:U204,U204)-1),(RANK(U204,U$11:U$368,1)+COUNTIF(U$11:U204,U204)-1)))</f>
        <v/>
      </c>
      <c r="W204" s="185"/>
      <c r="X204" s="38" t="str">
        <f>IF(L204="","",VLOOKUP($L204,classifications!$C:$J,6,FALSE))</f>
        <v/>
      </c>
      <c r="Y204" s="26" t="str">
        <f t="shared" si="78"/>
        <v/>
      </c>
      <c r="Z204" s="34" t="str">
        <f>IF(Y204="","",IF(I$8="A",(RANK(Y204,Y$11:Y$368,1)+COUNTIF(Y$11:Y204,Y204)-1),(RANK(Y204,Y$11:Y$368)+COUNTIF(Y$11:Y204,Y204)-1)))</f>
        <v/>
      </c>
      <c r="AA204" s="188" t="str">
        <f>IF(L204="","",VLOOKUP($L204,classifications!C:I,7,FALSE))</f>
        <v/>
      </c>
      <c r="AB204" s="184" t="str">
        <f t="shared" ref="AB204:AB267" si="86">IF(AA204=$J$3,M204,"")</f>
        <v/>
      </c>
      <c r="AC204" s="184" t="str">
        <f>IF(AB204="","",IF($I$8="A",(RANK(AB204,AB$11:AB$368)+COUNTIF(AB$11:AB204,AB204)-1),(RANK(AB204,AB$11:AB$368,1)+COUNTIF(AB$11:AB204,AB204)-1)))</f>
        <v/>
      </c>
      <c r="AD204" s="184"/>
      <c r="AE204" s="28" t="str">
        <f t="shared" si="72"/>
        <v/>
      </c>
      <c r="AG204" s="96"/>
      <c r="AH204" s="29"/>
      <c r="AI204" s="38" t="str">
        <f>IF(L204="","",VLOOKUP($L204,classifications!$C:$J,8,FALSE))</f>
        <v/>
      </c>
      <c r="AJ204" s="39" t="str">
        <f t="shared" si="79"/>
        <v/>
      </c>
      <c r="AK204" s="34" t="str">
        <f>IF(AJ204="","",IF(I$8="A",(RANK(AJ204,AJ$11:AJ$368,1)+COUNTIF(AJ$11:AJ204,AJ204)-1),(RANK(AJ204,AJ$11:AJ$368)+COUNTIF(AJ$11:AJ204,AJ204)-1)))</f>
        <v/>
      </c>
      <c r="AL204" s="29" t="str">
        <f t="shared" ref="AL204:AL267" si="87">IF(AL203="","",IF(AL203+1&gt;(COUNT(AJ$11:AJ$368)),"",AL203+1))</f>
        <v/>
      </c>
      <c r="AM204" s="8" t="str">
        <f t="shared" si="80"/>
        <v/>
      </c>
      <c r="AN204" s="8" t="str">
        <f t="shared" ref="AN204:AN267" si="88">(VLOOKUP(AM204,L:M,2,FALSE))</f>
        <v/>
      </c>
      <c r="AP204" s="38" t="str">
        <f>IF(L204="","",VLOOKUP($L204,classifications!$C:$E,3,FALSE))</f>
        <v/>
      </c>
      <c r="AQ204" s="39" t="str">
        <f t="shared" ref="AQ204:AQ267" si="89">IF(AP204=$G$3,$M204,"")</f>
        <v/>
      </c>
      <c r="AR204" s="34" t="str">
        <f>IF(AQ204="","",IF(I$8="A",(RANK(AQ204,AQ$11:AQ$368,1)+COUNTIF(AQ$11:AQ204,AQ204)-1),(RANK(AQ204,AQ$11:AQ$368)+COUNTIF(AQ$11:AQ204,AQ204)-1)))</f>
        <v/>
      </c>
      <c r="AS204" s="29" t="str">
        <f t="shared" ref="AS204:AS267" si="90">IF(AS203="","",IF(AS203+1&gt;(COUNT(AQ$11:AQ$368)),"",AS203+1))</f>
        <v/>
      </c>
      <c r="AT204" s="34" t="str">
        <f t="shared" si="81"/>
        <v/>
      </c>
      <c r="AU204" s="39" t="str">
        <f t="shared" si="71"/>
        <v/>
      </c>
      <c r="AX204" s="21">
        <f>HLOOKUP($AX$9&amp;$AX$10,Data!$A$1:$ZZ$2000,(MATCH($C204,Data!$A$1:$A$2000,0)),FALSE)</f>
        <v>77.978077600427753</v>
      </c>
      <c r="AY204" s="103"/>
      <c r="AZ204" s="21"/>
    </row>
    <row r="205" spans="1:52">
      <c r="A205" s="56" t="str">
        <f>$D$1&amp;195</f>
        <v>SD195</v>
      </c>
      <c r="B205" s="57">
        <f>IF(ISERROR(VLOOKUP(A205,classifications!A:C,3,FALSE)),0,VLOOKUP(A205,classifications!A:C,3,FALSE))</f>
        <v>0</v>
      </c>
      <c r="C205" s="8" t="s">
        <v>319</v>
      </c>
      <c r="D205" s="26" t="str">
        <f>VLOOKUP($C205,classifications!$C:$J,4,FALSE)</f>
        <v>SC</v>
      </c>
      <c r="E205" s="26" t="str">
        <f>VLOOKUP(C205,classifications!C:K,9,FALSE)</f>
        <v>Sparse</v>
      </c>
      <c r="F205" s="36">
        <f t="shared" si="73"/>
        <v>79.845100628547158</v>
      </c>
      <c r="G205" s="71"/>
      <c r="H205" s="37" t="str">
        <f t="shared" si="74"/>
        <v/>
      </c>
      <c r="I205" s="77" t="str">
        <f>IF(H205="","",IF($I$8="A",(RANK(H205,H$11:H$368,1)+COUNTIF(H$11:H205,H205)-1),(RANK(H205,H$11:H$368)+COUNTIF(H$11:H205,H205)-1)))</f>
        <v/>
      </c>
      <c r="J205" s="35"/>
      <c r="K205" s="28" t="str">
        <f t="shared" si="82"/>
        <v/>
      </c>
      <c r="L205" s="36" t="str">
        <f t="shared" si="75"/>
        <v/>
      </c>
      <c r="M205" s="102" t="str">
        <f t="shared" si="83"/>
        <v/>
      </c>
      <c r="N205" s="101" t="str">
        <f t="shared" si="84"/>
        <v/>
      </c>
      <c r="O205" s="94" t="str">
        <f t="shared" si="76"/>
        <v/>
      </c>
      <c r="P205" s="94" t="str">
        <f t="shared" ref="P205:P268" si="91">IF(I$8="A",IF(N205&gt;$O$10,IF(N205&lt;=$P$10,N205,""),""),IF(N205&lt;$O$10,IF(N205&gt;=$P$10,N205,""),""))</f>
        <v/>
      </c>
      <c r="Q205" s="94" t="str">
        <f t="shared" ref="Q205:Q268" si="92">IF(I$8="A",IF(N205&gt;$P$10,IF(N205&lt;=$Q$10,N205,""),""),IF(N205&lt;$P$10,IF(N205&gt;=$Q$10,N205,""),""))</f>
        <v/>
      </c>
      <c r="R205" s="90" t="str">
        <f t="shared" ref="R205:R268" si="93">IF(I$8="A",IF(N205&gt;$Q$10,N205,""),IF(N205&lt;$Q$10,N205,""))</f>
        <v/>
      </c>
      <c r="S205" s="37" t="str">
        <f t="shared" si="85"/>
        <v/>
      </c>
      <c r="T205" s="176" t="str">
        <f>IF(L205="","",VLOOKUP(L205,classifications!C:K,9,FALSE))</f>
        <v/>
      </c>
      <c r="U205" s="183" t="str">
        <f t="shared" si="77"/>
        <v/>
      </c>
      <c r="V205" s="184" t="str">
        <f>IF(U205="","",IF($I$8="A",(RANK(U205,U$11:U$368)+COUNTIF(U$11:U205,U205)-1),(RANK(U205,U$11:U$368,1)+COUNTIF(U$11:U205,U205)-1)))</f>
        <v/>
      </c>
      <c r="W205" s="185"/>
      <c r="X205" s="38" t="str">
        <f>IF(L205="","",VLOOKUP($L205,classifications!$C:$J,6,FALSE))</f>
        <v/>
      </c>
      <c r="Y205" s="26" t="str">
        <f t="shared" si="78"/>
        <v/>
      </c>
      <c r="Z205" s="34" t="str">
        <f>IF(Y205="","",IF(I$8="A",(RANK(Y205,Y$11:Y$368,1)+COUNTIF(Y$11:Y205,Y205)-1),(RANK(Y205,Y$11:Y$368)+COUNTIF(Y$11:Y205,Y205)-1)))</f>
        <v/>
      </c>
      <c r="AA205" s="188" t="str">
        <f>IF(L205="","",VLOOKUP($L205,classifications!C:I,7,FALSE))</f>
        <v/>
      </c>
      <c r="AB205" s="184" t="str">
        <f t="shared" si="86"/>
        <v/>
      </c>
      <c r="AC205" s="184" t="str">
        <f>IF(AB205="","",IF($I$8="A",(RANK(AB205,AB$11:AB$368)+COUNTIF(AB$11:AB205,AB205)-1),(RANK(AB205,AB$11:AB$368,1)+COUNTIF(AB$11:AB205,AB205)-1)))</f>
        <v/>
      </c>
      <c r="AD205" s="184"/>
      <c r="AE205" s="28" t="str">
        <f t="shared" si="72"/>
        <v/>
      </c>
      <c r="AG205" s="96"/>
      <c r="AH205" s="29"/>
      <c r="AI205" s="38" t="str">
        <f>IF(L205="","",VLOOKUP($L205,classifications!$C:$J,8,FALSE))</f>
        <v/>
      </c>
      <c r="AJ205" s="39" t="str">
        <f t="shared" si="79"/>
        <v/>
      </c>
      <c r="AK205" s="34" t="str">
        <f>IF(AJ205="","",IF(I$8="A",(RANK(AJ205,AJ$11:AJ$368,1)+COUNTIF(AJ$11:AJ205,AJ205)-1),(RANK(AJ205,AJ$11:AJ$368)+COUNTIF(AJ$11:AJ205,AJ205)-1)))</f>
        <v/>
      </c>
      <c r="AL205" s="29" t="str">
        <f t="shared" si="87"/>
        <v/>
      </c>
      <c r="AM205" s="8" t="str">
        <f t="shared" si="80"/>
        <v/>
      </c>
      <c r="AN205" s="8" t="str">
        <f t="shared" si="88"/>
        <v/>
      </c>
      <c r="AP205" s="38" t="str">
        <f>IF(L205="","",VLOOKUP($L205,classifications!$C:$E,3,FALSE))</f>
        <v/>
      </c>
      <c r="AQ205" s="39" t="str">
        <f t="shared" si="89"/>
        <v/>
      </c>
      <c r="AR205" s="34" t="str">
        <f>IF(AQ205="","",IF(I$8="A",(RANK(AQ205,AQ$11:AQ$368,1)+COUNTIF(AQ$11:AQ205,AQ205)-1),(RANK(AQ205,AQ$11:AQ$368)+COUNTIF(AQ$11:AQ205,AQ205)-1)))</f>
        <v/>
      </c>
      <c r="AS205" s="29" t="str">
        <f t="shared" si="90"/>
        <v/>
      </c>
      <c r="AT205" s="34" t="str">
        <f t="shared" si="81"/>
        <v/>
      </c>
      <c r="AU205" s="39" t="str">
        <f t="shared" si="71"/>
        <v/>
      </c>
      <c r="AX205" s="21">
        <f>HLOOKUP($AX$9&amp;$AX$10,Data!$A$1:$ZZ$2000,(MATCH($C205,Data!$A$1:$A$2000,0)),FALSE)</f>
        <v>79.845100628547158</v>
      </c>
      <c r="AY205" s="103"/>
      <c r="AZ205" s="21"/>
    </row>
    <row r="206" spans="1:52">
      <c r="A206" s="56" t="str">
        <f>$D$1&amp;196</f>
        <v>SD196</v>
      </c>
      <c r="B206" s="57">
        <f>IF(ISERROR(VLOOKUP(A206,classifications!A:C,3,FALSE)),0,VLOOKUP(A206,classifications!A:C,3,FALSE))</f>
        <v>0</v>
      </c>
      <c r="C206" s="8" t="s">
        <v>108</v>
      </c>
      <c r="D206" s="26" t="str">
        <f>VLOOKUP($C206,classifications!$C:$J,4,FALSE)</f>
        <v>SD</v>
      </c>
      <c r="E206" s="26" t="str">
        <f>VLOOKUP(C206,classifications!C:K,9,FALSE)</f>
        <v>Sparse</v>
      </c>
      <c r="F206" s="36">
        <f t="shared" si="73"/>
        <v>79.811729444586859</v>
      </c>
      <c r="G206" s="71"/>
      <c r="H206" s="37">
        <f t="shared" si="74"/>
        <v>79.811729444586859</v>
      </c>
      <c r="I206" s="77">
        <f>IF(H206="","",IF($I$8="A",(RANK(H206,H$11:H$368,1)+COUNTIF(H$11:H206,H206)-1),(RANK(H206,H$11:H$368)+COUNTIF(H$11:H206,H206)-1)))</f>
        <v>121</v>
      </c>
      <c r="J206" s="35"/>
      <c r="K206" s="28" t="str">
        <f t="shared" si="82"/>
        <v/>
      </c>
      <c r="L206" s="36" t="str">
        <f t="shared" si="75"/>
        <v/>
      </c>
      <c r="M206" s="102" t="str">
        <f t="shared" si="83"/>
        <v/>
      </c>
      <c r="N206" s="101" t="str">
        <f t="shared" si="84"/>
        <v/>
      </c>
      <c r="O206" s="94" t="str">
        <f t="shared" si="76"/>
        <v/>
      </c>
      <c r="P206" s="94" t="str">
        <f t="shared" si="91"/>
        <v/>
      </c>
      <c r="Q206" s="94" t="str">
        <f t="shared" si="92"/>
        <v/>
      </c>
      <c r="R206" s="90" t="str">
        <f t="shared" si="93"/>
        <v/>
      </c>
      <c r="S206" s="37" t="str">
        <f t="shared" si="85"/>
        <v/>
      </c>
      <c r="T206" s="176" t="str">
        <f>IF(L206="","",VLOOKUP(L206,classifications!C:K,9,FALSE))</f>
        <v/>
      </c>
      <c r="U206" s="183" t="str">
        <f t="shared" si="77"/>
        <v/>
      </c>
      <c r="V206" s="184" t="str">
        <f>IF(U206="","",IF($I$8="A",(RANK(U206,U$11:U$368)+COUNTIF(U$11:U206,U206)-1),(RANK(U206,U$11:U$368,1)+COUNTIF(U$11:U206,U206)-1)))</f>
        <v/>
      </c>
      <c r="W206" s="185"/>
      <c r="X206" s="38" t="str">
        <f>IF(L206="","",VLOOKUP($L206,classifications!$C:$J,6,FALSE))</f>
        <v/>
      </c>
      <c r="Y206" s="26" t="str">
        <f t="shared" si="78"/>
        <v/>
      </c>
      <c r="Z206" s="34" t="str">
        <f>IF(Y206="","",IF(I$8="A",(RANK(Y206,Y$11:Y$368,1)+COUNTIF(Y$11:Y206,Y206)-1),(RANK(Y206,Y$11:Y$368)+COUNTIF(Y$11:Y206,Y206)-1)))</f>
        <v/>
      </c>
      <c r="AA206" s="188" t="str">
        <f>IF(L206="","",VLOOKUP($L206,classifications!C:I,7,FALSE))</f>
        <v/>
      </c>
      <c r="AB206" s="184" t="str">
        <f t="shared" si="86"/>
        <v/>
      </c>
      <c r="AC206" s="184" t="str">
        <f>IF(AB206="","",IF($I$8="A",(RANK(AB206,AB$11:AB$368)+COUNTIF(AB$11:AB206,AB206)-1),(RANK(AB206,AB$11:AB$368,1)+COUNTIF(AB$11:AB206,AB206)-1)))</f>
        <v/>
      </c>
      <c r="AD206" s="184"/>
      <c r="AE206" s="28" t="str">
        <f t="shared" si="72"/>
        <v/>
      </c>
      <c r="AG206" s="96"/>
      <c r="AH206" s="29"/>
      <c r="AI206" s="38" t="str">
        <f>IF(L206="","",VLOOKUP($L206,classifications!$C:$J,8,FALSE))</f>
        <v/>
      </c>
      <c r="AJ206" s="39" t="str">
        <f t="shared" si="79"/>
        <v/>
      </c>
      <c r="AK206" s="34" t="str">
        <f>IF(AJ206="","",IF(I$8="A",(RANK(AJ206,AJ$11:AJ$368,1)+COUNTIF(AJ$11:AJ206,AJ206)-1),(RANK(AJ206,AJ$11:AJ$368)+COUNTIF(AJ$11:AJ206,AJ206)-1)))</f>
        <v/>
      </c>
      <c r="AL206" s="29" t="str">
        <f t="shared" si="87"/>
        <v/>
      </c>
      <c r="AM206" s="8" t="str">
        <f t="shared" si="80"/>
        <v/>
      </c>
      <c r="AN206" s="8" t="str">
        <f t="shared" si="88"/>
        <v/>
      </c>
      <c r="AP206" s="38" t="str">
        <f>IF(L206="","",VLOOKUP($L206,classifications!$C:$E,3,FALSE))</f>
        <v/>
      </c>
      <c r="AQ206" s="39" t="str">
        <f t="shared" si="89"/>
        <v/>
      </c>
      <c r="AR206" s="34" t="str">
        <f>IF(AQ206="","",IF(I$8="A",(RANK(AQ206,AQ$11:AQ$368,1)+COUNTIF(AQ$11:AQ206,AQ206)-1),(RANK(AQ206,AQ$11:AQ$368)+COUNTIF(AQ$11:AQ206,AQ206)-1)))</f>
        <v/>
      </c>
      <c r="AS206" s="29" t="str">
        <f t="shared" si="90"/>
        <v/>
      </c>
      <c r="AT206" s="34" t="str">
        <f t="shared" si="81"/>
        <v/>
      </c>
      <c r="AU206" s="39" t="str">
        <f t="shared" si="71"/>
        <v/>
      </c>
      <c r="AX206" s="21">
        <f>HLOOKUP($AX$9&amp;$AX$10,Data!$A$1:$ZZ$2000,(MATCH($C206,Data!$A$1:$A$2000,0)),FALSE)</f>
        <v>79.811729444586859</v>
      </c>
      <c r="AY206" s="103"/>
      <c r="AZ206" s="21"/>
    </row>
    <row r="207" spans="1:52">
      <c r="A207" s="56" t="str">
        <f>$D$1&amp;197</f>
        <v>SD197</v>
      </c>
      <c r="B207" s="57">
        <f>IF(ISERROR(VLOOKUP(A207,classifications!A:C,3,FALSE)),0,VLOOKUP(A207,classifications!A:C,3,FALSE))</f>
        <v>0</v>
      </c>
      <c r="C207" s="8" t="s">
        <v>109</v>
      </c>
      <c r="D207" s="26" t="str">
        <f>VLOOKUP($C207,classifications!$C:$J,4,FALSE)</f>
        <v>SD</v>
      </c>
      <c r="E207" s="26">
        <f>VLOOKUP(C207,classifications!C:K,9,FALSE)</f>
        <v>0</v>
      </c>
      <c r="F207" s="36" t="str">
        <f t="shared" si="73"/>
        <v>-</v>
      </c>
      <c r="G207" s="71"/>
      <c r="H207" s="37" t="str">
        <f t="shared" si="74"/>
        <v>-</v>
      </c>
      <c r="I207" s="77" t="e">
        <f>IF(H207="","",IF($I$8="A",(RANK(H207,H$11:H$368,1)+COUNTIF(H$11:H207,H207)-1),(RANK(H207,H$11:H$368)+COUNTIF(H$11:H207,H207)-1)))</f>
        <v>#VALUE!</v>
      </c>
      <c r="J207" s="35"/>
      <c r="K207" s="28" t="str">
        <f t="shared" si="82"/>
        <v/>
      </c>
      <c r="L207" s="36" t="str">
        <f t="shared" si="75"/>
        <v/>
      </c>
      <c r="M207" s="102" t="str">
        <f t="shared" si="83"/>
        <v/>
      </c>
      <c r="N207" s="101" t="str">
        <f t="shared" si="84"/>
        <v/>
      </c>
      <c r="O207" s="94" t="str">
        <f t="shared" si="76"/>
        <v/>
      </c>
      <c r="P207" s="94" t="str">
        <f t="shared" si="91"/>
        <v/>
      </c>
      <c r="Q207" s="94" t="str">
        <f t="shared" si="92"/>
        <v/>
      </c>
      <c r="R207" s="90" t="str">
        <f t="shared" si="93"/>
        <v/>
      </c>
      <c r="S207" s="37" t="str">
        <f t="shared" si="85"/>
        <v/>
      </c>
      <c r="T207" s="176" t="str">
        <f>IF(L207="","",VLOOKUP(L207,classifications!C:K,9,FALSE))</f>
        <v/>
      </c>
      <c r="U207" s="183" t="str">
        <f t="shared" si="77"/>
        <v/>
      </c>
      <c r="V207" s="184" t="str">
        <f>IF(U207="","",IF($I$8="A",(RANK(U207,U$11:U$368)+COUNTIF(U$11:U207,U207)-1),(RANK(U207,U$11:U$368,1)+COUNTIF(U$11:U207,U207)-1)))</f>
        <v/>
      </c>
      <c r="W207" s="185"/>
      <c r="X207" s="38" t="str">
        <f>IF(L207="","",VLOOKUP($L207,classifications!$C:$J,6,FALSE))</f>
        <v/>
      </c>
      <c r="Y207" s="26" t="str">
        <f t="shared" si="78"/>
        <v/>
      </c>
      <c r="Z207" s="34" t="str">
        <f>IF(Y207="","",IF(I$8="A",(RANK(Y207,Y$11:Y$368,1)+COUNTIF(Y$11:Y207,Y207)-1),(RANK(Y207,Y$11:Y$368)+COUNTIF(Y$11:Y207,Y207)-1)))</f>
        <v/>
      </c>
      <c r="AA207" s="188" t="str">
        <f>IF(L207="","",VLOOKUP($L207,classifications!C:I,7,FALSE))</f>
        <v/>
      </c>
      <c r="AB207" s="184" t="str">
        <f t="shared" si="86"/>
        <v/>
      </c>
      <c r="AC207" s="184" t="str">
        <f>IF(AB207="","",IF($I$8="A",(RANK(AB207,AB$11:AB$368)+COUNTIF(AB$11:AB207,AB207)-1),(RANK(AB207,AB$11:AB$368,1)+COUNTIF(AB$11:AB207,AB207)-1)))</f>
        <v/>
      </c>
      <c r="AD207" s="184"/>
      <c r="AE207" s="28" t="str">
        <f t="shared" si="72"/>
        <v/>
      </c>
      <c r="AG207" s="96"/>
      <c r="AH207" s="29"/>
      <c r="AI207" s="38" t="str">
        <f>IF(L207="","",VLOOKUP($L207,classifications!$C:$J,8,FALSE))</f>
        <v/>
      </c>
      <c r="AJ207" s="39" t="str">
        <f t="shared" si="79"/>
        <v/>
      </c>
      <c r="AK207" s="34" t="str">
        <f>IF(AJ207="","",IF(I$8="A",(RANK(AJ207,AJ$11:AJ$368,1)+COUNTIF(AJ$11:AJ207,AJ207)-1),(RANK(AJ207,AJ$11:AJ$368)+COUNTIF(AJ$11:AJ207,AJ207)-1)))</f>
        <v/>
      </c>
      <c r="AL207" s="29" t="str">
        <f t="shared" si="87"/>
        <v/>
      </c>
      <c r="AM207" s="8" t="str">
        <f t="shared" si="80"/>
        <v/>
      </c>
      <c r="AN207" s="8" t="str">
        <f t="shared" si="88"/>
        <v/>
      </c>
      <c r="AP207" s="38" t="str">
        <f>IF(L207="","",VLOOKUP($L207,classifications!$C:$E,3,FALSE))</f>
        <v/>
      </c>
      <c r="AQ207" s="39" t="str">
        <f t="shared" si="89"/>
        <v/>
      </c>
      <c r="AR207" s="34" t="str">
        <f>IF(AQ207="","",IF(I$8="A",(RANK(AQ207,AQ$11:AQ$368,1)+COUNTIF(AQ$11:AQ207,AQ207)-1),(RANK(AQ207,AQ$11:AQ$368)+COUNTIF(AQ$11:AQ207,AQ207)-1)))</f>
        <v/>
      </c>
      <c r="AS207" s="29" t="str">
        <f t="shared" si="90"/>
        <v/>
      </c>
      <c r="AT207" s="34" t="str">
        <f t="shared" si="81"/>
        <v/>
      </c>
      <c r="AU207" s="39" t="str">
        <f t="shared" si="71"/>
        <v/>
      </c>
      <c r="AX207" s="21" t="str">
        <f>HLOOKUP($AX$9&amp;$AX$10,Data!$A$1:$ZZ$2000,(MATCH($C207,Data!$A$1:$A$2000,0)),FALSE)</f>
        <v>-</v>
      </c>
      <c r="AY207" s="103"/>
      <c r="AZ207" s="21"/>
    </row>
    <row r="208" spans="1:52">
      <c r="A208" s="56" t="str">
        <f>$D$1&amp;198</f>
        <v>SD198</v>
      </c>
      <c r="B208" s="57">
        <f>IF(ISERROR(VLOOKUP(A208,classifications!A:C,3,FALSE)),0,VLOOKUP(A208,classifications!A:C,3,FALSE))</f>
        <v>0</v>
      </c>
      <c r="C208" s="8" t="s">
        <v>110</v>
      </c>
      <c r="D208" s="26" t="str">
        <f>VLOOKUP($C208,classifications!$C:$J,4,FALSE)</f>
        <v>SD</v>
      </c>
      <c r="E208" s="26">
        <f>VLOOKUP(C208,classifications!C:K,9,FALSE)</f>
        <v>0</v>
      </c>
      <c r="F208" s="36">
        <f t="shared" si="73"/>
        <v>79.98234966638357</v>
      </c>
      <c r="G208" s="71"/>
      <c r="H208" s="37">
        <f t="shared" si="74"/>
        <v>79.98234966638357</v>
      </c>
      <c r="I208" s="77">
        <f>IF(H208="","",IF($I$8="A",(RANK(H208,H$11:H$368,1)+COUNTIF(H$11:H208,H208)-1),(RANK(H208,H$11:H$368)+COUNTIF(H$11:H208,H208)-1)))</f>
        <v>116</v>
      </c>
      <c r="J208" s="35"/>
      <c r="K208" s="28" t="str">
        <f t="shared" si="82"/>
        <v/>
      </c>
      <c r="L208" s="36" t="str">
        <f t="shared" si="75"/>
        <v/>
      </c>
      <c r="M208" s="102" t="str">
        <f t="shared" si="83"/>
        <v/>
      </c>
      <c r="N208" s="101" t="str">
        <f t="shared" si="84"/>
        <v/>
      </c>
      <c r="O208" s="94" t="str">
        <f t="shared" si="76"/>
        <v/>
      </c>
      <c r="P208" s="94" t="str">
        <f t="shared" si="91"/>
        <v/>
      </c>
      <c r="Q208" s="94" t="str">
        <f t="shared" si="92"/>
        <v/>
      </c>
      <c r="R208" s="90" t="str">
        <f t="shared" si="93"/>
        <v/>
      </c>
      <c r="S208" s="37" t="str">
        <f t="shared" si="85"/>
        <v/>
      </c>
      <c r="T208" s="176" t="str">
        <f>IF(L208="","",VLOOKUP(L208,classifications!C:K,9,FALSE))</f>
        <v/>
      </c>
      <c r="U208" s="183" t="str">
        <f t="shared" si="77"/>
        <v/>
      </c>
      <c r="V208" s="184" t="str">
        <f>IF(U208="","",IF($I$8="A",(RANK(U208,U$11:U$368)+COUNTIF(U$11:U208,U208)-1),(RANK(U208,U$11:U$368,1)+COUNTIF(U$11:U208,U208)-1)))</f>
        <v/>
      </c>
      <c r="W208" s="185"/>
      <c r="X208" s="38" t="str">
        <f>IF(L208="","",VLOOKUP($L208,classifications!$C:$J,6,FALSE))</f>
        <v/>
      </c>
      <c r="Y208" s="26" t="str">
        <f t="shared" si="78"/>
        <v/>
      </c>
      <c r="Z208" s="34" t="str">
        <f>IF(Y208="","",IF(I$8="A",(RANK(Y208,Y$11:Y$368,1)+COUNTIF(Y$11:Y208,Y208)-1),(RANK(Y208,Y$11:Y$368)+COUNTIF(Y$11:Y208,Y208)-1)))</f>
        <v/>
      </c>
      <c r="AA208" s="188" t="str">
        <f>IF(L208="","",VLOOKUP($L208,classifications!C:I,7,FALSE))</f>
        <v/>
      </c>
      <c r="AB208" s="184" t="str">
        <f t="shared" si="86"/>
        <v/>
      </c>
      <c r="AC208" s="184" t="str">
        <f>IF(AB208="","",IF($I$8="A",(RANK(AB208,AB$11:AB$368)+COUNTIF(AB$11:AB208,AB208)-1),(RANK(AB208,AB$11:AB$368,1)+COUNTIF(AB$11:AB208,AB208)-1)))</f>
        <v/>
      </c>
      <c r="AD208" s="184"/>
      <c r="AE208" s="28" t="str">
        <f t="shared" si="72"/>
        <v/>
      </c>
      <c r="AG208" s="96"/>
      <c r="AH208" s="29"/>
      <c r="AI208" s="38" t="str">
        <f>IF(L208="","",VLOOKUP($L208,classifications!$C:$J,8,FALSE))</f>
        <v/>
      </c>
      <c r="AJ208" s="39" t="str">
        <f t="shared" si="79"/>
        <v/>
      </c>
      <c r="AK208" s="34" t="str">
        <f>IF(AJ208="","",IF(I$8="A",(RANK(AJ208,AJ$11:AJ$368,1)+COUNTIF(AJ$11:AJ208,AJ208)-1),(RANK(AJ208,AJ$11:AJ$368)+COUNTIF(AJ$11:AJ208,AJ208)-1)))</f>
        <v/>
      </c>
      <c r="AL208" s="29" t="str">
        <f t="shared" si="87"/>
        <v/>
      </c>
      <c r="AM208" s="8" t="str">
        <f t="shared" si="80"/>
        <v/>
      </c>
      <c r="AN208" s="8" t="str">
        <f t="shared" si="88"/>
        <v/>
      </c>
      <c r="AP208" s="38" t="str">
        <f>IF(L208="","",VLOOKUP($L208,classifications!$C:$E,3,FALSE))</f>
        <v/>
      </c>
      <c r="AQ208" s="39" t="str">
        <f t="shared" si="89"/>
        <v/>
      </c>
      <c r="AR208" s="34" t="str">
        <f>IF(AQ208="","",IF(I$8="A",(RANK(AQ208,AQ$11:AQ$368,1)+COUNTIF(AQ$11:AQ208,AQ208)-1),(RANK(AQ208,AQ$11:AQ$368)+COUNTIF(AQ$11:AQ208,AQ208)-1)))</f>
        <v/>
      </c>
      <c r="AS208" s="29" t="str">
        <f t="shared" si="90"/>
        <v/>
      </c>
      <c r="AT208" s="34" t="str">
        <f t="shared" si="81"/>
        <v/>
      </c>
      <c r="AU208" s="39" t="str">
        <f t="shared" si="71"/>
        <v/>
      </c>
      <c r="AX208" s="21">
        <f>HLOOKUP($AX$9&amp;$AX$10,Data!$A$1:$ZZ$2000,(MATCH($C208,Data!$A$1:$A$2000,0)),FALSE)</f>
        <v>79.98234966638357</v>
      </c>
      <c r="AY208" s="103"/>
      <c r="AZ208" s="21"/>
    </row>
    <row r="209" spans="1:52">
      <c r="A209" s="56" t="str">
        <f>$D$1&amp;199</f>
        <v>SD199</v>
      </c>
      <c r="B209" s="57">
        <f>IF(ISERROR(VLOOKUP(A209,classifications!A:C,3,FALSE)),0,VLOOKUP(A209,classifications!A:C,3,FALSE))</f>
        <v>0</v>
      </c>
      <c r="C209" s="8" t="s">
        <v>276</v>
      </c>
      <c r="D209" s="26" t="str">
        <f>VLOOKUP($C209,classifications!$C:$J,4,FALSE)</f>
        <v>UA</v>
      </c>
      <c r="E209" s="26">
        <f>VLOOKUP(C209,classifications!C:K,9,FALSE)</f>
        <v>0</v>
      </c>
      <c r="F209" s="36">
        <f t="shared" si="73"/>
        <v>72.168153065041523</v>
      </c>
      <c r="G209" s="71"/>
      <c r="H209" s="37" t="str">
        <f t="shared" si="74"/>
        <v/>
      </c>
      <c r="I209" s="77" t="str">
        <f>IF(H209="","",IF($I$8="A",(RANK(H209,H$11:H$368,1)+COUNTIF(H$11:H209,H209)-1),(RANK(H209,H$11:H$368)+COUNTIF(H$11:H209,H209)-1)))</f>
        <v/>
      </c>
      <c r="J209" s="35"/>
      <c r="K209" s="28" t="str">
        <f t="shared" si="82"/>
        <v/>
      </c>
      <c r="L209" s="36" t="str">
        <f t="shared" si="75"/>
        <v/>
      </c>
      <c r="M209" s="102" t="str">
        <f t="shared" si="83"/>
        <v/>
      </c>
      <c r="N209" s="101" t="str">
        <f t="shared" si="84"/>
        <v/>
      </c>
      <c r="O209" s="94" t="str">
        <f t="shared" si="76"/>
        <v/>
      </c>
      <c r="P209" s="94" t="str">
        <f t="shared" si="91"/>
        <v/>
      </c>
      <c r="Q209" s="94" t="str">
        <f t="shared" si="92"/>
        <v/>
      </c>
      <c r="R209" s="90" t="str">
        <f t="shared" si="93"/>
        <v/>
      </c>
      <c r="S209" s="37" t="str">
        <f t="shared" si="85"/>
        <v/>
      </c>
      <c r="T209" s="176" t="str">
        <f>IF(L209="","",VLOOKUP(L209,classifications!C:K,9,FALSE))</f>
        <v/>
      </c>
      <c r="U209" s="183" t="str">
        <f t="shared" si="77"/>
        <v/>
      </c>
      <c r="V209" s="184" t="str">
        <f>IF(U209="","",IF($I$8="A",(RANK(U209,U$11:U$368)+COUNTIF(U$11:U209,U209)-1),(RANK(U209,U$11:U$368,1)+COUNTIF(U$11:U209,U209)-1)))</f>
        <v/>
      </c>
      <c r="W209" s="185"/>
      <c r="X209" s="38" t="str">
        <f>IF(L209="","",VLOOKUP($L209,classifications!$C:$J,6,FALSE))</f>
        <v/>
      </c>
      <c r="Y209" s="26" t="str">
        <f t="shared" si="78"/>
        <v/>
      </c>
      <c r="Z209" s="34" t="str">
        <f>IF(Y209="","",IF(I$8="A",(RANK(Y209,Y$11:Y$368,1)+COUNTIF(Y$11:Y209,Y209)-1),(RANK(Y209,Y$11:Y$368)+COUNTIF(Y$11:Y209,Y209)-1)))</f>
        <v/>
      </c>
      <c r="AA209" s="188" t="str">
        <f>IF(L209="","",VLOOKUP($L209,classifications!C:I,7,FALSE))</f>
        <v/>
      </c>
      <c r="AB209" s="184" t="str">
        <f t="shared" si="86"/>
        <v/>
      </c>
      <c r="AC209" s="184" t="str">
        <f>IF(AB209="","",IF($I$8="A",(RANK(AB209,AB$11:AB$368)+COUNTIF(AB$11:AB209,AB209)-1),(RANK(AB209,AB$11:AB$368,1)+COUNTIF(AB$11:AB209,AB209)-1)))</f>
        <v/>
      </c>
      <c r="AD209" s="184"/>
      <c r="AE209" s="28" t="str">
        <f t="shared" si="72"/>
        <v/>
      </c>
      <c r="AG209" s="96"/>
      <c r="AH209" s="29"/>
      <c r="AI209" s="38" t="str">
        <f>IF(L209="","",VLOOKUP($L209,classifications!$C:$J,8,FALSE))</f>
        <v/>
      </c>
      <c r="AJ209" s="39" t="str">
        <f t="shared" si="79"/>
        <v/>
      </c>
      <c r="AK209" s="34" t="str">
        <f>IF(AJ209="","",IF(I$8="A",(RANK(AJ209,AJ$11:AJ$368,1)+COUNTIF(AJ$11:AJ209,AJ209)-1),(RANK(AJ209,AJ$11:AJ$368)+COUNTIF(AJ$11:AJ209,AJ209)-1)))</f>
        <v/>
      </c>
      <c r="AL209" s="29" t="str">
        <f t="shared" si="87"/>
        <v/>
      </c>
      <c r="AM209" s="8" t="str">
        <f t="shared" si="80"/>
        <v/>
      </c>
      <c r="AN209" s="8" t="str">
        <f t="shared" si="88"/>
        <v/>
      </c>
      <c r="AP209" s="38" t="str">
        <f>IF(L209="","",VLOOKUP($L209,classifications!$C:$E,3,FALSE))</f>
        <v/>
      </c>
      <c r="AQ209" s="39" t="str">
        <f t="shared" si="89"/>
        <v/>
      </c>
      <c r="AR209" s="34" t="str">
        <f>IF(AQ209="","",IF(I$8="A",(RANK(AQ209,AQ$11:AQ$368,1)+COUNTIF(AQ$11:AQ209,AQ209)-1),(RANK(AQ209,AQ$11:AQ$368)+COUNTIF(AQ$11:AQ209,AQ209)-1)))</f>
        <v/>
      </c>
      <c r="AS209" s="29" t="str">
        <f t="shared" si="90"/>
        <v/>
      </c>
      <c r="AT209" s="34" t="str">
        <f t="shared" si="81"/>
        <v/>
      </c>
      <c r="AU209" s="39" t="str">
        <f t="shared" si="71"/>
        <v/>
      </c>
      <c r="AX209" s="21">
        <f>HLOOKUP($AX$9&amp;$AX$10,Data!$A$1:$ZZ$2000,(MATCH($C209,Data!$A$1:$A$2000,0)),FALSE)</f>
        <v>72.168153065041523</v>
      </c>
      <c r="AY209" s="103"/>
      <c r="AZ209" s="21"/>
    </row>
    <row r="210" spans="1:52">
      <c r="A210" s="56" t="str">
        <f>$D$1&amp;200</f>
        <v>SD200</v>
      </c>
      <c r="B210" s="57">
        <f>IF(ISERROR(VLOOKUP(A210,classifications!A:C,3,FALSE)),0,VLOOKUP(A210,classifications!A:C,3,FALSE))</f>
        <v>0</v>
      </c>
      <c r="C210" s="8" t="s">
        <v>111</v>
      </c>
      <c r="D210" s="26" t="str">
        <f>VLOOKUP($C210,classifications!$C:$J,4,FALSE)</f>
        <v>SD</v>
      </c>
      <c r="E210" s="26">
        <f>VLOOKUP(C210,classifications!C:K,9,FALSE)</f>
        <v>0</v>
      </c>
      <c r="F210" s="36">
        <f t="shared" si="73"/>
        <v>86.48148459683577</v>
      </c>
      <c r="G210" s="71"/>
      <c r="H210" s="37">
        <f t="shared" si="74"/>
        <v>86.48148459683577</v>
      </c>
      <c r="I210" s="77">
        <f>IF(H210="","",IF($I$8="A",(RANK(H210,H$11:H$368,1)+COUNTIF(H$11:H210,H210)-1),(RANK(H210,H$11:H$368)+COUNTIF(H$11:H210,H210)-1)))</f>
        <v>13</v>
      </c>
      <c r="J210" s="35"/>
      <c r="K210" s="28" t="str">
        <f t="shared" si="82"/>
        <v/>
      </c>
      <c r="L210" s="36" t="str">
        <f t="shared" si="75"/>
        <v/>
      </c>
      <c r="M210" s="102" t="str">
        <f t="shared" si="83"/>
        <v/>
      </c>
      <c r="N210" s="101" t="str">
        <f t="shared" si="84"/>
        <v/>
      </c>
      <c r="O210" s="94" t="str">
        <f t="shared" si="76"/>
        <v/>
      </c>
      <c r="P210" s="94" t="str">
        <f t="shared" si="91"/>
        <v/>
      </c>
      <c r="Q210" s="94" t="str">
        <f t="shared" si="92"/>
        <v/>
      </c>
      <c r="R210" s="90" t="str">
        <f t="shared" si="93"/>
        <v/>
      </c>
      <c r="S210" s="37" t="str">
        <f t="shared" si="85"/>
        <v/>
      </c>
      <c r="T210" s="176" t="str">
        <f>IF(L210="","",VLOOKUP(L210,classifications!C:K,9,FALSE))</f>
        <v/>
      </c>
      <c r="U210" s="183" t="str">
        <f t="shared" si="77"/>
        <v/>
      </c>
      <c r="V210" s="184" t="str">
        <f>IF(U210="","",IF($I$8="A",(RANK(U210,U$11:U$368)+COUNTIF(U$11:U210,U210)-1),(RANK(U210,U$11:U$368,1)+COUNTIF(U$11:U210,U210)-1)))</f>
        <v/>
      </c>
      <c r="W210" s="185"/>
      <c r="X210" s="38" t="str">
        <f>IF(L210="","",VLOOKUP($L210,classifications!$C:$J,6,FALSE))</f>
        <v/>
      </c>
      <c r="Y210" s="26" t="str">
        <f t="shared" si="78"/>
        <v/>
      </c>
      <c r="Z210" s="34" t="str">
        <f>IF(Y210="","",IF(I$8="A",(RANK(Y210,Y$11:Y$368,1)+COUNTIF(Y$11:Y210,Y210)-1),(RANK(Y210,Y$11:Y$368)+COUNTIF(Y$11:Y210,Y210)-1)))</f>
        <v/>
      </c>
      <c r="AA210" s="188" t="str">
        <f>IF(L210="","",VLOOKUP($L210,classifications!C:I,7,FALSE))</f>
        <v/>
      </c>
      <c r="AB210" s="184" t="str">
        <f t="shared" si="86"/>
        <v/>
      </c>
      <c r="AC210" s="184" t="str">
        <f>IF(AB210="","",IF($I$8="A",(RANK(AB210,AB$11:AB$368)+COUNTIF(AB$11:AB210,AB210)-1),(RANK(AB210,AB$11:AB$368,1)+COUNTIF(AB$11:AB210,AB210)-1)))</f>
        <v/>
      </c>
      <c r="AD210" s="184"/>
      <c r="AE210" s="28" t="str">
        <f t="shared" si="72"/>
        <v/>
      </c>
      <c r="AG210" s="96"/>
      <c r="AH210" s="29"/>
      <c r="AI210" s="38" t="str">
        <f>IF(L210="","",VLOOKUP($L210,classifications!$C:$J,8,FALSE))</f>
        <v/>
      </c>
      <c r="AJ210" s="39" t="str">
        <f t="shared" si="79"/>
        <v/>
      </c>
      <c r="AK210" s="34" t="str">
        <f>IF(AJ210="","",IF(I$8="A",(RANK(AJ210,AJ$11:AJ$368,1)+COUNTIF(AJ$11:AJ210,AJ210)-1),(RANK(AJ210,AJ$11:AJ$368)+COUNTIF(AJ$11:AJ210,AJ210)-1)))</f>
        <v/>
      </c>
      <c r="AL210" s="29" t="str">
        <f t="shared" si="87"/>
        <v/>
      </c>
      <c r="AM210" s="8" t="str">
        <f t="shared" si="80"/>
        <v/>
      </c>
      <c r="AN210" s="8" t="str">
        <f t="shared" si="88"/>
        <v/>
      </c>
      <c r="AP210" s="38" t="str">
        <f>IF(L210="","",VLOOKUP($L210,classifications!$C:$E,3,FALSE))</f>
        <v/>
      </c>
      <c r="AQ210" s="39" t="str">
        <f t="shared" si="89"/>
        <v/>
      </c>
      <c r="AR210" s="34" t="str">
        <f>IF(AQ210="","",IF(I$8="A",(RANK(AQ210,AQ$11:AQ$368,1)+COUNTIF(AQ$11:AQ210,AQ210)-1),(RANK(AQ210,AQ$11:AQ$368)+COUNTIF(AQ$11:AQ210,AQ210)-1)))</f>
        <v/>
      </c>
      <c r="AS210" s="29" t="str">
        <f t="shared" si="90"/>
        <v/>
      </c>
      <c r="AT210" s="34" t="str">
        <f t="shared" si="81"/>
        <v/>
      </c>
      <c r="AU210" s="39" t="str">
        <f t="shared" ref="AU210:AU273" si="94">IF(AT210="","",VLOOKUP(AT210,L:M,2,FALSE))</f>
        <v/>
      </c>
      <c r="AX210" s="21">
        <f>HLOOKUP($AX$9&amp;$AX$10,Data!$A$1:$ZZ$2000,(MATCH($C210,Data!$A$1:$A$2000,0)),FALSE)</f>
        <v>86.48148459683577</v>
      </c>
      <c r="AY210" s="103"/>
      <c r="AZ210" s="21"/>
    </row>
    <row r="211" spans="1:52">
      <c r="A211" s="56" t="str">
        <f>$D$1&amp;201</f>
        <v>SD201</v>
      </c>
      <c r="B211" s="57">
        <f>IF(ISERROR(VLOOKUP(A211,classifications!A:C,3,FALSE)),0,VLOOKUP(A211,classifications!A:C,3,FALSE))</f>
        <v>0</v>
      </c>
      <c r="C211" s="8" t="s">
        <v>112</v>
      </c>
      <c r="D211" s="26" t="str">
        <f>VLOOKUP($C211,classifications!$C:$J,4,FALSE)</f>
        <v>SD</v>
      </c>
      <c r="E211" s="26" t="str">
        <f>VLOOKUP(C211,classifications!C:K,9,FALSE)</f>
        <v>Sparse</v>
      </c>
      <c r="F211" s="36">
        <f t="shared" si="73"/>
        <v>79.864117668556673</v>
      </c>
      <c r="G211" s="71"/>
      <c r="H211" s="37">
        <f t="shared" si="74"/>
        <v>79.864117668556673</v>
      </c>
      <c r="I211" s="77">
        <f>IF(H211="","",IF($I$8="A",(RANK(H211,H$11:H$368,1)+COUNTIF(H$11:H211,H211)-1),(RANK(H211,H$11:H$368)+COUNTIF(H$11:H211,H211)-1)))</f>
        <v>120</v>
      </c>
      <c r="J211" s="35"/>
      <c r="K211" s="28" t="str">
        <f t="shared" si="82"/>
        <v/>
      </c>
      <c r="L211" s="36" t="str">
        <f t="shared" si="75"/>
        <v/>
      </c>
      <c r="M211" s="102" t="str">
        <f t="shared" si="83"/>
        <v/>
      </c>
      <c r="N211" s="101" t="str">
        <f t="shared" si="84"/>
        <v/>
      </c>
      <c r="O211" s="94" t="str">
        <f t="shared" si="76"/>
        <v/>
      </c>
      <c r="P211" s="94" t="str">
        <f t="shared" si="91"/>
        <v/>
      </c>
      <c r="Q211" s="94" t="str">
        <f t="shared" si="92"/>
        <v/>
      </c>
      <c r="R211" s="90" t="str">
        <f t="shared" si="93"/>
        <v/>
      </c>
      <c r="S211" s="37" t="str">
        <f t="shared" si="85"/>
        <v/>
      </c>
      <c r="T211" s="176" t="str">
        <f>IF(L211="","",VLOOKUP(L211,classifications!C:K,9,FALSE))</f>
        <v/>
      </c>
      <c r="U211" s="183" t="str">
        <f t="shared" ref="U211:U226" si="95">IF(T211="Sparse",M211,"")</f>
        <v/>
      </c>
      <c r="V211" s="184" t="str">
        <f>IF(U211="","",IF($I$8="A",(RANK(U211,U$11:U$368)+COUNTIF(U$11:U211,U211)-1),(RANK(U211,U$11:U$368,1)+COUNTIF(U$11:U211,U211)-1)))</f>
        <v/>
      </c>
      <c r="W211" s="185"/>
      <c r="X211" s="38" t="str">
        <f>IF(L211="","",VLOOKUP($L211,classifications!$C:$J,6,FALSE))</f>
        <v/>
      </c>
      <c r="Y211" s="26" t="str">
        <f t="shared" si="78"/>
        <v/>
      </c>
      <c r="Z211" s="34" t="str">
        <f>IF(Y211="","",IF(I$8="A",(RANK(Y211,Y$11:Y$368,1)+COUNTIF(Y$11:Y211,Y211)-1),(RANK(Y211,Y$11:Y$368)+COUNTIF(Y$11:Y211,Y211)-1)))</f>
        <v/>
      </c>
      <c r="AA211" s="188" t="str">
        <f>IF(L211="","",VLOOKUP($L211,classifications!C:I,7,FALSE))</f>
        <v/>
      </c>
      <c r="AB211" s="184" t="str">
        <f t="shared" si="86"/>
        <v/>
      </c>
      <c r="AC211" s="184" t="str">
        <f>IF(AB211="","",IF($I$8="A",(RANK(AB211,AB$11:AB$368)+COUNTIF(AB$11:AB211,AB211)-1),(RANK(AB211,AB$11:AB$368,1)+COUNTIF(AB$11:AB211,AB211)-1)))</f>
        <v/>
      </c>
      <c r="AD211" s="184"/>
      <c r="AE211" s="28" t="str">
        <f t="shared" si="72"/>
        <v/>
      </c>
      <c r="AG211" s="96"/>
      <c r="AH211" s="29"/>
      <c r="AI211" s="38" t="str">
        <f>IF(L211="","",VLOOKUP($L211,classifications!$C:$J,8,FALSE))</f>
        <v/>
      </c>
      <c r="AJ211" s="39" t="str">
        <f t="shared" si="79"/>
        <v/>
      </c>
      <c r="AK211" s="34" t="str">
        <f>IF(AJ211="","",IF(I$8="A",(RANK(AJ211,AJ$11:AJ$368,1)+COUNTIF(AJ$11:AJ211,AJ211)-1),(RANK(AJ211,AJ$11:AJ$368)+COUNTIF(AJ$11:AJ211,AJ211)-1)))</f>
        <v/>
      </c>
      <c r="AL211" s="29" t="str">
        <f t="shared" si="87"/>
        <v/>
      </c>
      <c r="AM211" s="8" t="str">
        <f t="shared" si="80"/>
        <v/>
      </c>
      <c r="AN211" s="8" t="str">
        <f t="shared" si="88"/>
        <v/>
      </c>
      <c r="AP211" s="38" t="str">
        <f>IF(L211="","",VLOOKUP($L211,classifications!$C:$E,3,FALSE))</f>
        <v/>
      </c>
      <c r="AQ211" s="39" t="str">
        <f t="shared" si="89"/>
        <v/>
      </c>
      <c r="AR211" s="34" t="str">
        <f>IF(AQ211="","",IF(I$8="A",(RANK(AQ211,AQ$11:AQ$368,1)+COUNTIF(AQ$11:AQ211,AQ211)-1),(RANK(AQ211,AQ$11:AQ$368)+COUNTIF(AQ$11:AQ211,AQ211)-1)))</f>
        <v/>
      </c>
      <c r="AS211" s="29" t="str">
        <f t="shared" si="90"/>
        <v/>
      </c>
      <c r="AT211" s="34" t="str">
        <f t="shared" si="81"/>
        <v/>
      </c>
      <c r="AU211" s="39" t="str">
        <f t="shared" si="94"/>
        <v/>
      </c>
      <c r="AX211" s="21">
        <f>HLOOKUP($AX$9&amp;$AX$10,Data!$A$1:$ZZ$2000,(MATCH($C211,Data!$A$1:$A$2000,0)),FALSE)</f>
        <v>79.864117668556673</v>
      </c>
      <c r="AY211" s="103"/>
      <c r="AZ211" s="21"/>
    </row>
    <row r="212" spans="1:52">
      <c r="A212" s="56" t="str">
        <f>$D$1&amp;202</f>
        <v>SD202</v>
      </c>
      <c r="B212" s="57">
        <f>IF(ISERROR(VLOOKUP(A212,classifications!A:C,3,FALSE)),0,VLOOKUP(A212,classifications!A:C,3,FALSE))</f>
        <v>0</v>
      </c>
      <c r="C212" s="8" t="s">
        <v>277</v>
      </c>
      <c r="D212" s="26" t="str">
        <f>VLOOKUP($C212,classifications!$C:$J,4,FALSE)</f>
        <v>UA</v>
      </c>
      <c r="E212" s="26" t="str">
        <f>VLOOKUP(C212,classifications!C:K,9,FALSE)</f>
        <v>Sparse</v>
      </c>
      <c r="F212" s="36">
        <f t="shared" si="73"/>
        <v>73.478392918246342</v>
      </c>
      <c r="G212" s="71"/>
      <c r="H212" s="37" t="str">
        <f t="shared" si="74"/>
        <v/>
      </c>
      <c r="I212" s="77" t="str">
        <f>IF(H212="","",IF($I$8="A",(RANK(H212,H$11:H$368,1)+COUNTIF(H$11:H212,H212)-1),(RANK(H212,H$11:H$368)+COUNTIF(H$11:H212,H212)-1)))</f>
        <v/>
      </c>
      <c r="J212" s="35"/>
      <c r="K212" s="28" t="str">
        <f t="shared" si="82"/>
        <v/>
      </c>
      <c r="L212" s="36" t="str">
        <f t="shared" si="75"/>
        <v/>
      </c>
      <c r="M212" s="102" t="str">
        <f t="shared" si="83"/>
        <v/>
      </c>
      <c r="N212" s="101" t="str">
        <f t="shared" si="84"/>
        <v/>
      </c>
      <c r="O212" s="94" t="str">
        <f t="shared" si="76"/>
        <v/>
      </c>
      <c r="P212" s="94" t="str">
        <f t="shared" si="91"/>
        <v/>
      </c>
      <c r="Q212" s="94" t="str">
        <f t="shared" si="92"/>
        <v/>
      </c>
      <c r="R212" s="90" t="str">
        <f t="shared" si="93"/>
        <v/>
      </c>
      <c r="S212" s="37" t="str">
        <f t="shared" si="85"/>
        <v/>
      </c>
      <c r="T212" s="176" t="str">
        <f>IF(L212="","",VLOOKUP(L212,classifications!C:K,9,FALSE))</f>
        <v/>
      </c>
      <c r="U212" s="183" t="str">
        <f t="shared" si="95"/>
        <v/>
      </c>
      <c r="V212" s="184" t="str">
        <f>IF(U212="","",IF($I$8="A",(RANK(U212,U$11:U$368)+COUNTIF(U$11:U212,U212)-1),(RANK(U212,U$11:U$368,1)+COUNTIF(U$11:U212,U212)-1)))</f>
        <v/>
      </c>
      <c r="W212" s="185"/>
      <c r="X212" s="38" t="str">
        <f>IF(L212="","",VLOOKUP($L212,classifications!$C:$J,6,FALSE))</f>
        <v/>
      </c>
      <c r="Y212" s="26" t="str">
        <f t="shared" si="78"/>
        <v/>
      </c>
      <c r="Z212" s="34" t="str">
        <f>IF(Y212="","",IF(I$8="A",(RANK(Y212,Y$11:Y$368,1)+COUNTIF(Y$11:Y212,Y212)-1),(RANK(Y212,Y$11:Y$368)+COUNTIF(Y$11:Y212,Y212)-1)))</f>
        <v/>
      </c>
      <c r="AA212" s="188" t="str">
        <f>IF(L212="","",VLOOKUP($L212,classifications!C:I,7,FALSE))</f>
        <v/>
      </c>
      <c r="AB212" s="184" t="str">
        <f t="shared" si="86"/>
        <v/>
      </c>
      <c r="AC212" s="184" t="str">
        <f>IF(AB212="","",IF($I$8="A",(RANK(AB212,AB$11:AB$368)+COUNTIF(AB$11:AB212,AB212)-1),(RANK(AB212,AB$11:AB$368,1)+COUNTIF(AB$11:AB212,AB212)-1)))</f>
        <v/>
      </c>
      <c r="AD212" s="184"/>
      <c r="AE212" s="28" t="str">
        <f t="shared" si="72"/>
        <v/>
      </c>
      <c r="AG212" s="96"/>
      <c r="AH212" s="29"/>
      <c r="AI212" s="38" t="str">
        <f>IF(L212="","",VLOOKUP($L212,classifications!$C:$J,8,FALSE))</f>
        <v/>
      </c>
      <c r="AJ212" s="39" t="str">
        <f t="shared" si="79"/>
        <v/>
      </c>
      <c r="AK212" s="34" t="str">
        <f>IF(AJ212="","",IF(I$8="A",(RANK(AJ212,AJ$11:AJ$368,1)+COUNTIF(AJ$11:AJ212,AJ212)-1),(RANK(AJ212,AJ$11:AJ$368)+COUNTIF(AJ$11:AJ212,AJ212)-1)))</f>
        <v/>
      </c>
      <c r="AL212" s="29" t="str">
        <f t="shared" si="87"/>
        <v/>
      </c>
      <c r="AM212" s="8" t="str">
        <f t="shared" si="80"/>
        <v/>
      </c>
      <c r="AN212" s="8" t="str">
        <f t="shared" si="88"/>
        <v/>
      </c>
      <c r="AP212" s="38" t="str">
        <f>IF(L212="","",VLOOKUP($L212,classifications!$C:$E,3,FALSE))</f>
        <v/>
      </c>
      <c r="AQ212" s="39" t="str">
        <f t="shared" si="89"/>
        <v/>
      </c>
      <c r="AR212" s="34" t="str">
        <f>IF(AQ212="","",IF(I$8="A",(RANK(AQ212,AQ$11:AQ$368,1)+COUNTIF(AQ$11:AQ212,AQ212)-1),(RANK(AQ212,AQ$11:AQ$368)+COUNTIF(AQ$11:AQ212,AQ212)-1)))</f>
        <v/>
      </c>
      <c r="AS212" s="29" t="str">
        <f t="shared" si="90"/>
        <v/>
      </c>
      <c r="AT212" s="34" t="str">
        <f t="shared" si="81"/>
        <v/>
      </c>
      <c r="AU212" s="39" t="str">
        <f t="shared" si="94"/>
        <v/>
      </c>
      <c r="AX212" s="21">
        <f>HLOOKUP($AX$9&amp;$AX$10,Data!$A$1:$ZZ$2000,(MATCH($C212,Data!$A$1:$A$2000,0)),FALSE)</f>
        <v>73.478392918246342</v>
      </c>
      <c r="AY212" s="103"/>
      <c r="AZ212" s="21"/>
    </row>
    <row r="213" spans="1:52">
      <c r="A213" s="56" t="str">
        <f>$D$1&amp;203</f>
        <v>SD203</v>
      </c>
      <c r="B213" s="57">
        <f>IF(ISERROR(VLOOKUP(A213,classifications!A:C,3,FALSE)),0,VLOOKUP(A213,classifications!A:C,3,FALSE))</f>
        <v>0</v>
      </c>
      <c r="C213" s="8" t="s">
        <v>113</v>
      </c>
      <c r="D213" s="26" t="str">
        <f>VLOOKUP($C213,classifications!$C:$J,4,FALSE)</f>
        <v>SD</v>
      </c>
      <c r="E213" s="26" t="str">
        <f>VLOOKUP(C213,classifications!C:K,9,FALSE)</f>
        <v>Sparse</v>
      </c>
      <c r="F213" s="36">
        <f t="shared" si="73"/>
        <v>81.243010989059002</v>
      </c>
      <c r="G213" s="71"/>
      <c r="H213" s="37">
        <f t="shared" si="74"/>
        <v>81.243010989059002</v>
      </c>
      <c r="I213" s="77">
        <f>IF(H213="","",IF($I$8="A",(RANK(H213,H$11:H$368,1)+COUNTIF(H$11:H213,H213)-1),(RANK(H213,H$11:H$368)+COUNTIF(H$11:H213,H213)-1)))</f>
        <v>92</v>
      </c>
      <c r="J213" s="35"/>
      <c r="K213" s="28" t="str">
        <f t="shared" si="82"/>
        <v/>
      </c>
      <c r="L213" s="36" t="str">
        <f t="shared" si="75"/>
        <v/>
      </c>
      <c r="M213" s="102" t="str">
        <f t="shared" si="83"/>
        <v/>
      </c>
      <c r="N213" s="101" t="str">
        <f t="shared" si="84"/>
        <v/>
      </c>
      <c r="O213" s="94" t="str">
        <f t="shared" si="76"/>
        <v/>
      </c>
      <c r="P213" s="94" t="str">
        <f t="shared" si="91"/>
        <v/>
      </c>
      <c r="Q213" s="94" t="str">
        <f t="shared" si="92"/>
        <v/>
      </c>
      <c r="R213" s="90" t="str">
        <f t="shared" si="93"/>
        <v/>
      </c>
      <c r="S213" s="37" t="str">
        <f t="shared" si="85"/>
        <v/>
      </c>
      <c r="T213" s="176" t="str">
        <f>IF(L213="","",VLOOKUP(L213,classifications!C:K,9,FALSE))</f>
        <v/>
      </c>
      <c r="U213" s="183" t="str">
        <f t="shared" si="95"/>
        <v/>
      </c>
      <c r="V213" s="184" t="str">
        <f>IF(U213="","",IF($I$8="A",(RANK(U213,U$11:U$368)+COUNTIF(U$11:U213,U213)-1),(RANK(U213,U$11:U$368,1)+COUNTIF(U$11:U213,U213)-1)))</f>
        <v/>
      </c>
      <c r="W213" s="185"/>
      <c r="X213" s="38" t="str">
        <f>IF(L213="","",VLOOKUP($L213,classifications!$C:$J,6,FALSE))</f>
        <v/>
      </c>
      <c r="Y213" s="26" t="str">
        <f t="shared" si="78"/>
        <v/>
      </c>
      <c r="Z213" s="34" t="str">
        <f>IF(Y213="","",IF(I$8="A",(RANK(Y213,Y$11:Y$368,1)+COUNTIF(Y$11:Y213,Y213)-1),(RANK(Y213,Y$11:Y$368)+COUNTIF(Y$11:Y213,Y213)-1)))</f>
        <v/>
      </c>
      <c r="AA213" s="188" t="str">
        <f>IF(L213="","",VLOOKUP($L213,classifications!C:I,7,FALSE))</f>
        <v/>
      </c>
      <c r="AB213" s="184" t="str">
        <f t="shared" si="86"/>
        <v/>
      </c>
      <c r="AC213" s="184" t="str">
        <f>IF(AB213="","",IF($I$8="A",(RANK(AB213,AB$11:AB$368)+COUNTIF(AB$11:AB213,AB213)-1),(RANK(AB213,AB$11:AB$368,1)+COUNTIF(AB$11:AB213,AB213)-1)))</f>
        <v/>
      </c>
      <c r="AD213" s="184"/>
      <c r="AE213" s="28" t="str">
        <f t="shared" si="72"/>
        <v/>
      </c>
      <c r="AG213" s="96"/>
      <c r="AH213" s="29"/>
      <c r="AI213" s="38" t="str">
        <f>IF(L213="","",VLOOKUP($L213,classifications!$C:$J,8,FALSE))</f>
        <v/>
      </c>
      <c r="AJ213" s="39" t="str">
        <f t="shared" si="79"/>
        <v/>
      </c>
      <c r="AK213" s="34" t="str">
        <f>IF(AJ213="","",IF(I$8="A",(RANK(AJ213,AJ$11:AJ$368,1)+COUNTIF(AJ$11:AJ213,AJ213)-1),(RANK(AJ213,AJ$11:AJ$368)+COUNTIF(AJ$11:AJ213,AJ213)-1)))</f>
        <v/>
      </c>
      <c r="AL213" s="29" t="str">
        <f t="shared" si="87"/>
        <v/>
      </c>
      <c r="AM213" s="8" t="str">
        <f t="shared" si="80"/>
        <v/>
      </c>
      <c r="AN213" s="8" t="str">
        <f t="shared" si="88"/>
        <v/>
      </c>
      <c r="AP213" s="38" t="str">
        <f>IF(L213="","",VLOOKUP($L213,classifications!$C:$E,3,FALSE))</f>
        <v/>
      </c>
      <c r="AQ213" s="39" t="str">
        <f t="shared" si="89"/>
        <v/>
      </c>
      <c r="AR213" s="34" t="str">
        <f>IF(AQ213="","",IF(I$8="A",(RANK(AQ213,AQ$11:AQ$368,1)+COUNTIF(AQ$11:AQ213,AQ213)-1),(RANK(AQ213,AQ$11:AQ$368)+COUNTIF(AQ$11:AQ213,AQ213)-1)))</f>
        <v/>
      </c>
      <c r="AS213" s="29" t="str">
        <f t="shared" si="90"/>
        <v/>
      </c>
      <c r="AT213" s="34" t="str">
        <f t="shared" si="81"/>
        <v/>
      </c>
      <c r="AU213" s="39" t="str">
        <f t="shared" si="94"/>
        <v/>
      </c>
      <c r="AX213" s="21">
        <f>HLOOKUP($AX$9&amp;$AX$10,Data!$A$1:$ZZ$2000,(MATCH($C213,Data!$A$1:$A$2000,0)),FALSE)</f>
        <v>81.243010989059002</v>
      </c>
      <c r="AY213" s="103"/>
      <c r="AZ213" s="21"/>
    </row>
    <row r="214" spans="1:52">
      <c r="A214" s="56" t="str">
        <f>$D$1&amp;204</f>
        <v>SD204</v>
      </c>
      <c r="B214" s="57">
        <f>IF(ISERROR(VLOOKUP(A214,classifications!A:C,3,FALSE)),0,VLOOKUP(A214,classifications!A:C,3,FALSE))</f>
        <v>0</v>
      </c>
      <c r="C214" s="8" t="s">
        <v>278</v>
      </c>
      <c r="D214" s="26" t="str">
        <f>VLOOKUP($C214,classifications!$C:$J,4,FALSE)</f>
        <v>UA</v>
      </c>
      <c r="E214" s="26" t="str">
        <f>VLOOKUP(C214,classifications!C:K,9,FALSE)</f>
        <v>Sparse</v>
      </c>
      <c r="F214" s="36">
        <f t="shared" si="73"/>
        <v>82.959586340521483</v>
      </c>
      <c r="G214" s="71"/>
      <c r="H214" s="37" t="str">
        <f t="shared" si="74"/>
        <v/>
      </c>
      <c r="I214" s="77" t="str">
        <f>IF(H214="","",IF($I$8="A",(RANK(H214,H$11:H$368,1)+COUNTIF(H$11:H214,H214)-1),(RANK(H214,H$11:H$368)+COUNTIF(H$11:H214,H214)-1)))</f>
        <v/>
      </c>
      <c r="J214" s="35"/>
      <c r="K214" s="28" t="str">
        <f t="shared" si="82"/>
        <v/>
      </c>
      <c r="L214" s="36" t="str">
        <f t="shared" si="75"/>
        <v/>
      </c>
      <c r="M214" s="102" t="str">
        <f t="shared" si="83"/>
        <v/>
      </c>
      <c r="N214" s="101" t="str">
        <f t="shared" si="84"/>
        <v/>
      </c>
      <c r="O214" s="94" t="str">
        <f t="shared" si="76"/>
        <v/>
      </c>
      <c r="P214" s="94" t="str">
        <f t="shared" si="91"/>
        <v/>
      </c>
      <c r="Q214" s="94" t="str">
        <f t="shared" si="92"/>
        <v/>
      </c>
      <c r="R214" s="90" t="str">
        <f t="shared" si="93"/>
        <v/>
      </c>
      <c r="S214" s="37" t="str">
        <f t="shared" si="85"/>
        <v/>
      </c>
      <c r="T214" s="176" t="str">
        <f>IF(L214="","",VLOOKUP(L214,classifications!C:K,9,FALSE))</f>
        <v/>
      </c>
      <c r="U214" s="183" t="str">
        <f t="shared" si="95"/>
        <v/>
      </c>
      <c r="V214" s="184" t="str">
        <f>IF(U214="","",IF($I$8="A",(RANK(U214,U$11:U$368)+COUNTIF(U$11:U214,U214)-1),(RANK(U214,U$11:U$368,1)+COUNTIF(U$11:U214,U214)-1)))</f>
        <v/>
      </c>
      <c r="W214" s="185"/>
      <c r="X214" s="38" t="str">
        <f>IF(L214="","",VLOOKUP($L214,classifications!$C:$J,6,FALSE))</f>
        <v/>
      </c>
      <c r="Y214" s="26" t="str">
        <f t="shared" si="78"/>
        <v/>
      </c>
      <c r="Z214" s="34" t="str">
        <f>IF(Y214="","",IF(I$8="A",(RANK(Y214,Y$11:Y$368,1)+COUNTIF(Y$11:Y214,Y214)-1),(RANK(Y214,Y$11:Y$368)+COUNTIF(Y$11:Y214,Y214)-1)))</f>
        <v/>
      </c>
      <c r="AA214" s="188" t="str">
        <f>IF(L214="","",VLOOKUP($L214,classifications!C:I,7,FALSE))</f>
        <v/>
      </c>
      <c r="AB214" s="184" t="str">
        <f t="shared" si="86"/>
        <v/>
      </c>
      <c r="AC214" s="184" t="str">
        <f>IF(AB214="","",IF($I$8="A",(RANK(AB214,AB$11:AB$368)+COUNTIF(AB$11:AB214,AB214)-1),(RANK(AB214,AB$11:AB$368,1)+COUNTIF(AB$11:AB214,AB214)-1)))</f>
        <v/>
      </c>
      <c r="AD214" s="184"/>
      <c r="AE214" s="28" t="str">
        <f t="shared" si="72"/>
        <v/>
      </c>
      <c r="AG214" s="96"/>
      <c r="AH214" s="29"/>
      <c r="AI214" s="38" t="str">
        <f>IF(L214="","",VLOOKUP($L214,classifications!$C:$J,8,FALSE))</f>
        <v/>
      </c>
      <c r="AJ214" s="39" t="str">
        <f t="shared" si="79"/>
        <v/>
      </c>
      <c r="AK214" s="34" t="str">
        <f>IF(AJ214="","",IF(I$8="A",(RANK(AJ214,AJ$11:AJ$368,1)+COUNTIF(AJ$11:AJ214,AJ214)-1),(RANK(AJ214,AJ$11:AJ$368)+COUNTIF(AJ$11:AJ214,AJ214)-1)))</f>
        <v/>
      </c>
      <c r="AL214" s="29" t="str">
        <f t="shared" si="87"/>
        <v/>
      </c>
      <c r="AM214" s="8" t="str">
        <f t="shared" si="80"/>
        <v/>
      </c>
      <c r="AN214" s="8" t="str">
        <f t="shared" si="88"/>
        <v/>
      </c>
      <c r="AP214" s="38" t="str">
        <f>IF(L214="","",VLOOKUP($L214,classifications!$C:$E,3,FALSE))</f>
        <v/>
      </c>
      <c r="AQ214" s="39" t="str">
        <f t="shared" si="89"/>
        <v/>
      </c>
      <c r="AR214" s="34" t="str">
        <f>IF(AQ214="","",IF(I$8="A",(RANK(AQ214,AQ$11:AQ$368,1)+COUNTIF(AQ$11:AQ214,AQ214)-1),(RANK(AQ214,AQ$11:AQ$368)+COUNTIF(AQ$11:AQ214,AQ214)-1)))</f>
        <v/>
      </c>
      <c r="AS214" s="29" t="str">
        <f t="shared" si="90"/>
        <v/>
      </c>
      <c r="AT214" s="34" t="str">
        <f t="shared" si="81"/>
        <v/>
      </c>
      <c r="AU214" s="39" t="str">
        <f t="shared" si="94"/>
        <v/>
      </c>
      <c r="AX214" s="21">
        <f>HLOOKUP($AX$9&amp;$AX$10,Data!$A$1:$ZZ$2000,(MATCH($C214,Data!$A$1:$A$2000,0)),FALSE)</f>
        <v>82.959586340521483</v>
      </c>
      <c r="AY214" s="103"/>
      <c r="AZ214" s="21"/>
    </row>
    <row r="215" spans="1:52">
      <c r="A215" s="56" t="str">
        <f>$D$1&amp;205</f>
        <v>SD205</v>
      </c>
      <c r="B215" s="57">
        <f>IF(ISERROR(VLOOKUP(A215,classifications!A:C,3,FALSE)),0,VLOOKUP(A215,classifications!A:C,3,FALSE))</f>
        <v>0</v>
      </c>
      <c r="C215" s="8" t="s">
        <v>238</v>
      </c>
      <c r="D215" s="26" t="str">
        <f>VLOOKUP($C215,classifications!$C:$J,4,FALSE)</f>
        <v>MD</v>
      </c>
      <c r="E215" s="26">
        <f>VLOOKUP(C215,classifications!C:K,9,FALSE)</f>
        <v>0</v>
      </c>
      <c r="F215" s="36">
        <f t="shared" si="73"/>
        <v>75.959211830018276</v>
      </c>
      <c r="G215" s="71"/>
      <c r="H215" s="37" t="str">
        <f t="shared" si="74"/>
        <v/>
      </c>
      <c r="I215" s="77" t="str">
        <f>IF(H215="","",IF($I$8="A",(RANK(H215,H$11:H$368,1)+COUNTIF(H$11:H215,H215)-1),(RANK(H215,H$11:H$368)+COUNTIF(H$11:H215,H215)-1)))</f>
        <v/>
      </c>
      <c r="J215" s="35"/>
      <c r="K215" s="28" t="str">
        <f t="shared" si="82"/>
        <v/>
      </c>
      <c r="L215" s="36" t="str">
        <f t="shared" si="75"/>
        <v/>
      </c>
      <c r="M215" s="102" t="str">
        <f t="shared" si="83"/>
        <v/>
      </c>
      <c r="N215" s="101" t="str">
        <f t="shared" si="84"/>
        <v/>
      </c>
      <c r="O215" s="94" t="str">
        <f t="shared" si="76"/>
        <v/>
      </c>
      <c r="P215" s="94" t="str">
        <f t="shared" si="91"/>
        <v/>
      </c>
      <c r="Q215" s="94" t="str">
        <f t="shared" si="92"/>
        <v/>
      </c>
      <c r="R215" s="90" t="str">
        <f t="shared" si="93"/>
        <v/>
      </c>
      <c r="S215" s="37" t="str">
        <f t="shared" si="85"/>
        <v/>
      </c>
      <c r="T215" s="176" t="str">
        <f>IF(L215="","",VLOOKUP(L215,classifications!C:K,9,FALSE))</f>
        <v/>
      </c>
      <c r="U215" s="183" t="str">
        <f t="shared" si="95"/>
        <v/>
      </c>
      <c r="V215" s="184" t="str">
        <f>IF(U215="","",IF($I$8="A",(RANK(U215,U$11:U$368)+COUNTIF(U$11:U215,U215)-1),(RANK(U215,U$11:U$368,1)+COUNTIF(U$11:U215,U215)-1)))</f>
        <v/>
      </c>
      <c r="W215" s="185"/>
      <c r="X215" s="38" t="str">
        <f>IF(L215="","",VLOOKUP($L215,classifications!$C:$J,6,FALSE))</f>
        <v/>
      </c>
      <c r="Y215" s="26" t="str">
        <f t="shared" si="78"/>
        <v/>
      </c>
      <c r="Z215" s="34" t="str">
        <f>IF(Y215="","",IF(I$8="A",(RANK(Y215,Y$11:Y$368,1)+COUNTIF(Y$11:Y215,Y215)-1),(RANK(Y215,Y$11:Y$368)+COUNTIF(Y$11:Y215,Y215)-1)))</f>
        <v/>
      </c>
      <c r="AA215" s="188" t="str">
        <f>IF(L215="","",VLOOKUP($L215,classifications!C:I,7,FALSE))</f>
        <v/>
      </c>
      <c r="AB215" s="184" t="str">
        <f t="shared" si="86"/>
        <v/>
      </c>
      <c r="AC215" s="184" t="str">
        <f>IF(AB215="","",IF($I$8="A",(RANK(AB215,AB$11:AB$368)+COUNTIF(AB$11:AB215,AB215)-1),(RANK(AB215,AB$11:AB$368,1)+COUNTIF(AB$11:AB215,AB215)-1)))</f>
        <v/>
      </c>
      <c r="AD215" s="184"/>
      <c r="AE215" s="28" t="str">
        <f t="shared" si="72"/>
        <v/>
      </c>
      <c r="AG215" s="96"/>
      <c r="AH215" s="29"/>
      <c r="AI215" s="38" t="str">
        <f>IF(L215="","",VLOOKUP($L215,classifications!$C:$J,8,FALSE))</f>
        <v/>
      </c>
      <c r="AJ215" s="39" t="str">
        <f t="shared" si="79"/>
        <v/>
      </c>
      <c r="AK215" s="34" t="str">
        <f>IF(AJ215="","",IF(I$8="A",(RANK(AJ215,AJ$11:AJ$368,1)+COUNTIF(AJ$11:AJ215,AJ215)-1),(RANK(AJ215,AJ$11:AJ$368)+COUNTIF(AJ$11:AJ215,AJ215)-1)))</f>
        <v/>
      </c>
      <c r="AL215" s="29" t="str">
        <f t="shared" si="87"/>
        <v/>
      </c>
      <c r="AM215" s="8" t="str">
        <f t="shared" si="80"/>
        <v/>
      </c>
      <c r="AN215" s="8" t="str">
        <f t="shared" si="88"/>
        <v/>
      </c>
      <c r="AP215" s="38" t="str">
        <f>IF(L215="","",VLOOKUP($L215,classifications!$C:$E,3,FALSE))</f>
        <v/>
      </c>
      <c r="AQ215" s="39" t="str">
        <f t="shared" si="89"/>
        <v/>
      </c>
      <c r="AR215" s="34" t="str">
        <f>IF(AQ215="","",IF(I$8="A",(RANK(AQ215,AQ$11:AQ$368,1)+COUNTIF(AQ$11:AQ215,AQ215)-1),(RANK(AQ215,AQ$11:AQ$368)+COUNTIF(AQ$11:AQ215,AQ215)-1)))</f>
        <v/>
      </c>
      <c r="AS215" s="29" t="str">
        <f t="shared" si="90"/>
        <v/>
      </c>
      <c r="AT215" s="34" t="str">
        <f t="shared" si="81"/>
        <v/>
      </c>
      <c r="AU215" s="39" t="str">
        <f t="shared" si="94"/>
        <v/>
      </c>
      <c r="AX215" s="21">
        <f>HLOOKUP($AX$9&amp;$AX$10,Data!$A$1:$ZZ$2000,(MATCH($C215,Data!$A$1:$A$2000,0)),FALSE)</f>
        <v>75.959211830018276</v>
      </c>
      <c r="AY215" s="103"/>
      <c r="AZ215" s="21"/>
    </row>
    <row r="216" spans="1:52">
      <c r="A216" s="56" t="str">
        <f>$D$1&amp;206</f>
        <v>SD206</v>
      </c>
      <c r="B216" s="57">
        <f>IF(ISERROR(VLOOKUP(A216,classifications!A:C,3,FALSE)),0,VLOOKUP(A216,classifications!A:C,3,FALSE))</f>
        <v>0</v>
      </c>
      <c r="C216" s="8" t="s">
        <v>114</v>
      </c>
      <c r="D216" s="26" t="str">
        <f>VLOOKUP($C216,classifications!$C:$J,4,FALSE)</f>
        <v>SD</v>
      </c>
      <c r="E216" s="26">
        <f>VLOOKUP(C216,classifications!C:K,9,FALSE)</f>
        <v>0</v>
      </c>
      <c r="F216" s="36">
        <f t="shared" si="73"/>
        <v>76.533598646171697</v>
      </c>
      <c r="G216" s="71"/>
      <c r="H216" s="37">
        <f t="shared" si="74"/>
        <v>76.533598646171697</v>
      </c>
      <c r="I216" s="77">
        <f>IF(H216="","",IF($I$8="A",(RANK(H216,H$11:H$368,1)+COUNTIF(H$11:H216,H216)-1),(RANK(H216,H$11:H$368)+COUNTIF(H$11:H216,H216)-1)))</f>
        <v>162</v>
      </c>
      <c r="J216" s="35"/>
      <c r="K216" s="28" t="str">
        <f t="shared" si="82"/>
        <v/>
      </c>
      <c r="L216" s="36" t="str">
        <f t="shared" si="75"/>
        <v/>
      </c>
      <c r="M216" s="102" t="str">
        <f t="shared" si="83"/>
        <v/>
      </c>
      <c r="N216" s="101" t="str">
        <f t="shared" si="84"/>
        <v/>
      </c>
      <c r="O216" s="94" t="str">
        <f t="shared" si="76"/>
        <v/>
      </c>
      <c r="P216" s="94" t="str">
        <f t="shared" si="91"/>
        <v/>
      </c>
      <c r="Q216" s="94" t="str">
        <f t="shared" si="92"/>
        <v/>
      </c>
      <c r="R216" s="90" t="str">
        <f t="shared" si="93"/>
        <v/>
      </c>
      <c r="S216" s="37" t="str">
        <f t="shared" si="85"/>
        <v/>
      </c>
      <c r="T216" s="176" t="str">
        <f>IF(L216="","",VLOOKUP(L216,classifications!C:K,9,FALSE))</f>
        <v/>
      </c>
      <c r="U216" s="183" t="str">
        <f t="shared" si="95"/>
        <v/>
      </c>
      <c r="V216" s="184" t="str">
        <f>IF(U216="","",IF($I$8="A",(RANK(U216,U$11:U$368)+COUNTIF(U$11:U216,U216)-1),(RANK(U216,U$11:U$368,1)+COUNTIF(U$11:U216,U216)-1)))</f>
        <v/>
      </c>
      <c r="W216" s="185"/>
      <c r="X216" s="38" t="str">
        <f>IF(L216="","",VLOOKUP($L216,classifications!$C:$J,6,FALSE))</f>
        <v/>
      </c>
      <c r="Y216" s="26" t="str">
        <f t="shared" si="78"/>
        <v/>
      </c>
      <c r="Z216" s="34" t="str">
        <f>IF(Y216="","",IF(I$8="A",(RANK(Y216,Y$11:Y$368,1)+COUNTIF(Y$11:Y216,Y216)-1),(RANK(Y216,Y$11:Y$368)+COUNTIF(Y$11:Y216,Y216)-1)))</f>
        <v/>
      </c>
      <c r="AA216" s="188" t="str">
        <f>IF(L216="","",VLOOKUP($L216,classifications!C:I,7,FALSE))</f>
        <v/>
      </c>
      <c r="AB216" s="184" t="str">
        <f t="shared" si="86"/>
        <v/>
      </c>
      <c r="AC216" s="184" t="str">
        <f>IF(AB216="","",IF($I$8="A",(RANK(AB216,AB$11:AB$368)+COUNTIF(AB$11:AB216,AB216)-1),(RANK(AB216,AB$11:AB$368,1)+COUNTIF(AB$11:AB216,AB216)-1)))</f>
        <v/>
      </c>
      <c r="AD216" s="184"/>
      <c r="AE216" s="28" t="str">
        <f t="shared" si="72"/>
        <v/>
      </c>
      <c r="AG216" s="96"/>
      <c r="AH216" s="29"/>
      <c r="AI216" s="38" t="str">
        <f>IF(L216="","",VLOOKUP($L216,classifications!$C:$J,8,FALSE))</f>
        <v/>
      </c>
      <c r="AJ216" s="39" t="str">
        <f t="shared" si="79"/>
        <v/>
      </c>
      <c r="AK216" s="34" t="str">
        <f>IF(AJ216="","",IF(I$8="A",(RANK(AJ216,AJ$11:AJ$368,1)+COUNTIF(AJ$11:AJ216,AJ216)-1),(RANK(AJ216,AJ$11:AJ$368)+COUNTIF(AJ$11:AJ216,AJ216)-1)))</f>
        <v/>
      </c>
      <c r="AL216" s="29" t="str">
        <f t="shared" si="87"/>
        <v/>
      </c>
      <c r="AM216" s="8" t="str">
        <f t="shared" si="80"/>
        <v/>
      </c>
      <c r="AN216" s="8" t="str">
        <f t="shared" si="88"/>
        <v/>
      </c>
      <c r="AP216" s="38" t="str">
        <f>IF(L216="","",VLOOKUP($L216,classifications!$C:$E,3,FALSE))</f>
        <v/>
      </c>
      <c r="AQ216" s="39" t="str">
        <f t="shared" si="89"/>
        <v/>
      </c>
      <c r="AR216" s="34" t="str">
        <f>IF(AQ216="","",IF(I$8="A",(RANK(AQ216,AQ$11:AQ$368,1)+COUNTIF(AQ$11:AQ216,AQ216)-1),(RANK(AQ216,AQ$11:AQ$368)+COUNTIF(AQ$11:AQ216,AQ216)-1)))</f>
        <v/>
      </c>
      <c r="AS216" s="29" t="str">
        <f t="shared" si="90"/>
        <v/>
      </c>
      <c r="AT216" s="34" t="str">
        <f t="shared" si="81"/>
        <v/>
      </c>
      <c r="AU216" s="39" t="str">
        <f t="shared" si="94"/>
        <v/>
      </c>
      <c r="AX216" s="21">
        <f>HLOOKUP($AX$9&amp;$AX$10,Data!$A$1:$ZZ$2000,(MATCH($C216,Data!$A$1:$A$2000,0)),FALSE)</f>
        <v>76.533598646171697</v>
      </c>
      <c r="AY216" s="103"/>
      <c r="AZ216" s="21"/>
    </row>
    <row r="217" spans="1:52">
      <c r="A217" s="56" t="str">
        <f>$D$1&amp;207</f>
        <v>SD207</v>
      </c>
      <c r="B217" s="57">
        <f>IF(ISERROR(VLOOKUP(A217,classifications!A:C,3,FALSE)),0,VLOOKUP(A217,classifications!A:C,3,FALSE))</f>
        <v>0</v>
      </c>
      <c r="C217" s="8" t="s">
        <v>115</v>
      </c>
      <c r="D217" s="26" t="str">
        <f>VLOOKUP($C217,classifications!$C:$J,4,FALSE)</f>
        <v>SD</v>
      </c>
      <c r="E217" s="26" t="str">
        <f>VLOOKUP(C217,classifications!C:K,9,FALSE)</f>
        <v>Sparse</v>
      </c>
      <c r="F217" s="36">
        <f t="shared" si="73"/>
        <v>81.080410908300962</v>
      </c>
      <c r="G217" s="71"/>
      <c r="H217" s="37">
        <f t="shared" si="74"/>
        <v>81.080410908300962</v>
      </c>
      <c r="I217" s="77">
        <f>IF(H217="","",IF($I$8="A",(RANK(H217,H$11:H$368,1)+COUNTIF(H$11:H217,H217)-1),(RANK(H217,H$11:H$368)+COUNTIF(H$11:H217,H217)-1)))</f>
        <v>95</v>
      </c>
      <c r="J217" s="35"/>
      <c r="K217" s="28" t="str">
        <f t="shared" si="82"/>
        <v/>
      </c>
      <c r="L217" s="36" t="str">
        <f t="shared" si="75"/>
        <v/>
      </c>
      <c r="M217" s="102" t="str">
        <f t="shared" si="83"/>
        <v/>
      </c>
      <c r="N217" s="101" t="str">
        <f t="shared" si="84"/>
        <v/>
      </c>
      <c r="O217" s="94" t="str">
        <f t="shared" si="76"/>
        <v/>
      </c>
      <c r="P217" s="94" t="str">
        <f t="shared" si="91"/>
        <v/>
      </c>
      <c r="Q217" s="94" t="str">
        <f t="shared" si="92"/>
        <v/>
      </c>
      <c r="R217" s="90" t="str">
        <f t="shared" si="93"/>
        <v/>
      </c>
      <c r="S217" s="37" t="str">
        <f t="shared" si="85"/>
        <v/>
      </c>
      <c r="T217" s="176" t="str">
        <f>IF(L217="","",VLOOKUP(L217,classifications!C:K,9,FALSE))</f>
        <v/>
      </c>
      <c r="U217" s="183" t="str">
        <f t="shared" si="95"/>
        <v/>
      </c>
      <c r="V217" s="184" t="str">
        <f>IF(U217="","",IF($I$8="A",(RANK(U217,U$11:U$368)+COUNTIF(U$11:U217,U217)-1),(RANK(U217,U$11:U$368,1)+COUNTIF(U$11:U217,U217)-1)))</f>
        <v/>
      </c>
      <c r="W217" s="185"/>
      <c r="X217" s="38" t="str">
        <f>IF(L217="","",VLOOKUP($L217,classifications!$C:$J,6,FALSE))</f>
        <v/>
      </c>
      <c r="Y217" s="26" t="str">
        <f t="shared" si="78"/>
        <v/>
      </c>
      <c r="Z217" s="34" t="str">
        <f>IF(Y217="","",IF(I$8="A",(RANK(Y217,Y$11:Y$368,1)+COUNTIF(Y$11:Y217,Y217)-1),(RANK(Y217,Y$11:Y$368)+COUNTIF(Y$11:Y217,Y217)-1)))</f>
        <v/>
      </c>
      <c r="AA217" s="188" t="str">
        <f>IF(L217="","",VLOOKUP($L217,classifications!C:I,7,FALSE))</f>
        <v/>
      </c>
      <c r="AB217" s="184" t="str">
        <f t="shared" si="86"/>
        <v/>
      </c>
      <c r="AC217" s="184" t="str">
        <f>IF(AB217="","",IF($I$8="A",(RANK(AB217,AB$11:AB$368)+COUNTIF(AB$11:AB217,AB217)-1),(RANK(AB217,AB$11:AB$368,1)+COUNTIF(AB$11:AB217,AB217)-1)))</f>
        <v/>
      </c>
      <c r="AD217" s="184"/>
      <c r="AE217" s="28" t="str">
        <f t="shared" si="72"/>
        <v/>
      </c>
      <c r="AG217" s="96"/>
      <c r="AH217" s="29"/>
      <c r="AI217" s="38" t="str">
        <f>IF(L217="","",VLOOKUP($L217,classifications!$C:$J,8,FALSE))</f>
        <v/>
      </c>
      <c r="AJ217" s="39" t="str">
        <f t="shared" si="79"/>
        <v/>
      </c>
      <c r="AK217" s="34" t="str">
        <f>IF(AJ217="","",IF(I$8="A",(RANK(AJ217,AJ$11:AJ$368,1)+COUNTIF(AJ$11:AJ217,AJ217)-1),(RANK(AJ217,AJ$11:AJ$368)+COUNTIF(AJ$11:AJ217,AJ217)-1)))</f>
        <v/>
      </c>
      <c r="AL217" s="29" t="str">
        <f t="shared" si="87"/>
        <v/>
      </c>
      <c r="AM217" s="8" t="str">
        <f t="shared" si="80"/>
        <v/>
      </c>
      <c r="AN217" s="8" t="str">
        <f t="shared" si="88"/>
        <v/>
      </c>
      <c r="AP217" s="38" t="str">
        <f>IF(L217="","",VLOOKUP($L217,classifications!$C:$E,3,FALSE))</f>
        <v/>
      </c>
      <c r="AQ217" s="39" t="str">
        <f t="shared" si="89"/>
        <v/>
      </c>
      <c r="AR217" s="34" t="str">
        <f>IF(AQ217="","",IF(I$8="A",(RANK(AQ217,AQ$11:AQ$368,1)+COUNTIF(AQ$11:AQ217,AQ217)-1),(RANK(AQ217,AQ$11:AQ$368)+COUNTIF(AQ$11:AQ217,AQ217)-1)))</f>
        <v/>
      </c>
      <c r="AS217" s="29" t="str">
        <f t="shared" si="90"/>
        <v/>
      </c>
      <c r="AT217" s="34" t="str">
        <f t="shared" si="81"/>
        <v/>
      </c>
      <c r="AU217" s="39" t="str">
        <f t="shared" si="94"/>
        <v/>
      </c>
      <c r="AX217" s="21">
        <f>HLOOKUP($AX$9&amp;$AX$10,Data!$A$1:$ZZ$2000,(MATCH($C217,Data!$A$1:$A$2000,0)),FALSE)</f>
        <v>81.080410908300962</v>
      </c>
      <c r="AY217" s="103"/>
      <c r="AZ217" s="21"/>
    </row>
    <row r="218" spans="1:52">
      <c r="A218" s="56" t="str">
        <f>$D$1&amp;208</f>
        <v>SD208</v>
      </c>
      <c r="B218" s="57">
        <f>IF(ISERROR(VLOOKUP(A218,classifications!A:C,3,FALSE)),0,VLOOKUP(A218,classifications!A:C,3,FALSE))</f>
        <v>0</v>
      </c>
      <c r="C218" s="8" t="s">
        <v>320</v>
      </c>
      <c r="D218" s="26" t="str">
        <f>VLOOKUP($C218,classifications!$C:$J,4,FALSE)</f>
        <v>SC</v>
      </c>
      <c r="E218" s="26" t="str">
        <f>VLOOKUP(C218,classifications!C:K,9,FALSE)</f>
        <v>Sparse</v>
      </c>
      <c r="F218" s="36">
        <f t="shared" si="73"/>
        <v>82.217799531946795</v>
      </c>
      <c r="G218" s="71"/>
      <c r="H218" s="37" t="str">
        <f t="shared" si="74"/>
        <v/>
      </c>
      <c r="I218" s="77" t="str">
        <f>IF(H218="","",IF($I$8="A",(RANK(H218,H$11:H$368,1)+COUNTIF(H$11:H218,H218)-1),(RANK(H218,H$11:H$368)+COUNTIF(H$11:H218,H218)-1)))</f>
        <v/>
      </c>
      <c r="J218" s="35"/>
      <c r="K218" s="28" t="str">
        <f t="shared" si="82"/>
        <v/>
      </c>
      <c r="L218" s="36" t="str">
        <f t="shared" si="75"/>
        <v/>
      </c>
      <c r="M218" s="102" t="str">
        <f t="shared" si="83"/>
        <v/>
      </c>
      <c r="N218" s="101" t="str">
        <f t="shared" si="84"/>
        <v/>
      </c>
      <c r="O218" s="94" t="str">
        <f t="shared" si="76"/>
        <v/>
      </c>
      <c r="P218" s="94" t="str">
        <f t="shared" si="91"/>
        <v/>
      </c>
      <c r="Q218" s="94" t="str">
        <f t="shared" si="92"/>
        <v/>
      </c>
      <c r="R218" s="90" t="str">
        <f t="shared" si="93"/>
        <v/>
      </c>
      <c r="S218" s="37" t="str">
        <f t="shared" si="85"/>
        <v/>
      </c>
      <c r="T218" s="176" t="str">
        <f>IF(L218="","",VLOOKUP(L218,classifications!C:K,9,FALSE))</f>
        <v/>
      </c>
      <c r="U218" s="183" t="str">
        <f t="shared" si="95"/>
        <v/>
      </c>
      <c r="V218" s="184" t="str">
        <f>IF(U218="","",IF($I$8="A",(RANK(U218,U$11:U$368)+COUNTIF(U$11:U218,U218)-1),(RANK(U218,U$11:U$368,1)+COUNTIF(U$11:U218,U218)-1)))</f>
        <v/>
      </c>
      <c r="W218" s="185"/>
      <c r="X218" s="38" t="str">
        <f>IF(L218="","",VLOOKUP($L218,classifications!$C:$J,6,FALSE))</f>
        <v/>
      </c>
      <c r="Y218" s="26" t="str">
        <f t="shared" si="78"/>
        <v/>
      </c>
      <c r="Z218" s="34" t="str">
        <f>IF(Y218="","",IF(I$8="A",(RANK(Y218,Y$11:Y$368,1)+COUNTIF(Y$11:Y218,Y218)-1),(RANK(Y218,Y$11:Y$368)+COUNTIF(Y$11:Y218,Y218)-1)))</f>
        <v/>
      </c>
      <c r="AA218" s="188" t="str">
        <f>IF(L218="","",VLOOKUP($L218,classifications!C:I,7,FALSE))</f>
        <v/>
      </c>
      <c r="AB218" s="184" t="str">
        <f t="shared" si="86"/>
        <v/>
      </c>
      <c r="AC218" s="184" t="str">
        <f>IF(AB218="","",IF($I$8="A",(RANK(AB218,AB$11:AB$368)+COUNTIF(AB$11:AB218,AB218)-1),(RANK(AB218,AB$11:AB$368,1)+COUNTIF(AB$11:AB218,AB218)-1)))</f>
        <v/>
      </c>
      <c r="AD218" s="184"/>
      <c r="AE218" s="28" t="str">
        <f t="shared" si="72"/>
        <v/>
      </c>
      <c r="AG218" s="96"/>
      <c r="AH218" s="29"/>
      <c r="AI218" s="38" t="str">
        <f>IF(L218="","",VLOOKUP($L218,classifications!$C:$J,8,FALSE))</f>
        <v/>
      </c>
      <c r="AJ218" s="39" t="str">
        <f t="shared" si="79"/>
        <v/>
      </c>
      <c r="AK218" s="34" t="str">
        <f>IF(AJ218="","",IF(I$8="A",(RANK(AJ218,AJ$11:AJ$368,1)+COUNTIF(AJ$11:AJ218,AJ218)-1),(RANK(AJ218,AJ$11:AJ$368)+COUNTIF(AJ$11:AJ218,AJ218)-1)))</f>
        <v/>
      </c>
      <c r="AL218" s="29" t="str">
        <f t="shared" si="87"/>
        <v/>
      </c>
      <c r="AM218" s="8" t="str">
        <f t="shared" si="80"/>
        <v/>
      </c>
      <c r="AN218" s="8" t="str">
        <f t="shared" si="88"/>
        <v/>
      </c>
      <c r="AP218" s="38" t="str">
        <f>IF(L218="","",VLOOKUP($L218,classifications!$C:$E,3,FALSE))</f>
        <v/>
      </c>
      <c r="AQ218" s="39" t="str">
        <f t="shared" si="89"/>
        <v/>
      </c>
      <c r="AR218" s="34" t="str">
        <f>IF(AQ218="","",IF(I$8="A",(RANK(AQ218,AQ$11:AQ$368,1)+COUNTIF(AQ$11:AQ218,AQ218)-1),(RANK(AQ218,AQ$11:AQ$368)+COUNTIF(AQ$11:AQ218,AQ218)-1)))</f>
        <v/>
      </c>
      <c r="AS218" s="29" t="str">
        <f t="shared" si="90"/>
        <v/>
      </c>
      <c r="AT218" s="34" t="str">
        <f t="shared" si="81"/>
        <v/>
      </c>
      <c r="AU218" s="39" t="str">
        <f t="shared" si="94"/>
        <v/>
      </c>
      <c r="AX218" s="21">
        <f>HLOOKUP($AX$9&amp;$AX$10,Data!$A$1:$ZZ$2000,(MATCH($C218,Data!$A$1:$A$2000,0)),FALSE)</f>
        <v>82.217799531946795</v>
      </c>
      <c r="AY218" s="103"/>
      <c r="AZ218" s="21"/>
    </row>
    <row r="219" spans="1:52">
      <c r="A219" s="56" t="str">
        <f>$D$1&amp;209</f>
        <v>SD209</v>
      </c>
      <c r="B219" s="57">
        <f>IF(ISERROR(VLOOKUP(A219,classifications!A:C,3,FALSE)),0,VLOOKUP(A219,classifications!A:C,3,FALSE))</f>
        <v>0</v>
      </c>
      <c r="C219" s="8" t="s">
        <v>116</v>
      </c>
      <c r="D219" s="26" t="str">
        <f>VLOOKUP($C219,classifications!$C:$J,4,FALSE)</f>
        <v>SD</v>
      </c>
      <c r="E219" s="26">
        <f>VLOOKUP(C219,classifications!C:K,9,FALSE)</f>
        <v>0</v>
      </c>
      <c r="F219" s="36">
        <f t="shared" si="73"/>
        <v>73.836303309698209</v>
      </c>
      <c r="G219" s="71"/>
      <c r="H219" s="37">
        <f t="shared" si="74"/>
        <v>73.836303309698209</v>
      </c>
      <c r="I219" s="77">
        <f>IF(H219="","",IF($I$8="A",(RANK(H219,H$11:H$368,1)+COUNTIF(H$11:H219,H219)-1),(RANK(H219,H$11:H$368)+COUNTIF(H$11:H219,H219)-1)))</f>
        <v>185</v>
      </c>
      <c r="J219" s="35"/>
      <c r="K219" s="28" t="str">
        <f t="shared" si="82"/>
        <v/>
      </c>
      <c r="L219" s="36" t="str">
        <f t="shared" si="75"/>
        <v/>
      </c>
      <c r="M219" s="102" t="str">
        <f t="shared" si="83"/>
        <v/>
      </c>
      <c r="N219" s="101" t="str">
        <f t="shared" si="84"/>
        <v/>
      </c>
      <c r="O219" s="94" t="str">
        <f t="shared" si="76"/>
        <v/>
      </c>
      <c r="P219" s="94" t="str">
        <f t="shared" si="91"/>
        <v/>
      </c>
      <c r="Q219" s="94" t="str">
        <f t="shared" si="92"/>
        <v/>
      </c>
      <c r="R219" s="90" t="str">
        <f t="shared" si="93"/>
        <v/>
      </c>
      <c r="S219" s="37" t="str">
        <f t="shared" si="85"/>
        <v/>
      </c>
      <c r="T219" s="176" t="str">
        <f>IF(L219="","",VLOOKUP(L219,classifications!C:K,9,FALSE))</f>
        <v/>
      </c>
      <c r="U219" s="183" t="str">
        <f t="shared" si="95"/>
        <v/>
      </c>
      <c r="V219" s="184" t="str">
        <f>IF(U219="","",IF($I$8="A",(RANK(U219,U$11:U$368)+COUNTIF(U$11:U219,U219)-1),(RANK(U219,U$11:U$368,1)+COUNTIF(U$11:U219,U219)-1)))</f>
        <v/>
      </c>
      <c r="W219" s="185"/>
      <c r="X219" s="38" t="str">
        <f>IF(L219="","",VLOOKUP($L219,classifications!$C:$J,6,FALSE))</f>
        <v/>
      </c>
      <c r="Y219" s="26" t="str">
        <f t="shared" si="78"/>
        <v/>
      </c>
      <c r="Z219" s="34" t="str">
        <f>IF(Y219="","",IF(I$8="A",(RANK(Y219,Y$11:Y$368,1)+COUNTIF(Y$11:Y219,Y219)-1),(RANK(Y219,Y$11:Y$368)+COUNTIF(Y$11:Y219,Y219)-1)))</f>
        <v/>
      </c>
      <c r="AA219" s="188" t="str">
        <f>IF(L219="","",VLOOKUP($L219,classifications!C:I,7,FALSE))</f>
        <v/>
      </c>
      <c r="AB219" s="184" t="str">
        <f t="shared" si="86"/>
        <v/>
      </c>
      <c r="AC219" s="184" t="str">
        <f>IF(AB219="","",IF($I$8="A",(RANK(AB219,AB$11:AB$368)+COUNTIF(AB$11:AB219,AB219)-1),(RANK(AB219,AB$11:AB$368,1)+COUNTIF(AB$11:AB219,AB219)-1)))</f>
        <v/>
      </c>
      <c r="AD219" s="184"/>
      <c r="AE219" s="28" t="str">
        <f t="shared" si="72"/>
        <v/>
      </c>
      <c r="AG219" s="96"/>
      <c r="AH219" s="29"/>
      <c r="AI219" s="38" t="str">
        <f>IF(L219="","",VLOOKUP($L219,classifications!$C:$J,8,FALSE))</f>
        <v/>
      </c>
      <c r="AJ219" s="39" t="str">
        <f t="shared" si="79"/>
        <v/>
      </c>
      <c r="AK219" s="34" t="str">
        <f>IF(AJ219="","",IF(I$8="A",(RANK(AJ219,AJ$11:AJ$368,1)+COUNTIF(AJ$11:AJ219,AJ219)-1),(RANK(AJ219,AJ$11:AJ$368)+COUNTIF(AJ$11:AJ219,AJ219)-1)))</f>
        <v/>
      </c>
      <c r="AL219" s="29" t="str">
        <f t="shared" si="87"/>
        <v/>
      </c>
      <c r="AM219" s="8" t="str">
        <f t="shared" si="80"/>
        <v/>
      </c>
      <c r="AN219" s="8" t="str">
        <f t="shared" si="88"/>
        <v/>
      </c>
      <c r="AP219" s="38" t="str">
        <f>IF(L219="","",VLOOKUP($L219,classifications!$C:$E,3,FALSE))</f>
        <v/>
      </c>
      <c r="AQ219" s="39" t="str">
        <f t="shared" si="89"/>
        <v/>
      </c>
      <c r="AR219" s="34" t="str">
        <f>IF(AQ219="","",IF(I$8="A",(RANK(AQ219,AQ$11:AQ$368,1)+COUNTIF(AQ$11:AQ219,AQ219)-1),(RANK(AQ219,AQ$11:AQ$368)+COUNTIF(AQ$11:AQ219,AQ219)-1)))</f>
        <v/>
      </c>
      <c r="AS219" s="29" t="str">
        <f t="shared" si="90"/>
        <v/>
      </c>
      <c r="AT219" s="34" t="str">
        <f t="shared" si="81"/>
        <v/>
      </c>
      <c r="AU219" s="39" t="str">
        <f t="shared" si="94"/>
        <v/>
      </c>
      <c r="AX219" s="21">
        <f>HLOOKUP($AX$9&amp;$AX$10,Data!$A$1:$ZZ$2000,(MATCH($C219,Data!$A$1:$A$2000,0)),FALSE)</f>
        <v>73.836303309698209</v>
      </c>
      <c r="AY219" s="103"/>
      <c r="AZ219" s="21"/>
    </row>
    <row r="220" spans="1:52">
      <c r="A220" s="56" t="str">
        <f>$D$1&amp;210</f>
        <v>SD210</v>
      </c>
      <c r="B220" s="57">
        <f>IF(ISERROR(VLOOKUP(A220,classifications!A:C,3,FALSE)),0,VLOOKUP(A220,classifications!A:C,3,FALSE))</f>
        <v>0</v>
      </c>
      <c r="C220" s="8" t="s">
        <v>321</v>
      </c>
      <c r="D220" s="26" t="str">
        <f>VLOOKUP($C220,classifications!$C:$J,4,FALSE)</f>
        <v>SC</v>
      </c>
      <c r="E220" s="26">
        <f>VLOOKUP(C220,classifications!C:K,9,FALSE)</f>
        <v>0</v>
      </c>
      <c r="F220" s="36">
        <f t="shared" si="73"/>
        <v>78.459747653840637</v>
      </c>
      <c r="G220" s="71"/>
      <c r="H220" s="37" t="str">
        <f t="shared" si="74"/>
        <v/>
      </c>
      <c r="I220" s="77" t="str">
        <f>IF(H220="","",IF($I$8="A",(RANK(H220,H$11:H$368,1)+COUNTIF(H$11:H220,H220)-1),(RANK(H220,H$11:H$368)+COUNTIF(H$11:H220,H220)-1)))</f>
        <v/>
      </c>
      <c r="J220" s="35"/>
      <c r="K220" s="28" t="str">
        <f t="shared" si="82"/>
        <v/>
      </c>
      <c r="L220" s="36" t="str">
        <f t="shared" si="75"/>
        <v/>
      </c>
      <c r="M220" s="102" t="str">
        <f t="shared" si="83"/>
        <v/>
      </c>
      <c r="N220" s="101" t="str">
        <f t="shared" si="84"/>
        <v/>
      </c>
      <c r="O220" s="94" t="str">
        <f t="shared" si="76"/>
        <v/>
      </c>
      <c r="P220" s="94" t="str">
        <f t="shared" si="91"/>
        <v/>
      </c>
      <c r="Q220" s="94" t="str">
        <f t="shared" si="92"/>
        <v/>
      </c>
      <c r="R220" s="90" t="str">
        <f t="shared" si="93"/>
        <v/>
      </c>
      <c r="S220" s="37" t="str">
        <f t="shared" si="85"/>
        <v/>
      </c>
      <c r="T220" s="176" t="str">
        <f>IF(L220="","",VLOOKUP(L220,classifications!C:K,9,FALSE))</f>
        <v/>
      </c>
      <c r="U220" s="183" t="str">
        <f t="shared" si="95"/>
        <v/>
      </c>
      <c r="V220" s="184" t="str">
        <f>IF(U220="","",IF($I$8="A",(RANK(U220,U$11:U$368)+COUNTIF(U$11:U220,U220)-1),(RANK(U220,U$11:U$368,1)+COUNTIF(U$11:U220,U220)-1)))</f>
        <v/>
      </c>
      <c r="W220" s="185"/>
      <c r="X220" s="38" t="str">
        <f>IF(L220="","",VLOOKUP($L220,classifications!$C:$J,6,FALSE))</f>
        <v/>
      </c>
      <c r="Y220" s="26" t="str">
        <f t="shared" si="78"/>
        <v/>
      </c>
      <c r="Z220" s="34" t="str">
        <f>IF(Y220="","",IF(I$8="A",(RANK(Y220,Y$11:Y$368,1)+COUNTIF(Y$11:Y220,Y220)-1),(RANK(Y220,Y$11:Y$368)+COUNTIF(Y$11:Y220,Y220)-1)))</f>
        <v/>
      </c>
      <c r="AA220" s="188" t="str">
        <f>IF(L220="","",VLOOKUP($L220,classifications!C:I,7,FALSE))</f>
        <v/>
      </c>
      <c r="AB220" s="184" t="str">
        <f t="shared" si="86"/>
        <v/>
      </c>
      <c r="AC220" s="184" t="str">
        <f>IF(AB220="","",IF($I$8="A",(RANK(AB220,AB$11:AB$368)+COUNTIF(AB$11:AB220,AB220)-1),(RANK(AB220,AB$11:AB$368,1)+COUNTIF(AB$11:AB220,AB220)-1)))</f>
        <v/>
      </c>
      <c r="AD220" s="184"/>
      <c r="AE220" s="28" t="str">
        <f t="shared" si="72"/>
        <v/>
      </c>
      <c r="AG220" s="96"/>
      <c r="AH220" s="29"/>
      <c r="AI220" s="38" t="str">
        <f>IF(L220="","",VLOOKUP($L220,classifications!$C:$J,8,FALSE))</f>
        <v/>
      </c>
      <c r="AJ220" s="39" t="str">
        <f t="shared" si="79"/>
        <v/>
      </c>
      <c r="AK220" s="34" t="str">
        <f>IF(AJ220="","",IF(I$8="A",(RANK(AJ220,AJ$11:AJ$368,1)+COUNTIF(AJ$11:AJ220,AJ220)-1),(RANK(AJ220,AJ$11:AJ$368)+COUNTIF(AJ$11:AJ220,AJ220)-1)))</f>
        <v/>
      </c>
      <c r="AL220" s="29" t="str">
        <f t="shared" si="87"/>
        <v/>
      </c>
      <c r="AM220" s="8" t="str">
        <f t="shared" si="80"/>
        <v/>
      </c>
      <c r="AN220" s="8" t="str">
        <f t="shared" si="88"/>
        <v/>
      </c>
      <c r="AP220" s="38" t="str">
        <f>IF(L220="","",VLOOKUP($L220,classifications!$C:$E,3,FALSE))</f>
        <v/>
      </c>
      <c r="AQ220" s="39" t="str">
        <f t="shared" si="89"/>
        <v/>
      </c>
      <c r="AR220" s="34" t="str">
        <f>IF(AQ220="","",IF(I$8="A",(RANK(AQ220,AQ$11:AQ$368,1)+COUNTIF(AQ$11:AQ220,AQ220)-1),(RANK(AQ220,AQ$11:AQ$368)+COUNTIF(AQ$11:AQ220,AQ220)-1)))</f>
        <v/>
      </c>
      <c r="AS220" s="29" t="str">
        <f t="shared" si="90"/>
        <v/>
      </c>
      <c r="AT220" s="34" t="str">
        <f t="shared" si="81"/>
        <v/>
      </c>
      <c r="AU220" s="39" t="str">
        <f t="shared" si="94"/>
        <v/>
      </c>
      <c r="AX220" s="21">
        <f>HLOOKUP($AX$9&amp;$AX$10,Data!$A$1:$ZZ$2000,(MATCH($C220,Data!$A$1:$A$2000,0)),FALSE)</f>
        <v>78.459747653840637</v>
      </c>
      <c r="AY220" s="103"/>
      <c r="AZ220" s="21"/>
    </row>
    <row r="221" spans="1:52">
      <c r="A221" s="56" t="str">
        <f>$D$1&amp;211</f>
        <v>SD211</v>
      </c>
      <c r="B221" s="57">
        <f>IF(ISERROR(VLOOKUP(A221,classifications!A:C,3,FALSE)),0,VLOOKUP(A221,classifications!A:C,3,FALSE))</f>
        <v>0</v>
      </c>
      <c r="C221" s="8" t="s">
        <v>322</v>
      </c>
      <c r="D221" s="26" t="str">
        <f>VLOOKUP($C221,classifications!$C:$J,4,FALSE)</f>
        <v>UA</v>
      </c>
      <c r="E221" s="26" t="str">
        <f>VLOOKUP(C221,classifications!C:K,9,FALSE)</f>
        <v>Sparse</v>
      </c>
      <c r="F221" s="36">
        <f t="shared" si="73"/>
        <v>83.194533804772604</v>
      </c>
      <c r="G221" s="71"/>
      <c r="H221" s="37" t="str">
        <f t="shared" si="74"/>
        <v/>
      </c>
      <c r="I221" s="77" t="str">
        <f>IF(H221="","",IF($I$8="A",(RANK(H221,H$11:H$368,1)+COUNTIF(H$11:H221,H221)-1),(RANK(H221,H$11:H$368)+COUNTIF(H$11:H221,H221)-1)))</f>
        <v/>
      </c>
      <c r="J221" s="35"/>
      <c r="K221" s="28" t="str">
        <f t="shared" si="82"/>
        <v/>
      </c>
      <c r="L221" s="36" t="str">
        <f t="shared" si="75"/>
        <v/>
      </c>
      <c r="M221" s="102" t="str">
        <f t="shared" si="83"/>
        <v/>
      </c>
      <c r="N221" s="101" t="str">
        <f t="shared" si="84"/>
        <v/>
      </c>
      <c r="O221" s="94" t="str">
        <f t="shared" si="76"/>
        <v/>
      </c>
      <c r="P221" s="94" t="str">
        <f t="shared" si="91"/>
        <v/>
      </c>
      <c r="Q221" s="94" t="str">
        <f t="shared" si="92"/>
        <v/>
      </c>
      <c r="R221" s="90" t="str">
        <f t="shared" si="93"/>
        <v/>
      </c>
      <c r="S221" s="37" t="str">
        <f t="shared" si="85"/>
        <v/>
      </c>
      <c r="T221" s="176" t="str">
        <f>IF(L221="","",VLOOKUP(L221,classifications!C:K,9,FALSE))</f>
        <v/>
      </c>
      <c r="U221" s="183" t="str">
        <f t="shared" si="95"/>
        <v/>
      </c>
      <c r="V221" s="184" t="str">
        <f>IF(U221="","",IF($I$8="A",(RANK(U221,U$11:U$368)+COUNTIF(U$11:U221,U221)-1),(RANK(U221,U$11:U$368,1)+COUNTIF(U$11:U221,U221)-1)))</f>
        <v/>
      </c>
      <c r="W221" s="185"/>
      <c r="X221" s="38" t="str">
        <f>IF(L221="","",VLOOKUP($L221,classifications!$C:$J,6,FALSE))</f>
        <v/>
      </c>
      <c r="Y221" s="26" t="str">
        <f t="shared" si="78"/>
        <v/>
      </c>
      <c r="Z221" s="34" t="str">
        <f>IF(Y221="","",IF(I$8="A",(RANK(Y221,Y$11:Y$368,1)+COUNTIF(Y$11:Y221,Y221)-1),(RANK(Y221,Y$11:Y$368)+COUNTIF(Y$11:Y221,Y221)-1)))</f>
        <v/>
      </c>
      <c r="AA221" s="188" t="str">
        <f>IF(L221="","",VLOOKUP($L221,classifications!C:I,7,FALSE))</f>
        <v/>
      </c>
      <c r="AB221" s="184" t="str">
        <f t="shared" si="86"/>
        <v/>
      </c>
      <c r="AC221" s="184" t="str">
        <f>IF(AB221="","",IF($I$8="A",(RANK(AB221,AB$11:AB$368)+COUNTIF(AB$11:AB221,AB221)-1),(RANK(AB221,AB$11:AB$368,1)+COUNTIF(AB$11:AB221,AB221)-1)))</f>
        <v/>
      </c>
      <c r="AD221" s="184"/>
      <c r="AE221" s="28" t="str">
        <f t="shared" si="72"/>
        <v/>
      </c>
      <c r="AG221" s="96"/>
      <c r="AH221" s="29"/>
      <c r="AI221" s="38" t="str">
        <f>IF(L221="","",VLOOKUP($L221,classifications!$C:$J,8,FALSE))</f>
        <v/>
      </c>
      <c r="AJ221" s="39" t="str">
        <f t="shared" si="79"/>
        <v/>
      </c>
      <c r="AK221" s="34" t="str">
        <f>IF(AJ221="","",IF(I$8="A",(RANK(AJ221,AJ$11:AJ$368,1)+COUNTIF(AJ$11:AJ221,AJ221)-1),(RANK(AJ221,AJ$11:AJ$368)+COUNTIF(AJ$11:AJ221,AJ221)-1)))</f>
        <v/>
      </c>
      <c r="AL221" s="29" t="str">
        <f t="shared" si="87"/>
        <v/>
      </c>
      <c r="AM221" s="8" t="str">
        <f t="shared" si="80"/>
        <v/>
      </c>
      <c r="AN221" s="8" t="str">
        <f t="shared" si="88"/>
        <v/>
      </c>
      <c r="AP221" s="38" t="str">
        <f>IF(L221="","",VLOOKUP($L221,classifications!$C:$E,3,FALSE))</f>
        <v/>
      </c>
      <c r="AQ221" s="39" t="str">
        <f t="shared" si="89"/>
        <v/>
      </c>
      <c r="AR221" s="34" t="str">
        <f>IF(AQ221="","",IF(I$8="A",(RANK(AQ221,AQ$11:AQ$368,1)+COUNTIF(AQ$11:AQ221,AQ221)-1),(RANK(AQ221,AQ$11:AQ$368)+COUNTIF(AQ$11:AQ221,AQ221)-1)))</f>
        <v/>
      </c>
      <c r="AS221" s="29" t="str">
        <f t="shared" si="90"/>
        <v/>
      </c>
      <c r="AT221" s="34" t="str">
        <f t="shared" si="81"/>
        <v/>
      </c>
      <c r="AU221" s="39" t="str">
        <f t="shared" si="94"/>
        <v/>
      </c>
      <c r="AX221" s="21">
        <f>HLOOKUP($AX$9&amp;$AX$10,Data!$A$1:$ZZ$2000,(MATCH($C221,Data!$A$1:$A$2000,0)),FALSE)</f>
        <v>83.194533804772604</v>
      </c>
      <c r="AY221" s="103"/>
      <c r="AZ221" s="21"/>
    </row>
    <row r="222" spans="1:52">
      <c r="A222" s="56" t="str">
        <f>$D$1&amp;212</f>
        <v>SD212</v>
      </c>
      <c r="B222" s="57">
        <f>IF(ISERROR(VLOOKUP(A222,classifications!A:C,3,FALSE)),0,VLOOKUP(A222,classifications!A:C,3,FALSE))</f>
        <v>0</v>
      </c>
      <c r="C222" s="8" t="s">
        <v>117</v>
      </c>
      <c r="D222" s="26" t="str">
        <f>VLOOKUP($C222,classifications!$C:$J,4,FALSE)</f>
        <v>SD</v>
      </c>
      <c r="E222" s="26">
        <f>VLOOKUP(C222,classifications!C:K,9,FALSE)</f>
        <v>0</v>
      </c>
      <c r="F222" s="36">
        <f t="shared" si="73"/>
        <v>87.086289157111082</v>
      </c>
      <c r="G222" s="71"/>
      <c r="H222" s="37">
        <f t="shared" si="74"/>
        <v>87.086289157111082</v>
      </c>
      <c r="I222" s="77">
        <f>IF(H222="","",IF($I$8="A",(RANK(H222,H$11:H$368,1)+COUNTIF(H$11:H222,H222)-1),(RANK(H222,H$11:H$368)+COUNTIF(H$11:H222,H222)-1)))</f>
        <v>7</v>
      </c>
      <c r="J222" s="35"/>
      <c r="K222" s="28" t="str">
        <f t="shared" si="82"/>
        <v/>
      </c>
      <c r="L222" s="36" t="str">
        <f t="shared" si="75"/>
        <v/>
      </c>
      <c r="M222" s="102" t="str">
        <f t="shared" si="83"/>
        <v/>
      </c>
      <c r="N222" s="101" t="str">
        <f t="shared" si="84"/>
        <v/>
      </c>
      <c r="O222" s="94" t="str">
        <f t="shared" si="76"/>
        <v/>
      </c>
      <c r="P222" s="94" t="str">
        <f t="shared" si="91"/>
        <v/>
      </c>
      <c r="Q222" s="94" t="str">
        <f t="shared" si="92"/>
        <v/>
      </c>
      <c r="R222" s="90" t="str">
        <f t="shared" si="93"/>
        <v/>
      </c>
      <c r="S222" s="37" t="str">
        <f t="shared" si="85"/>
        <v/>
      </c>
      <c r="T222" s="176" t="str">
        <f>IF(L222="","",VLOOKUP(L222,classifications!C:K,9,FALSE))</f>
        <v/>
      </c>
      <c r="U222" s="183" t="str">
        <f t="shared" si="95"/>
        <v/>
      </c>
      <c r="V222" s="184" t="str">
        <f>IF(U222="","",IF($I$8="A",(RANK(U222,U$11:U$368)+COUNTIF(U$11:U222,U222)-1),(RANK(U222,U$11:U$368,1)+COUNTIF(U$11:U222,U222)-1)))</f>
        <v/>
      </c>
      <c r="W222" s="185"/>
      <c r="X222" s="38" t="str">
        <f>IF(L222="","",VLOOKUP($L222,classifications!$C:$J,6,FALSE))</f>
        <v/>
      </c>
      <c r="Y222" s="26" t="str">
        <f t="shared" si="78"/>
        <v/>
      </c>
      <c r="Z222" s="34" t="str">
        <f>IF(Y222="","",IF(I$8="A",(RANK(Y222,Y$11:Y$368,1)+COUNTIF(Y$11:Y222,Y222)-1),(RANK(Y222,Y$11:Y$368)+COUNTIF(Y$11:Y222,Y222)-1)))</f>
        <v/>
      </c>
      <c r="AA222" s="188" t="str">
        <f>IF(L222="","",VLOOKUP($L222,classifications!C:I,7,FALSE))</f>
        <v/>
      </c>
      <c r="AB222" s="184" t="str">
        <f t="shared" si="86"/>
        <v/>
      </c>
      <c r="AC222" s="184" t="str">
        <f>IF(AB222="","",IF($I$8="A",(RANK(AB222,AB$11:AB$368)+COUNTIF(AB$11:AB222,AB222)-1),(RANK(AB222,AB$11:AB$368,1)+COUNTIF(AB$11:AB222,AB222)-1)))</f>
        <v/>
      </c>
      <c r="AD222" s="184"/>
      <c r="AE222" s="28" t="str">
        <f t="shared" si="72"/>
        <v/>
      </c>
      <c r="AG222" s="96"/>
      <c r="AH222" s="29"/>
      <c r="AI222" s="38" t="str">
        <f>IF(L222="","",VLOOKUP($L222,classifications!$C:$J,8,FALSE))</f>
        <v/>
      </c>
      <c r="AJ222" s="39" t="str">
        <f t="shared" si="79"/>
        <v/>
      </c>
      <c r="AK222" s="34" t="str">
        <f>IF(AJ222="","",IF(I$8="A",(RANK(AJ222,AJ$11:AJ$368,1)+COUNTIF(AJ$11:AJ222,AJ222)-1),(RANK(AJ222,AJ$11:AJ$368)+COUNTIF(AJ$11:AJ222,AJ222)-1)))</f>
        <v/>
      </c>
      <c r="AL222" s="29" t="str">
        <f t="shared" si="87"/>
        <v/>
      </c>
      <c r="AM222" s="8" t="str">
        <f t="shared" si="80"/>
        <v/>
      </c>
      <c r="AN222" s="8" t="str">
        <f t="shared" si="88"/>
        <v/>
      </c>
      <c r="AP222" s="38" t="str">
        <f>IF(L222="","",VLOOKUP($L222,classifications!$C:$E,3,FALSE))</f>
        <v/>
      </c>
      <c r="AQ222" s="39" t="str">
        <f t="shared" si="89"/>
        <v/>
      </c>
      <c r="AR222" s="34" t="str">
        <f>IF(AQ222="","",IF(I$8="A",(RANK(AQ222,AQ$11:AQ$368,1)+COUNTIF(AQ$11:AQ222,AQ222)-1),(RANK(AQ222,AQ$11:AQ$368)+COUNTIF(AQ$11:AQ222,AQ222)-1)))</f>
        <v/>
      </c>
      <c r="AS222" s="29" t="str">
        <f t="shared" si="90"/>
        <v/>
      </c>
      <c r="AT222" s="34" t="str">
        <f t="shared" si="81"/>
        <v/>
      </c>
      <c r="AU222" s="39" t="str">
        <f t="shared" si="94"/>
        <v/>
      </c>
      <c r="AX222" s="21">
        <f>HLOOKUP($AX$9&amp;$AX$10,Data!$A$1:$ZZ$2000,(MATCH($C222,Data!$A$1:$A$2000,0)),FALSE)</f>
        <v>87.086289157111082</v>
      </c>
      <c r="AY222" s="103"/>
      <c r="AZ222" s="21"/>
    </row>
    <row r="223" spans="1:52">
      <c r="A223" s="56" t="str">
        <f>$D$1&amp;213</f>
        <v>SD213</v>
      </c>
      <c r="B223" s="57">
        <f>IF(ISERROR(VLOOKUP(A223,classifications!A:C,3,FALSE)),0,VLOOKUP(A223,classifications!A:C,3,FALSE))</f>
        <v>0</v>
      </c>
      <c r="C223" s="8" t="s">
        <v>279</v>
      </c>
      <c r="D223" s="26" t="str">
        <f>VLOOKUP($C223,classifications!$C:$J,4,FALSE)</f>
        <v>UA</v>
      </c>
      <c r="E223" s="26">
        <f>VLOOKUP(C223,classifications!C:K,9,FALSE)</f>
        <v>0</v>
      </c>
      <c r="F223" s="36">
        <f t="shared" si="73"/>
        <v>77.963926515331195</v>
      </c>
      <c r="G223" s="71"/>
      <c r="H223" s="37" t="str">
        <f t="shared" si="74"/>
        <v/>
      </c>
      <c r="I223" s="77" t="str">
        <f>IF(H223="","",IF($I$8="A",(RANK(H223,H$11:H$368,1)+COUNTIF(H$11:H223,H223)-1),(RANK(H223,H$11:H$368)+COUNTIF(H$11:H223,H223)-1)))</f>
        <v/>
      </c>
      <c r="J223" s="35"/>
      <c r="K223" s="28" t="str">
        <f t="shared" si="82"/>
        <v/>
      </c>
      <c r="L223" s="36" t="str">
        <f t="shared" si="75"/>
        <v/>
      </c>
      <c r="M223" s="102" t="str">
        <f t="shared" si="83"/>
        <v/>
      </c>
      <c r="N223" s="101" t="str">
        <f t="shared" si="84"/>
        <v/>
      </c>
      <c r="O223" s="94" t="str">
        <f t="shared" si="76"/>
        <v/>
      </c>
      <c r="P223" s="94" t="str">
        <f t="shared" si="91"/>
        <v/>
      </c>
      <c r="Q223" s="94" t="str">
        <f t="shared" si="92"/>
        <v/>
      </c>
      <c r="R223" s="90" t="str">
        <f t="shared" si="93"/>
        <v/>
      </c>
      <c r="S223" s="37" t="str">
        <f t="shared" si="85"/>
        <v/>
      </c>
      <c r="T223" s="176" t="str">
        <f>IF(L223="","",VLOOKUP(L223,classifications!C:K,9,FALSE))</f>
        <v/>
      </c>
      <c r="U223" s="183" t="str">
        <f t="shared" si="95"/>
        <v/>
      </c>
      <c r="V223" s="184" t="str">
        <f>IF(U223="","",IF($I$8="A",(RANK(U223,U$11:U$368)+COUNTIF(U$11:U223,U223)-1),(RANK(U223,U$11:U$368,1)+COUNTIF(U$11:U223,U223)-1)))</f>
        <v/>
      </c>
      <c r="W223" s="185"/>
      <c r="X223" s="38" t="str">
        <f>IF(L223="","",VLOOKUP($L223,classifications!$C:$J,6,FALSE))</f>
        <v/>
      </c>
      <c r="Y223" s="26" t="str">
        <f t="shared" si="78"/>
        <v/>
      </c>
      <c r="Z223" s="34" t="str">
        <f>IF(Y223="","",IF(I$8="A",(RANK(Y223,Y$11:Y$368,1)+COUNTIF(Y$11:Y223,Y223)-1),(RANK(Y223,Y$11:Y$368)+COUNTIF(Y$11:Y223,Y223)-1)))</f>
        <v/>
      </c>
      <c r="AA223" s="188" t="str">
        <f>IF(L223="","",VLOOKUP($L223,classifications!C:I,7,FALSE))</f>
        <v/>
      </c>
      <c r="AB223" s="184" t="str">
        <f t="shared" si="86"/>
        <v/>
      </c>
      <c r="AC223" s="184" t="str">
        <f>IF(AB223="","",IF($I$8="A",(RANK(AB223,AB$11:AB$368)+COUNTIF(AB$11:AB223,AB223)-1),(RANK(AB223,AB$11:AB$368,1)+COUNTIF(AB$11:AB223,AB223)-1)))</f>
        <v/>
      </c>
      <c r="AD223" s="184"/>
      <c r="AE223" s="28" t="str">
        <f t="shared" si="72"/>
        <v/>
      </c>
      <c r="AG223" s="96"/>
      <c r="AH223" s="29"/>
      <c r="AI223" s="38" t="str">
        <f>IF(L223="","",VLOOKUP($L223,classifications!$C:$J,8,FALSE))</f>
        <v/>
      </c>
      <c r="AJ223" s="39" t="str">
        <f t="shared" si="79"/>
        <v/>
      </c>
      <c r="AK223" s="34" t="str">
        <f>IF(AJ223="","",IF(I$8="A",(RANK(AJ223,AJ$11:AJ$368,1)+COUNTIF(AJ$11:AJ223,AJ223)-1),(RANK(AJ223,AJ$11:AJ$368)+COUNTIF(AJ$11:AJ223,AJ223)-1)))</f>
        <v/>
      </c>
      <c r="AL223" s="29" t="str">
        <f t="shared" si="87"/>
        <v/>
      </c>
      <c r="AM223" s="8" t="str">
        <f t="shared" si="80"/>
        <v/>
      </c>
      <c r="AN223" s="8" t="str">
        <f t="shared" si="88"/>
        <v/>
      </c>
      <c r="AP223" s="38" t="str">
        <f>IF(L223="","",VLOOKUP($L223,classifications!$C:$E,3,FALSE))</f>
        <v/>
      </c>
      <c r="AQ223" s="39" t="str">
        <f t="shared" si="89"/>
        <v/>
      </c>
      <c r="AR223" s="34" t="str">
        <f>IF(AQ223="","",IF(I$8="A",(RANK(AQ223,AQ$11:AQ$368,1)+COUNTIF(AQ$11:AQ223,AQ223)-1),(RANK(AQ223,AQ$11:AQ$368)+COUNTIF(AQ$11:AQ223,AQ223)-1)))</f>
        <v/>
      </c>
      <c r="AS223" s="29" t="str">
        <f t="shared" si="90"/>
        <v/>
      </c>
      <c r="AT223" s="34" t="str">
        <f t="shared" si="81"/>
        <v/>
      </c>
      <c r="AU223" s="39" t="str">
        <f t="shared" si="94"/>
        <v/>
      </c>
      <c r="AX223" s="21">
        <f>HLOOKUP($AX$9&amp;$AX$10,Data!$A$1:$ZZ$2000,(MATCH($C223,Data!$A$1:$A$2000,0)),FALSE)</f>
        <v>77.963926515331195</v>
      </c>
      <c r="AY223" s="103"/>
      <c r="AZ223" s="21"/>
    </row>
    <row r="224" spans="1:52">
      <c r="A224" s="56" t="str">
        <f>$D$1&amp;214</f>
        <v>SD214</v>
      </c>
      <c r="B224" s="57">
        <f>IF(ISERROR(VLOOKUP(A224,classifications!A:C,3,FALSE)),0,VLOOKUP(A224,classifications!A:C,3,FALSE))</f>
        <v>0</v>
      </c>
      <c r="C224" s="8" t="s">
        <v>323</v>
      </c>
      <c r="D224" s="26" t="str">
        <f>VLOOKUP($C224,classifications!$C:$J,4,FALSE)</f>
        <v>SC</v>
      </c>
      <c r="E224" s="26" t="str">
        <f>VLOOKUP(C224,classifications!C:K,9,FALSE)</f>
        <v>Sparse</v>
      </c>
      <c r="F224" s="36">
        <f t="shared" si="73"/>
        <v>78.998190048995681</v>
      </c>
      <c r="G224" s="71"/>
      <c r="H224" s="37" t="str">
        <f t="shared" si="74"/>
        <v/>
      </c>
      <c r="I224" s="77" t="str">
        <f>IF(H224="","",IF($I$8="A",(RANK(H224,H$11:H$368,1)+COUNTIF(H$11:H224,H224)-1),(RANK(H224,H$11:H$368)+COUNTIF(H$11:H224,H224)-1)))</f>
        <v/>
      </c>
      <c r="J224" s="35"/>
      <c r="K224" s="28" t="str">
        <f t="shared" si="82"/>
        <v/>
      </c>
      <c r="L224" s="36" t="str">
        <f t="shared" si="75"/>
        <v/>
      </c>
      <c r="M224" s="102" t="str">
        <f t="shared" si="83"/>
        <v/>
      </c>
      <c r="N224" s="101" t="str">
        <f t="shared" si="84"/>
        <v/>
      </c>
      <c r="O224" s="94" t="str">
        <f t="shared" si="76"/>
        <v/>
      </c>
      <c r="P224" s="94" t="str">
        <f t="shared" si="91"/>
        <v/>
      </c>
      <c r="Q224" s="94" t="str">
        <f t="shared" si="92"/>
        <v/>
      </c>
      <c r="R224" s="90" t="str">
        <f t="shared" si="93"/>
        <v/>
      </c>
      <c r="S224" s="37" t="str">
        <f t="shared" si="85"/>
        <v/>
      </c>
      <c r="T224" s="176" t="str">
        <f>IF(L224="","",VLOOKUP(L224,classifications!C:K,9,FALSE))</f>
        <v/>
      </c>
      <c r="U224" s="183" t="str">
        <f t="shared" si="95"/>
        <v/>
      </c>
      <c r="V224" s="184" t="str">
        <f>IF(U224="","",IF($I$8="A",(RANK(U224,U$11:U$368)+COUNTIF(U$11:U224,U224)-1),(RANK(U224,U$11:U$368,1)+COUNTIF(U$11:U224,U224)-1)))</f>
        <v/>
      </c>
      <c r="W224" s="185"/>
      <c r="X224" s="38" t="str">
        <f>IF(L224="","",VLOOKUP($L224,classifications!$C:$J,6,FALSE))</f>
        <v/>
      </c>
      <c r="Y224" s="26" t="str">
        <f t="shared" si="78"/>
        <v/>
      </c>
      <c r="Z224" s="34" t="str">
        <f>IF(Y224="","",IF(I$8="A",(RANK(Y224,Y$11:Y$368,1)+COUNTIF(Y$11:Y224,Y224)-1),(RANK(Y224,Y$11:Y$368)+COUNTIF(Y$11:Y224,Y224)-1)))</f>
        <v/>
      </c>
      <c r="AA224" s="188" t="str">
        <f>IF(L224="","",VLOOKUP($L224,classifications!C:I,7,FALSE))</f>
        <v/>
      </c>
      <c r="AB224" s="184" t="str">
        <f t="shared" si="86"/>
        <v/>
      </c>
      <c r="AC224" s="184" t="str">
        <f>IF(AB224="","",IF($I$8="A",(RANK(AB224,AB$11:AB$368)+COUNTIF(AB$11:AB224,AB224)-1),(RANK(AB224,AB$11:AB$368,1)+COUNTIF(AB$11:AB224,AB224)-1)))</f>
        <v/>
      </c>
      <c r="AD224" s="184"/>
      <c r="AE224" s="28" t="str">
        <f t="shared" si="72"/>
        <v/>
      </c>
      <c r="AG224" s="96"/>
      <c r="AH224" s="29"/>
      <c r="AI224" s="38" t="str">
        <f>IF(L224="","",VLOOKUP($L224,classifications!$C:$J,8,FALSE))</f>
        <v/>
      </c>
      <c r="AJ224" s="39" t="str">
        <f t="shared" si="79"/>
        <v/>
      </c>
      <c r="AK224" s="34" t="str">
        <f>IF(AJ224="","",IF(I$8="A",(RANK(AJ224,AJ$11:AJ$368,1)+COUNTIF(AJ$11:AJ224,AJ224)-1),(RANK(AJ224,AJ$11:AJ$368)+COUNTIF(AJ$11:AJ224,AJ224)-1)))</f>
        <v/>
      </c>
      <c r="AL224" s="29" t="str">
        <f t="shared" si="87"/>
        <v/>
      </c>
      <c r="AM224" s="8" t="str">
        <f t="shared" si="80"/>
        <v/>
      </c>
      <c r="AN224" s="8" t="str">
        <f t="shared" si="88"/>
        <v/>
      </c>
      <c r="AP224" s="38" t="str">
        <f>IF(L224="","",VLOOKUP($L224,classifications!$C:$E,3,FALSE))</f>
        <v/>
      </c>
      <c r="AQ224" s="39" t="str">
        <f t="shared" si="89"/>
        <v/>
      </c>
      <c r="AR224" s="34" t="str">
        <f>IF(AQ224="","",IF(I$8="A",(RANK(AQ224,AQ$11:AQ$368,1)+COUNTIF(AQ$11:AQ224,AQ224)-1),(RANK(AQ224,AQ$11:AQ$368)+COUNTIF(AQ$11:AQ224,AQ224)-1)))</f>
        <v/>
      </c>
      <c r="AS224" s="29" t="str">
        <f t="shared" si="90"/>
        <v/>
      </c>
      <c r="AT224" s="34" t="str">
        <f t="shared" si="81"/>
        <v/>
      </c>
      <c r="AU224" s="39" t="str">
        <f t="shared" si="94"/>
        <v/>
      </c>
      <c r="AX224" s="21">
        <f>HLOOKUP($AX$9&amp;$AX$10,Data!$A$1:$ZZ$2000,(MATCH($C224,Data!$A$1:$A$2000,0)),FALSE)</f>
        <v>78.998190048995681</v>
      </c>
      <c r="AY224" s="103"/>
      <c r="AZ224" s="21"/>
    </row>
    <row r="225" spans="1:52">
      <c r="A225" s="56" t="str">
        <f>$D$1&amp;215</f>
        <v>SD215</v>
      </c>
      <c r="B225" s="57">
        <f>IF(ISERROR(VLOOKUP(A225,classifications!A:C,3,FALSE)),0,VLOOKUP(A225,classifications!A:C,3,FALSE))</f>
        <v>0</v>
      </c>
      <c r="C225" s="8" t="s">
        <v>346</v>
      </c>
      <c r="D225" s="26" t="str">
        <f>VLOOKUP($C225,classifications!$C:$J,4,FALSE)</f>
        <v>SD</v>
      </c>
      <c r="E225" s="26">
        <f>VLOOKUP(C225,classifications!C:K,9,FALSE)</f>
        <v>0</v>
      </c>
      <c r="F225" s="36">
        <f t="shared" si="73"/>
        <v>73.029566226241215</v>
      </c>
      <c r="G225" s="71"/>
      <c r="H225" s="37">
        <f t="shared" si="74"/>
        <v>73.029566226241215</v>
      </c>
      <c r="I225" s="77">
        <f>IF(H225="","",IF($I$8="A",(RANK(H225,H$11:H$368,1)+COUNTIF(H$11:H225,H225)-1),(RANK(H225,H$11:H$368)+COUNTIF(H$11:H225,H225)-1)))</f>
        <v>188</v>
      </c>
      <c r="J225" s="35"/>
      <c r="K225" s="28" t="str">
        <f t="shared" si="82"/>
        <v/>
      </c>
      <c r="L225" s="36" t="str">
        <f t="shared" si="75"/>
        <v/>
      </c>
      <c r="M225" s="102" t="str">
        <f t="shared" si="83"/>
        <v/>
      </c>
      <c r="N225" s="101" t="str">
        <f t="shared" si="84"/>
        <v/>
      </c>
      <c r="O225" s="94" t="str">
        <f t="shared" si="76"/>
        <v/>
      </c>
      <c r="P225" s="94" t="str">
        <f t="shared" si="91"/>
        <v/>
      </c>
      <c r="Q225" s="94" t="str">
        <f t="shared" si="92"/>
        <v/>
      </c>
      <c r="R225" s="90" t="str">
        <f t="shared" si="93"/>
        <v/>
      </c>
      <c r="S225" s="37" t="str">
        <f t="shared" si="85"/>
        <v/>
      </c>
      <c r="T225" s="176" t="str">
        <f>IF(L225="","",VLOOKUP(L225,classifications!C:K,9,FALSE))</f>
        <v/>
      </c>
      <c r="U225" s="183" t="str">
        <f t="shared" si="95"/>
        <v/>
      </c>
      <c r="V225" s="184" t="str">
        <f>IF(U225="","",IF($I$8="A",(RANK(U225,U$11:U$368)+COUNTIF(U$11:U225,U225)-1),(RANK(U225,U$11:U$368,1)+COUNTIF(U$11:U225,U225)-1)))</f>
        <v/>
      </c>
      <c r="W225" s="185"/>
      <c r="X225" s="38" t="str">
        <f>IF(L225="","",VLOOKUP($L225,classifications!$C:$J,6,FALSE))</f>
        <v/>
      </c>
      <c r="Y225" s="26" t="str">
        <f t="shared" si="78"/>
        <v/>
      </c>
      <c r="Z225" s="34" t="str">
        <f>IF(Y225="","",IF(I$8="A",(RANK(Y225,Y$11:Y$368,1)+COUNTIF(Y$11:Y225,Y225)-1),(RANK(Y225,Y$11:Y$368)+COUNTIF(Y$11:Y225,Y225)-1)))</f>
        <v/>
      </c>
      <c r="AA225" s="188" t="str">
        <f>IF(L225="","",VLOOKUP($L225,classifications!C:I,7,FALSE))</f>
        <v/>
      </c>
      <c r="AB225" s="184" t="str">
        <f t="shared" si="86"/>
        <v/>
      </c>
      <c r="AC225" s="184" t="str">
        <f>IF(AB225="","",IF($I$8="A",(RANK(AB225,AB$11:AB$368)+COUNTIF(AB$11:AB225,AB225)-1),(RANK(AB225,AB$11:AB$368,1)+COUNTIF(AB$11:AB225,AB225)-1)))</f>
        <v/>
      </c>
      <c r="AD225" s="184"/>
      <c r="AE225" s="28" t="str">
        <f t="shared" si="72"/>
        <v/>
      </c>
      <c r="AG225" s="96"/>
      <c r="AH225" s="29"/>
      <c r="AI225" s="38" t="str">
        <f>IF(L225="","",VLOOKUP($L225,classifications!$C:$J,8,FALSE))</f>
        <v/>
      </c>
      <c r="AJ225" s="39" t="str">
        <f t="shared" si="79"/>
        <v/>
      </c>
      <c r="AK225" s="34" t="str">
        <f>IF(AJ225="","",IF(I$8="A",(RANK(AJ225,AJ$11:AJ$368,1)+COUNTIF(AJ$11:AJ225,AJ225)-1),(RANK(AJ225,AJ$11:AJ$368)+COUNTIF(AJ$11:AJ225,AJ225)-1)))</f>
        <v/>
      </c>
      <c r="AL225" s="29" t="str">
        <f t="shared" si="87"/>
        <v/>
      </c>
      <c r="AM225" s="8" t="str">
        <f t="shared" si="80"/>
        <v/>
      </c>
      <c r="AN225" s="8" t="str">
        <f t="shared" si="88"/>
        <v/>
      </c>
      <c r="AP225" s="38" t="str">
        <f>IF(L225="","",VLOOKUP($L225,classifications!$C:$E,3,FALSE))</f>
        <v/>
      </c>
      <c r="AQ225" s="39" t="str">
        <f t="shared" si="89"/>
        <v/>
      </c>
      <c r="AR225" s="34" t="str">
        <f>IF(AQ225="","",IF(I$8="A",(RANK(AQ225,AQ$11:AQ$368,1)+COUNTIF(AQ$11:AQ225,AQ225)-1),(RANK(AQ225,AQ$11:AQ$368)+COUNTIF(AQ$11:AQ225,AQ225)-1)))</f>
        <v/>
      </c>
      <c r="AS225" s="29" t="str">
        <f t="shared" si="90"/>
        <v/>
      </c>
      <c r="AT225" s="34" t="str">
        <f t="shared" si="81"/>
        <v/>
      </c>
      <c r="AU225" s="39" t="str">
        <f t="shared" si="94"/>
        <v/>
      </c>
      <c r="AX225" s="21">
        <f>HLOOKUP($AX$9&amp;$AX$10,Data!$A$1:$ZZ$2000,(MATCH($C225,Data!$A$1:$A$2000,0)),FALSE)</f>
        <v>73.029566226241215</v>
      </c>
      <c r="AY225" s="103"/>
      <c r="AZ225" s="21"/>
    </row>
    <row r="226" spans="1:52">
      <c r="A226" s="56" t="str">
        <f>$D$1&amp;216</f>
        <v>SD216</v>
      </c>
      <c r="B226" s="57">
        <f>IF(ISERROR(VLOOKUP(A226,classifications!A:C,3,FALSE)),0,VLOOKUP(A226,classifications!A:C,3,FALSE))</f>
        <v>0</v>
      </c>
      <c r="C226" s="8" t="s">
        <v>347</v>
      </c>
      <c r="D226" s="26" t="str">
        <f>VLOOKUP($C226,classifications!$C:$J,4,FALSE)</f>
        <v>SD</v>
      </c>
      <c r="E226" s="26">
        <f>VLOOKUP(C226,classifications!C:K,9,FALSE)</f>
        <v>0</v>
      </c>
      <c r="F226" s="36">
        <f t="shared" si="73"/>
        <v>75.89492254124535</v>
      </c>
      <c r="G226" s="71"/>
      <c r="H226" s="37">
        <f t="shared" si="74"/>
        <v>75.89492254124535</v>
      </c>
      <c r="I226" s="77">
        <f>IF(H226="","",IF($I$8="A",(RANK(H226,H$11:H$368,1)+COUNTIF(H$11:H226,H226)-1),(RANK(H226,H$11:H$368)+COUNTIF(H$11:H226,H226)-1)))</f>
        <v>172</v>
      </c>
      <c r="J226" s="35"/>
      <c r="K226" s="28" t="str">
        <f t="shared" si="82"/>
        <v/>
      </c>
      <c r="L226" s="36" t="str">
        <f t="shared" si="75"/>
        <v/>
      </c>
      <c r="M226" s="102" t="str">
        <f t="shared" si="83"/>
        <v/>
      </c>
      <c r="N226" s="101" t="str">
        <f t="shared" si="84"/>
        <v/>
      </c>
      <c r="O226" s="94" t="str">
        <f t="shared" si="76"/>
        <v/>
      </c>
      <c r="P226" s="94" t="str">
        <f t="shared" si="91"/>
        <v/>
      </c>
      <c r="Q226" s="94" t="str">
        <f t="shared" si="92"/>
        <v/>
      </c>
      <c r="R226" s="90" t="str">
        <f t="shared" si="93"/>
        <v/>
      </c>
      <c r="S226" s="37" t="str">
        <f t="shared" si="85"/>
        <v/>
      </c>
      <c r="T226" s="176" t="str">
        <f>IF(L226="","",VLOOKUP(L226,classifications!C:K,9,FALSE))</f>
        <v/>
      </c>
      <c r="U226" s="183" t="str">
        <f t="shared" si="95"/>
        <v/>
      </c>
      <c r="V226" s="184" t="str">
        <f>IF(U226="","",IF($I$8="A",(RANK(U226,U$11:U$368)+COUNTIF(U$11:U226,U226)-1),(RANK(U226,U$11:U$368,1)+COUNTIF(U$11:U226,U226)-1)))</f>
        <v/>
      </c>
      <c r="W226" s="185"/>
      <c r="X226" s="38" t="str">
        <f>IF(L226="","",VLOOKUP($L226,classifications!$C:$J,6,FALSE))</f>
        <v/>
      </c>
      <c r="Y226" s="26" t="str">
        <f t="shared" si="78"/>
        <v/>
      </c>
      <c r="Z226" s="34" t="str">
        <f>IF(Y226="","",IF(I$8="A",(RANK(Y226,Y$11:Y$368,1)+COUNTIF(Y$11:Y226,Y226)-1),(RANK(Y226,Y$11:Y$368)+COUNTIF(Y$11:Y226,Y226)-1)))</f>
        <v/>
      </c>
      <c r="AA226" s="188" t="str">
        <f>IF(L226="","",VLOOKUP($L226,classifications!C:I,7,FALSE))</f>
        <v/>
      </c>
      <c r="AB226" s="184" t="str">
        <f t="shared" si="86"/>
        <v/>
      </c>
      <c r="AC226" s="184" t="str">
        <f>IF(AB226="","",IF($I$8="A",(RANK(AB226,AB$11:AB$368)+COUNTIF(AB$11:AB226,AB226)-1),(RANK(AB226,AB$11:AB$368,1)+COUNTIF(AB$11:AB226,AB226)-1)))</f>
        <v/>
      </c>
      <c r="AD226" s="184"/>
      <c r="AE226" s="28" t="str">
        <f t="shared" si="72"/>
        <v/>
      </c>
      <c r="AG226" s="96"/>
      <c r="AH226" s="29"/>
      <c r="AI226" s="38" t="str">
        <f>IF(L226="","",VLOOKUP($L226,classifications!$C:$J,8,FALSE))</f>
        <v/>
      </c>
      <c r="AJ226" s="39" t="str">
        <f t="shared" si="79"/>
        <v/>
      </c>
      <c r="AK226" s="34" t="str">
        <f>IF(AJ226="","",IF(I$8="A",(RANK(AJ226,AJ$11:AJ$368,1)+COUNTIF(AJ$11:AJ226,AJ226)-1),(RANK(AJ226,AJ$11:AJ$368)+COUNTIF(AJ$11:AJ226,AJ226)-1)))</f>
        <v/>
      </c>
      <c r="AL226" s="29" t="str">
        <f t="shared" si="87"/>
        <v/>
      </c>
      <c r="AM226" s="8" t="str">
        <f t="shared" si="80"/>
        <v/>
      </c>
      <c r="AN226" s="8" t="str">
        <f t="shared" si="88"/>
        <v/>
      </c>
      <c r="AP226" s="38" t="str">
        <f>IF(L226="","",VLOOKUP($L226,classifications!$C:$E,3,FALSE))</f>
        <v/>
      </c>
      <c r="AQ226" s="39" t="str">
        <f t="shared" si="89"/>
        <v/>
      </c>
      <c r="AR226" s="34" t="str">
        <f>IF(AQ226="","",IF(I$8="A",(RANK(AQ226,AQ$11:AQ$368,1)+COUNTIF(AQ$11:AQ226,AQ226)-1),(RANK(AQ226,AQ$11:AQ$368)+COUNTIF(AQ$11:AQ226,AQ226)-1)))</f>
        <v/>
      </c>
      <c r="AS226" s="29" t="str">
        <f t="shared" si="90"/>
        <v/>
      </c>
      <c r="AT226" s="34" t="str">
        <f t="shared" si="81"/>
        <v/>
      </c>
      <c r="AU226" s="39" t="str">
        <f t="shared" si="94"/>
        <v/>
      </c>
      <c r="AX226" s="21">
        <f>HLOOKUP($AX$9&amp;$AX$10,Data!$A$1:$ZZ$2000,(MATCH($C226,Data!$A$1:$A$2000,0)),FALSE)</f>
        <v>75.89492254124535</v>
      </c>
      <c r="AY226" s="103"/>
      <c r="AZ226" s="21"/>
    </row>
    <row r="227" spans="1:52">
      <c r="A227" s="56" t="str">
        <f>$D$1&amp;217</f>
        <v>SD217</v>
      </c>
      <c r="B227" s="57">
        <f>IF(ISERROR(VLOOKUP(A227,classifications!A:C,3,FALSE)),0,VLOOKUP(A227,classifications!A:C,3,FALSE))</f>
        <v>0</v>
      </c>
      <c r="C227" s="8" t="s">
        <v>239</v>
      </c>
      <c r="D227" s="26" t="str">
        <f>VLOOKUP($C227,classifications!$C:$J,4,FALSE)</f>
        <v>MD</v>
      </c>
      <c r="E227" s="26">
        <f>VLOOKUP(C227,classifications!C:K,9,FALSE)</f>
        <v>0</v>
      </c>
      <c r="F227" s="36">
        <f t="shared" si="73"/>
        <v>70.603339410079585</v>
      </c>
      <c r="G227" s="71"/>
      <c r="H227" s="37" t="str">
        <f t="shared" si="74"/>
        <v/>
      </c>
      <c r="I227" s="77" t="str">
        <f>IF(H227="","",IF($I$8="A",(RANK(H227,H$11:H$368,1)+COUNTIF(H$11:H227,H227)-1),(RANK(H227,H$11:H$368)+COUNTIF(H$11:H227,H227)-1)))</f>
        <v/>
      </c>
      <c r="J227" s="35"/>
      <c r="K227" s="28" t="str">
        <f t="shared" si="82"/>
        <v/>
      </c>
      <c r="L227" s="36" t="str">
        <f t="shared" si="75"/>
        <v/>
      </c>
      <c r="M227" s="102" t="str">
        <f t="shared" si="83"/>
        <v/>
      </c>
      <c r="N227" s="101" t="str">
        <f t="shared" si="84"/>
        <v/>
      </c>
      <c r="O227" s="94" t="str">
        <f t="shared" si="76"/>
        <v/>
      </c>
      <c r="P227" s="94" t="str">
        <f t="shared" si="91"/>
        <v/>
      </c>
      <c r="Q227" s="94" t="str">
        <f t="shared" si="92"/>
        <v/>
      </c>
      <c r="R227" s="90" t="str">
        <f t="shared" si="93"/>
        <v/>
      </c>
      <c r="S227" s="37" t="str">
        <f t="shared" si="85"/>
        <v/>
      </c>
      <c r="T227" s="176" t="str">
        <f>IF(L227="","",VLOOKUP(L227,classifications!C:K,9,FALSE))</f>
        <v/>
      </c>
      <c r="U227" s="183" t="str">
        <f t="shared" si="77"/>
        <v/>
      </c>
      <c r="V227" s="184" t="str">
        <f>IF(U227="","",IF($I$8="A",(RANK(U227,U$11:U$368)+COUNTIF(U$11:U227,U227)-1),(RANK(U227,U$11:U$368,1)+COUNTIF(U$11:U227,U227)-1)))</f>
        <v/>
      </c>
      <c r="W227" s="185"/>
      <c r="X227" s="38" t="str">
        <f>IF(L227="","",VLOOKUP($L227,classifications!$C:$J,6,FALSE))</f>
        <v/>
      </c>
      <c r="Y227" s="26" t="str">
        <f t="shared" si="78"/>
        <v/>
      </c>
      <c r="Z227" s="34" t="str">
        <f>IF(Y227="","",IF(I$8="A",(RANK(Y227,Y$11:Y$368,1)+COUNTIF(Y$11:Y227,Y227)-1),(RANK(Y227,Y$11:Y$368)+COUNTIF(Y$11:Y227,Y227)-1)))</f>
        <v/>
      </c>
      <c r="AA227" s="188" t="str">
        <f>IF(L227="","",VLOOKUP($L227,classifications!C:I,7,FALSE))</f>
        <v/>
      </c>
      <c r="AB227" s="184" t="str">
        <f t="shared" si="86"/>
        <v/>
      </c>
      <c r="AC227" s="184" t="str">
        <f>IF(AB227="","",IF($I$8="A",(RANK(AB227,AB$11:AB$368)+COUNTIF(AB$11:AB227,AB227)-1),(RANK(AB227,AB$11:AB$368,1)+COUNTIF(AB$11:AB227,AB227)-1)))</f>
        <v/>
      </c>
      <c r="AD227" s="184"/>
      <c r="AE227" s="28" t="str">
        <f t="shared" ref="AE227:AE290" si="96">IF(AE226="","",IF(AE226+1&gt;(COUNT(AG:AG)),"",AE226+1))</f>
        <v/>
      </c>
      <c r="AG227" s="96"/>
      <c r="AH227" s="29"/>
      <c r="AI227" s="38" t="str">
        <f>IF(L227="","",VLOOKUP($L227,classifications!$C:$J,8,FALSE))</f>
        <v/>
      </c>
      <c r="AJ227" s="39" t="str">
        <f t="shared" si="79"/>
        <v/>
      </c>
      <c r="AK227" s="34" t="str">
        <f>IF(AJ227="","",IF(I$8="A",(RANK(AJ227,AJ$11:AJ$368,1)+COUNTIF(AJ$11:AJ227,AJ227)-1),(RANK(AJ227,AJ$11:AJ$368)+COUNTIF(AJ$11:AJ227,AJ227)-1)))</f>
        <v/>
      </c>
      <c r="AL227" s="29" t="str">
        <f t="shared" si="87"/>
        <v/>
      </c>
      <c r="AM227" s="8" t="str">
        <f t="shared" si="80"/>
        <v/>
      </c>
      <c r="AN227" s="8" t="str">
        <f t="shared" si="88"/>
        <v/>
      </c>
      <c r="AP227" s="38" t="str">
        <f>IF(L227="","",VLOOKUP($L227,classifications!$C:$E,3,FALSE))</f>
        <v/>
      </c>
      <c r="AQ227" s="39" t="str">
        <f t="shared" si="89"/>
        <v/>
      </c>
      <c r="AR227" s="34" t="str">
        <f>IF(AQ227="","",IF(I$8="A",(RANK(AQ227,AQ$11:AQ$368,1)+COUNTIF(AQ$11:AQ227,AQ227)-1),(RANK(AQ227,AQ$11:AQ$368)+COUNTIF(AQ$11:AQ227,AQ227)-1)))</f>
        <v/>
      </c>
      <c r="AS227" s="29" t="str">
        <f t="shared" si="90"/>
        <v/>
      </c>
      <c r="AT227" s="34" t="str">
        <f t="shared" si="81"/>
        <v/>
      </c>
      <c r="AU227" s="39" t="str">
        <f t="shared" si="94"/>
        <v/>
      </c>
      <c r="AX227" s="21">
        <f>HLOOKUP($AX$9&amp;$AX$10,Data!$A$1:$ZZ$2000,(MATCH($C227,Data!$A$1:$A$2000,0)),FALSE)</f>
        <v>70.603339410079585</v>
      </c>
      <c r="AY227" s="103"/>
      <c r="AZ227" s="21"/>
    </row>
    <row r="228" spans="1:52">
      <c r="A228" s="56" t="str">
        <f>$D$1&amp;218</f>
        <v>SD218</v>
      </c>
      <c r="B228" s="57">
        <f>IF(ISERROR(VLOOKUP(A228,classifications!A:C,3,FALSE)),0,VLOOKUP(A228,classifications!A:C,3,FALSE))</f>
        <v>0</v>
      </c>
      <c r="C228" s="8" t="s">
        <v>118</v>
      </c>
      <c r="D228" s="26" t="str">
        <f>VLOOKUP($C228,classifications!$C:$J,4,FALSE)</f>
        <v>SD</v>
      </c>
      <c r="E228" s="26">
        <f>VLOOKUP(C228,classifications!C:K,9,FALSE)</f>
        <v>0</v>
      </c>
      <c r="F228" s="36">
        <f t="shared" si="73"/>
        <v>86.735237422815842</v>
      </c>
      <c r="G228" s="71"/>
      <c r="H228" s="37">
        <f t="shared" si="74"/>
        <v>86.735237422815842</v>
      </c>
      <c r="I228" s="77">
        <f>IF(H228="","",IF($I$8="A",(RANK(H228,H$11:H$368,1)+COUNTIF(H$11:H228,H228)-1),(RANK(H228,H$11:H$368)+COUNTIF(H$11:H228,H228)-1)))</f>
        <v>11</v>
      </c>
      <c r="J228" s="35"/>
      <c r="K228" s="28" t="str">
        <f t="shared" si="82"/>
        <v/>
      </c>
      <c r="L228" s="36" t="str">
        <f t="shared" si="75"/>
        <v/>
      </c>
      <c r="M228" s="102" t="str">
        <f t="shared" si="83"/>
        <v/>
      </c>
      <c r="N228" s="101" t="str">
        <f t="shared" si="84"/>
        <v/>
      </c>
      <c r="O228" s="94" t="str">
        <f t="shared" si="76"/>
        <v/>
      </c>
      <c r="P228" s="94" t="str">
        <f t="shared" si="91"/>
        <v/>
      </c>
      <c r="Q228" s="94" t="str">
        <f t="shared" si="92"/>
        <v/>
      </c>
      <c r="R228" s="90" t="str">
        <f t="shared" si="93"/>
        <v/>
      </c>
      <c r="S228" s="37" t="str">
        <f t="shared" si="85"/>
        <v/>
      </c>
      <c r="T228" s="176" t="str">
        <f>IF(L228="","",VLOOKUP(L228,classifications!C:K,9,FALSE))</f>
        <v/>
      </c>
      <c r="U228" s="183" t="str">
        <f t="shared" si="77"/>
        <v/>
      </c>
      <c r="V228" s="184" t="str">
        <f>IF(U228="","",IF($I$8="A",(RANK(U228,U$11:U$368)+COUNTIF(U$11:U228,U228)-1),(RANK(U228,U$11:U$368,1)+COUNTIF(U$11:U228,U228)-1)))</f>
        <v/>
      </c>
      <c r="W228" s="185"/>
      <c r="X228" s="38" t="str">
        <f>IF(L228="","",VLOOKUP($L228,classifications!$C:$J,6,FALSE))</f>
        <v/>
      </c>
      <c r="Y228" s="26" t="str">
        <f t="shared" si="78"/>
        <v/>
      </c>
      <c r="Z228" s="34" t="str">
        <f>IF(Y228="","",IF(I$8="A",(RANK(Y228,Y$11:Y$368,1)+COUNTIF(Y$11:Y228,Y228)-1),(RANK(Y228,Y$11:Y$368)+COUNTIF(Y$11:Y228,Y228)-1)))</f>
        <v/>
      </c>
      <c r="AA228" s="188" t="str">
        <f>IF(L228="","",VLOOKUP($L228,classifications!C:I,7,FALSE))</f>
        <v/>
      </c>
      <c r="AB228" s="184" t="str">
        <f t="shared" si="86"/>
        <v/>
      </c>
      <c r="AC228" s="184" t="str">
        <f>IF(AB228="","",IF($I$8="A",(RANK(AB228,AB$11:AB$368)+COUNTIF(AB$11:AB228,AB228)-1),(RANK(AB228,AB$11:AB$368,1)+COUNTIF(AB$11:AB228,AB228)-1)))</f>
        <v/>
      </c>
      <c r="AD228" s="184"/>
      <c r="AE228" s="28" t="str">
        <f t="shared" si="96"/>
        <v/>
      </c>
      <c r="AG228" s="96"/>
      <c r="AH228" s="29"/>
      <c r="AI228" s="38" t="str">
        <f>IF(L228="","",VLOOKUP($L228,classifications!$C:$J,8,FALSE))</f>
        <v/>
      </c>
      <c r="AJ228" s="39" t="str">
        <f t="shared" si="79"/>
        <v/>
      </c>
      <c r="AK228" s="34" t="str">
        <f>IF(AJ228="","",IF(I$8="A",(RANK(AJ228,AJ$11:AJ$368,1)+COUNTIF(AJ$11:AJ228,AJ228)-1),(RANK(AJ228,AJ$11:AJ$368)+COUNTIF(AJ$11:AJ228,AJ228)-1)))</f>
        <v/>
      </c>
      <c r="AL228" s="29" t="str">
        <f t="shared" si="87"/>
        <v/>
      </c>
      <c r="AM228" s="8" t="str">
        <f t="shared" si="80"/>
        <v/>
      </c>
      <c r="AN228" s="8" t="str">
        <f t="shared" si="88"/>
        <v/>
      </c>
      <c r="AP228" s="38" t="str">
        <f>IF(L228="","",VLOOKUP($L228,classifications!$C:$E,3,FALSE))</f>
        <v/>
      </c>
      <c r="AQ228" s="39" t="str">
        <f t="shared" si="89"/>
        <v/>
      </c>
      <c r="AR228" s="34" t="str">
        <f>IF(AQ228="","",IF(I$8="A",(RANK(AQ228,AQ$11:AQ$368,1)+COUNTIF(AQ$11:AQ228,AQ228)-1),(RANK(AQ228,AQ$11:AQ$368)+COUNTIF(AQ$11:AQ228,AQ228)-1)))</f>
        <v/>
      </c>
      <c r="AS228" s="29" t="str">
        <f t="shared" si="90"/>
        <v/>
      </c>
      <c r="AT228" s="34" t="str">
        <f t="shared" si="81"/>
        <v/>
      </c>
      <c r="AU228" s="39" t="str">
        <f t="shared" si="94"/>
        <v/>
      </c>
      <c r="AX228" s="21">
        <f>HLOOKUP($AX$9&amp;$AX$10,Data!$A$1:$ZZ$2000,(MATCH($C228,Data!$A$1:$A$2000,0)),FALSE)</f>
        <v>86.735237422815842</v>
      </c>
      <c r="AY228" s="103"/>
      <c r="AZ228" s="21"/>
    </row>
    <row r="229" spans="1:52">
      <c r="A229" s="56" t="str">
        <f>$D$1&amp;219</f>
        <v>SD219</v>
      </c>
      <c r="B229" s="57">
        <f>IF(ISERROR(VLOOKUP(A229,classifications!A:C,3,FALSE)),0,VLOOKUP(A229,classifications!A:C,3,FALSE))</f>
        <v>0</v>
      </c>
      <c r="C229" s="8" t="s">
        <v>324</v>
      </c>
      <c r="D229" s="26" t="str">
        <f>VLOOKUP($C229,classifications!$C:$J,4,FALSE)</f>
        <v>SC</v>
      </c>
      <c r="E229" s="26">
        <f>VLOOKUP(C229,classifications!C:K,9,FALSE)</f>
        <v>0</v>
      </c>
      <c r="F229" s="36">
        <f t="shared" si="73"/>
        <v>85.799793992905265</v>
      </c>
      <c r="G229" s="71"/>
      <c r="H229" s="37" t="str">
        <f t="shared" si="74"/>
        <v/>
      </c>
      <c r="I229" s="77" t="str">
        <f>IF(H229="","",IF($I$8="A",(RANK(H229,H$11:H$368,1)+COUNTIF(H$11:H229,H229)-1),(RANK(H229,H$11:H$368)+COUNTIF(H$11:H229,H229)-1)))</f>
        <v/>
      </c>
      <c r="J229" s="35"/>
      <c r="K229" s="28" t="str">
        <f t="shared" si="82"/>
        <v/>
      </c>
      <c r="L229" s="36" t="str">
        <f t="shared" si="75"/>
        <v/>
      </c>
      <c r="M229" s="102" t="str">
        <f t="shared" si="83"/>
        <v/>
      </c>
      <c r="N229" s="101" t="str">
        <f t="shared" si="84"/>
        <v/>
      </c>
      <c r="O229" s="94" t="str">
        <f t="shared" si="76"/>
        <v/>
      </c>
      <c r="P229" s="94" t="str">
        <f t="shared" si="91"/>
        <v/>
      </c>
      <c r="Q229" s="94" t="str">
        <f t="shared" si="92"/>
        <v/>
      </c>
      <c r="R229" s="90" t="str">
        <f t="shared" si="93"/>
        <v/>
      </c>
      <c r="S229" s="37" t="str">
        <f t="shared" si="85"/>
        <v/>
      </c>
      <c r="T229" s="176" t="str">
        <f>IF(L229="","",VLOOKUP(L229,classifications!C:K,9,FALSE))</f>
        <v/>
      </c>
      <c r="U229" s="183" t="str">
        <f t="shared" si="77"/>
        <v/>
      </c>
      <c r="V229" s="184" t="str">
        <f>IF(U229="","",IF($I$8="A",(RANK(U229,U$11:U$368)+COUNTIF(U$11:U229,U229)-1),(RANK(U229,U$11:U$368,1)+COUNTIF(U$11:U229,U229)-1)))</f>
        <v/>
      </c>
      <c r="W229" s="185"/>
      <c r="X229" s="38" t="str">
        <f>IF(L229="","",VLOOKUP($L229,classifications!$C:$J,6,FALSE))</f>
        <v/>
      </c>
      <c r="Y229" s="26" t="str">
        <f t="shared" si="78"/>
        <v/>
      </c>
      <c r="Z229" s="34" t="str">
        <f>IF(Y229="","",IF(I$8="A",(RANK(Y229,Y$11:Y$368,1)+COUNTIF(Y$11:Y229,Y229)-1),(RANK(Y229,Y$11:Y$368)+COUNTIF(Y$11:Y229,Y229)-1)))</f>
        <v/>
      </c>
      <c r="AA229" s="188" t="str">
        <f>IF(L229="","",VLOOKUP($L229,classifications!C:I,7,FALSE))</f>
        <v/>
      </c>
      <c r="AB229" s="184" t="str">
        <f t="shared" si="86"/>
        <v/>
      </c>
      <c r="AC229" s="184" t="str">
        <f>IF(AB229="","",IF($I$8="A",(RANK(AB229,AB$11:AB$368)+COUNTIF(AB$11:AB229,AB229)-1),(RANK(AB229,AB$11:AB$368,1)+COUNTIF(AB$11:AB229,AB229)-1)))</f>
        <v/>
      </c>
      <c r="AD229" s="184"/>
      <c r="AE229" s="28" t="str">
        <f t="shared" si="96"/>
        <v/>
      </c>
      <c r="AG229" s="96"/>
      <c r="AH229" s="29"/>
      <c r="AI229" s="38" t="str">
        <f>IF(L229="","",VLOOKUP($L229,classifications!$C:$J,8,FALSE))</f>
        <v/>
      </c>
      <c r="AJ229" s="39" t="str">
        <f t="shared" si="79"/>
        <v/>
      </c>
      <c r="AK229" s="34" t="str">
        <f>IF(AJ229="","",IF(I$8="A",(RANK(AJ229,AJ$11:AJ$368,1)+COUNTIF(AJ$11:AJ229,AJ229)-1),(RANK(AJ229,AJ$11:AJ$368)+COUNTIF(AJ$11:AJ229,AJ229)-1)))</f>
        <v/>
      </c>
      <c r="AL229" s="29" t="str">
        <f t="shared" si="87"/>
        <v/>
      </c>
      <c r="AM229" s="8" t="str">
        <f t="shared" si="80"/>
        <v/>
      </c>
      <c r="AN229" s="8" t="str">
        <f t="shared" si="88"/>
        <v/>
      </c>
      <c r="AP229" s="38" t="str">
        <f>IF(L229="","",VLOOKUP($L229,classifications!$C:$E,3,FALSE))</f>
        <v/>
      </c>
      <c r="AQ229" s="39" t="str">
        <f t="shared" si="89"/>
        <v/>
      </c>
      <c r="AR229" s="34" t="str">
        <f>IF(AQ229="","",IF(I$8="A",(RANK(AQ229,AQ$11:AQ$368,1)+COUNTIF(AQ$11:AQ229,AQ229)-1),(RANK(AQ229,AQ$11:AQ$368)+COUNTIF(AQ$11:AQ229,AQ229)-1)))</f>
        <v/>
      </c>
      <c r="AS229" s="29" t="str">
        <f t="shared" si="90"/>
        <v/>
      </c>
      <c r="AT229" s="34" t="str">
        <f t="shared" si="81"/>
        <v/>
      </c>
      <c r="AU229" s="39" t="str">
        <f t="shared" si="94"/>
        <v/>
      </c>
      <c r="AX229" s="21">
        <f>HLOOKUP($AX$9&amp;$AX$10,Data!$A$1:$ZZ$2000,(MATCH($C229,Data!$A$1:$A$2000,0)),FALSE)</f>
        <v>85.799793992905265</v>
      </c>
      <c r="AY229" s="103"/>
      <c r="AZ229" s="21"/>
    </row>
    <row r="230" spans="1:52">
      <c r="A230" s="56" t="str">
        <f>$D$1&amp;220</f>
        <v>SD220</v>
      </c>
      <c r="B230" s="57">
        <f>IF(ISERROR(VLOOKUP(A230,classifications!A:C,3,FALSE)),0,VLOOKUP(A230,classifications!A:C,3,FALSE))</f>
        <v>0</v>
      </c>
      <c r="C230" s="8" t="s">
        <v>119</v>
      </c>
      <c r="D230" s="26" t="str">
        <f>VLOOKUP($C230,classifications!$C:$J,4,FALSE)</f>
        <v>SD</v>
      </c>
      <c r="E230" s="26">
        <f>VLOOKUP(C230,classifications!C:K,9,FALSE)</f>
        <v>0</v>
      </c>
      <c r="F230" s="36">
        <f t="shared" si="73"/>
        <v>75.166650807951314</v>
      </c>
      <c r="G230" s="71"/>
      <c r="H230" s="37">
        <f t="shared" si="74"/>
        <v>75.166650807951314</v>
      </c>
      <c r="I230" s="77">
        <f>IF(H230="","",IF($I$8="A",(RANK(H230,H$11:H$368,1)+COUNTIF(H$11:H230,H230)-1),(RANK(H230,H$11:H$368)+COUNTIF(H$11:H230,H230)-1)))</f>
        <v>177</v>
      </c>
      <c r="J230" s="35"/>
      <c r="K230" s="28" t="str">
        <f t="shared" si="82"/>
        <v/>
      </c>
      <c r="L230" s="36" t="str">
        <f t="shared" si="75"/>
        <v/>
      </c>
      <c r="M230" s="102" t="str">
        <f t="shared" si="83"/>
        <v/>
      </c>
      <c r="N230" s="101" t="str">
        <f t="shared" si="84"/>
        <v/>
      </c>
      <c r="O230" s="94" t="str">
        <f t="shared" si="76"/>
        <v/>
      </c>
      <c r="P230" s="94" t="str">
        <f t="shared" si="91"/>
        <v/>
      </c>
      <c r="Q230" s="94" t="str">
        <f t="shared" si="92"/>
        <v/>
      </c>
      <c r="R230" s="90" t="str">
        <f t="shared" si="93"/>
        <v/>
      </c>
      <c r="S230" s="37" t="str">
        <f t="shared" si="85"/>
        <v/>
      </c>
      <c r="T230" s="176" t="str">
        <f>IF(L230="","",VLOOKUP(L230,classifications!C:K,9,FALSE))</f>
        <v/>
      </c>
      <c r="U230" s="183" t="str">
        <f t="shared" si="77"/>
        <v/>
      </c>
      <c r="V230" s="184" t="str">
        <f>IF(U230="","",IF($I$8="A",(RANK(U230,U$11:U$368)+COUNTIF(U$11:U230,U230)-1),(RANK(U230,U$11:U$368,1)+COUNTIF(U$11:U230,U230)-1)))</f>
        <v/>
      </c>
      <c r="W230" s="185"/>
      <c r="X230" s="38" t="str">
        <f>IF(L230="","",VLOOKUP($L230,classifications!$C:$J,6,FALSE))</f>
        <v/>
      </c>
      <c r="Y230" s="26" t="str">
        <f t="shared" si="78"/>
        <v/>
      </c>
      <c r="Z230" s="34" t="str">
        <f>IF(Y230="","",IF(I$8="A",(RANK(Y230,Y$11:Y$368,1)+COUNTIF(Y$11:Y230,Y230)-1),(RANK(Y230,Y$11:Y$368)+COUNTIF(Y$11:Y230,Y230)-1)))</f>
        <v/>
      </c>
      <c r="AA230" s="188" t="str">
        <f>IF(L230="","",VLOOKUP($L230,classifications!C:I,7,FALSE))</f>
        <v/>
      </c>
      <c r="AB230" s="184" t="str">
        <f t="shared" si="86"/>
        <v/>
      </c>
      <c r="AC230" s="184" t="str">
        <f>IF(AB230="","",IF($I$8="A",(RANK(AB230,AB$11:AB$368)+COUNTIF(AB$11:AB230,AB230)-1),(RANK(AB230,AB$11:AB$368,1)+COUNTIF(AB$11:AB230,AB230)-1)))</f>
        <v/>
      </c>
      <c r="AD230" s="184"/>
      <c r="AE230" s="28" t="str">
        <f t="shared" si="96"/>
        <v/>
      </c>
      <c r="AG230" s="96"/>
      <c r="AH230" s="29"/>
      <c r="AI230" s="38" t="str">
        <f>IF(L230="","",VLOOKUP($L230,classifications!$C:$J,8,FALSE))</f>
        <v/>
      </c>
      <c r="AJ230" s="39" t="str">
        <f t="shared" si="79"/>
        <v/>
      </c>
      <c r="AK230" s="34" t="str">
        <f>IF(AJ230="","",IF(I$8="A",(RANK(AJ230,AJ$11:AJ$368,1)+COUNTIF(AJ$11:AJ230,AJ230)-1),(RANK(AJ230,AJ$11:AJ$368)+COUNTIF(AJ$11:AJ230,AJ230)-1)))</f>
        <v/>
      </c>
      <c r="AL230" s="29" t="str">
        <f t="shared" si="87"/>
        <v/>
      </c>
      <c r="AM230" s="8" t="str">
        <f t="shared" si="80"/>
        <v/>
      </c>
      <c r="AN230" s="8" t="str">
        <f t="shared" si="88"/>
        <v/>
      </c>
      <c r="AP230" s="38" t="str">
        <f>IF(L230="","",VLOOKUP($L230,classifications!$C:$E,3,FALSE))</f>
        <v/>
      </c>
      <c r="AQ230" s="39" t="str">
        <f t="shared" si="89"/>
        <v/>
      </c>
      <c r="AR230" s="34" t="str">
        <f>IF(AQ230="","",IF(I$8="A",(RANK(AQ230,AQ$11:AQ$368,1)+COUNTIF(AQ$11:AQ230,AQ230)-1),(RANK(AQ230,AQ$11:AQ$368)+COUNTIF(AQ$11:AQ230,AQ230)-1)))</f>
        <v/>
      </c>
      <c r="AS230" s="29" t="str">
        <f t="shared" si="90"/>
        <v/>
      </c>
      <c r="AT230" s="34" t="str">
        <f t="shared" si="81"/>
        <v/>
      </c>
      <c r="AU230" s="39" t="str">
        <f t="shared" si="94"/>
        <v/>
      </c>
      <c r="AX230" s="21">
        <f>HLOOKUP($AX$9&amp;$AX$10,Data!$A$1:$ZZ$2000,(MATCH($C230,Data!$A$1:$A$2000,0)),FALSE)</f>
        <v>75.166650807951314</v>
      </c>
      <c r="AY230" s="103"/>
      <c r="AZ230" s="21"/>
    </row>
    <row r="231" spans="1:52">
      <c r="A231" s="56" t="str">
        <f>$D$1&amp;221</f>
        <v>SD221</v>
      </c>
      <c r="B231" s="57">
        <f>IF(ISERROR(VLOOKUP(A231,classifications!A:C,3,FALSE)),0,VLOOKUP(A231,classifications!A:C,3,FALSE))</f>
        <v>0</v>
      </c>
      <c r="C231" s="8" t="s">
        <v>280</v>
      </c>
      <c r="D231" s="26" t="str">
        <f>VLOOKUP($C231,classifications!$C:$J,4,FALSE)</f>
        <v>UA</v>
      </c>
      <c r="E231" s="26">
        <f>VLOOKUP(C231,classifications!C:K,9,FALSE)</f>
        <v>0</v>
      </c>
      <c r="F231" s="36">
        <f t="shared" si="73"/>
        <v>76.276021733669822</v>
      </c>
      <c r="G231" s="71"/>
      <c r="H231" s="37" t="str">
        <f t="shared" si="74"/>
        <v/>
      </c>
      <c r="I231" s="77" t="str">
        <f>IF(H231="","",IF($I$8="A",(RANK(H231,H$11:H$368,1)+COUNTIF(H$11:H231,H231)-1),(RANK(H231,H$11:H$368)+COUNTIF(H$11:H231,H231)-1)))</f>
        <v/>
      </c>
      <c r="J231" s="35"/>
      <c r="K231" s="28" t="str">
        <f t="shared" si="82"/>
        <v/>
      </c>
      <c r="L231" s="36" t="str">
        <f t="shared" si="75"/>
        <v/>
      </c>
      <c r="M231" s="102" t="str">
        <f t="shared" si="83"/>
        <v/>
      </c>
      <c r="N231" s="101" t="str">
        <f t="shared" si="84"/>
        <v/>
      </c>
      <c r="O231" s="94" t="str">
        <f t="shared" si="76"/>
        <v/>
      </c>
      <c r="P231" s="94" t="str">
        <f t="shared" si="91"/>
        <v/>
      </c>
      <c r="Q231" s="94" t="str">
        <f t="shared" si="92"/>
        <v/>
      </c>
      <c r="R231" s="90" t="str">
        <f t="shared" si="93"/>
        <v/>
      </c>
      <c r="S231" s="37" t="str">
        <f t="shared" si="85"/>
        <v/>
      </c>
      <c r="T231" s="176" t="str">
        <f>IF(L231="","",VLOOKUP(L231,classifications!C:K,9,FALSE))</f>
        <v/>
      </c>
      <c r="U231" s="183" t="str">
        <f t="shared" si="77"/>
        <v/>
      </c>
      <c r="V231" s="184" t="str">
        <f>IF(U231="","",IF($I$8="A",(RANK(U231,U$11:U$368)+COUNTIF(U$11:U231,U231)-1),(RANK(U231,U$11:U$368,1)+COUNTIF(U$11:U231,U231)-1)))</f>
        <v/>
      </c>
      <c r="W231" s="185"/>
      <c r="X231" s="38" t="str">
        <f>IF(L231="","",VLOOKUP($L231,classifications!$C:$J,6,FALSE))</f>
        <v/>
      </c>
      <c r="Y231" s="26" t="str">
        <f t="shared" si="78"/>
        <v/>
      </c>
      <c r="Z231" s="34" t="str">
        <f>IF(Y231="","",IF(I$8="A",(RANK(Y231,Y$11:Y$368,1)+COUNTIF(Y$11:Y231,Y231)-1),(RANK(Y231,Y$11:Y$368)+COUNTIF(Y$11:Y231,Y231)-1)))</f>
        <v/>
      </c>
      <c r="AA231" s="188" t="str">
        <f>IF(L231="","",VLOOKUP($L231,classifications!C:I,7,FALSE))</f>
        <v/>
      </c>
      <c r="AB231" s="184" t="str">
        <f t="shared" si="86"/>
        <v/>
      </c>
      <c r="AC231" s="184" t="str">
        <f>IF(AB231="","",IF($I$8="A",(RANK(AB231,AB$11:AB$368)+COUNTIF(AB$11:AB231,AB231)-1),(RANK(AB231,AB$11:AB$368,1)+COUNTIF(AB$11:AB231,AB231)-1)))</f>
        <v/>
      </c>
      <c r="AD231" s="184"/>
      <c r="AE231" s="28" t="str">
        <f t="shared" si="96"/>
        <v/>
      </c>
      <c r="AG231" s="96"/>
      <c r="AH231" s="29"/>
      <c r="AI231" s="38" t="str">
        <f>IF(L231="","",VLOOKUP($L231,classifications!$C:$J,8,FALSE))</f>
        <v/>
      </c>
      <c r="AJ231" s="39" t="str">
        <f t="shared" si="79"/>
        <v/>
      </c>
      <c r="AK231" s="34" t="str">
        <f>IF(AJ231="","",IF(I$8="A",(RANK(AJ231,AJ$11:AJ$368,1)+COUNTIF(AJ$11:AJ231,AJ231)-1),(RANK(AJ231,AJ$11:AJ$368)+COUNTIF(AJ$11:AJ231,AJ231)-1)))</f>
        <v/>
      </c>
      <c r="AL231" s="29" t="str">
        <f t="shared" si="87"/>
        <v/>
      </c>
      <c r="AM231" s="8" t="str">
        <f t="shared" si="80"/>
        <v/>
      </c>
      <c r="AN231" s="8" t="str">
        <f t="shared" si="88"/>
        <v/>
      </c>
      <c r="AP231" s="38" t="str">
        <f>IF(L231="","",VLOOKUP($L231,classifications!$C:$E,3,FALSE))</f>
        <v/>
      </c>
      <c r="AQ231" s="39" t="str">
        <f t="shared" si="89"/>
        <v/>
      </c>
      <c r="AR231" s="34" t="str">
        <f>IF(AQ231="","",IF(I$8="A",(RANK(AQ231,AQ$11:AQ$368,1)+COUNTIF(AQ$11:AQ231,AQ231)-1),(RANK(AQ231,AQ$11:AQ$368)+COUNTIF(AQ$11:AQ231,AQ231)-1)))</f>
        <v/>
      </c>
      <c r="AS231" s="29" t="str">
        <f t="shared" si="90"/>
        <v/>
      </c>
      <c r="AT231" s="34" t="str">
        <f t="shared" si="81"/>
        <v/>
      </c>
      <c r="AU231" s="39" t="str">
        <f t="shared" si="94"/>
        <v/>
      </c>
      <c r="AX231" s="21">
        <f>HLOOKUP($AX$9&amp;$AX$10,Data!$A$1:$ZZ$2000,(MATCH($C231,Data!$A$1:$A$2000,0)),FALSE)</f>
        <v>76.276021733669822</v>
      </c>
      <c r="AY231" s="103"/>
      <c r="AZ231" s="21"/>
    </row>
    <row r="232" spans="1:52">
      <c r="A232" s="56" t="str">
        <f>$D$1&amp;222</f>
        <v>SD222</v>
      </c>
      <c r="B232" s="57">
        <f>IF(ISERROR(VLOOKUP(A232,classifications!A:C,3,FALSE)),0,VLOOKUP(A232,classifications!A:C,3,FALSE))</f>
        <v>0</v>
      </c>
      <c r="C232" s="8" t="s">
        <v>281</v>
      </c>
      <c r="D232" s="26" t="str">
        <f>VLOOKUP($C232,classifications!$C:$J,4,FALSE)</f>
        <v>UA</v>
      </c>
      <c r="E232" s="26">
        <f>VLOOKUP(C232,classifications!C:K,9,FALSE)</f>
        <v>0</v>
      </c>
      <c r="F232" s="36">
        <f t="shared" si="73"/>
        <v>80.856298196205856</v>
      </c>
      <c r="G232" s="71"/>
      <c r="H232" s="37" t="str">
        <f t="shared" si="74"/>
        <v/>
      </c>
      <c r="I232" s="77" t="str">
        <f>IF(H232="","",IF($I$8="A",(RANK(H232,H$11:H$368,1)+COUNTIF(H$11:H232,H232)-1),(RANK(H232,H$11:H$368)+COUNTIF(H$11:H232,H232)-1)))</f>
        <v/>
      </c>
      <c r="J232" s="35"/>
      <c r="K232" s="28" t="str">
        <f t="shared" si="82"/>
        <v/>
      </c>
      <c r="L232" s="36" t="str">
        <f t="shared" si="75"/>
        <v/>
      </c>
      <c r="M232" s="102" t="str">
        <f t="shared" si="83"/>
        <v/>
      </c>
      <c r="N232" s="101" t="str">
        <f t="shared" si="84"/>
        <v/>
      </c>
      <c r="O232" s="94" t="str">
        <f t="shared" si="76"/>
        <v/>
      </c>
      <c r="P232" s="94" t="str">
        <f t="shared" si="91"/>
        <v/>
      </c>
      <c r="Q232" s="94" t="str">
        <f t="shared" si="92"/>
        <v/>
      </c>
      <c r="R232" s="90" t="str">
        <f t="shared" si="93"/>
        <v/>
      </c>
      <c r="S232" s="37" t="str">
        <f t="shared" si="85"/>
        <v/>
      </c>
      <c r="T232" s="176" t="str">
        <f>IF(L232="","",VLOOKUP(L232,classifications!C:K,9,FALSE))</f>
        <v/>
      </c>
      <c r="U232" s="183" t="str">
        <f t="shared" si="77"/>
        <v/>
      </c>
      <c r="V232" s="184" t="str">
        <f>IF(U232="","",IF($I$8="A",(RANK(U232,U$11:U$368)+COUNTIF(U$11:U232,U232)-1),(RANK(U232,U$11:U$368,1)+COUNTIF(U$11:U232,U232)-1)))</f>
        <v/>
      </c>
      <c r="W232" s="185"/>
      <c r="X232" s="38" t="str">
        <f>IF(L232="","",VLOOKUP($L232,classifications!$C:$J,6,FALSE))</f>
        <v/>
      </c>
      <c r="Y232" s="26" t="str">
        <f t="shared" si="78"/>
        <v/>
      </c>
      <c r="Z232" s="34" t="str">
        <f>IF(Y232="","",IF(I$8="A",(RANK(Y232,Y$11:Y$368,1)+COUNTIF(Y$11:Y232,Y232)-1),(RANK(Y232,Y$11:Y$368)+COUNTIF(Y$11:Y232,Y232)-1)))</f>
        <v/>
      </c>
      <c r="AA232" s="188" t="str">
        <f>IF(L232="","",VLOOKUP($L232,classifications!C:I,7,FALSE))</f>
        <v/>
      </c>
      <c r="AB232" s="184" t="str">
        <f t="shared" si="86"/>
        <v/>
      </c>
      <c r="AC232" s="184" t="str">
        <f>IF(AB232="","",IF($I$8="A",(RANK(AB232,AB$11:AB$368)+COUNTIF(AB$11:AB232,AB232)-1),(RANK(AB232,AB$11:AB$368,1)+COUNTIF(AB$11:AB232,AB232)-1)))</f>
        <v/>
      </c>
      <c r="AD232" s="184"/>
      <c r="AE232" s="28" t="str">
        <f t="shared" si="96"/>
        <v/>
      </c>
      <c r="AG232" s="96"/>
      <c r="AH232" s="29"/>
      <c r="AI232" s="38" t="str">
        <f>IF(L232="","",VLOOKUP($L232,classifications!$C:$J,8,FALSE))</f>
        <v/>
      </c>
      <c r="AJ232" s="39" t="str">
        <f t="shared" si="79"/>
        <v/>
      </c>
      <c r="AK232" s="34" t="str">
        <f>IF(AJ232="","",IF(I$8="A",(RANK(AJ232,AJ$11:AJ$368,1)+COUNTIF(AJ$11:AJ232,AJ232)-1),(RANK(AJ232,AJ$11:AJ$368)+COUNTIF(AJ$11:AJ232,AJ232)-1)))</f>
        <v/>
      </c>
      <c r="AL232" s="29" t="str">
        <f t="shared" si="87"/>
        <v/>
      </c>
      <c r="AM232" s="8" t="str">
        <f t="shared" si="80"/>
        <v/>
      </c>
      <c r="AN232" s="8" t="str">
        <f t="shared" si="88"/>
        <v/>
      </c>
      <c r="AP232" s="38" t="str">
        <f>IF(L232="","",VLOOKUP($L232,classifications!$C:$E,3,FALSE))</f>
        <v/>
      </c>
      <c r="AQ232" s="39" t="str">
        <f t="shared" si="89"/>
        <v/>
      </c>
      <c r="AR232" s="34" t="str">
        <f>IF(AQ232="","",IF(I$8="A",(RANK(AQ232,AQ$11:AQ$368,1)+COUNTIF(AQ$11:AQ232,AQ232)-1),(RANK(AQ232,AQ$11:AQ$368)+COUNTIF(AQ$11:AQ232,AQ232)-1)))</f>
        <v/>
      </c>
      <c r="AS232" s="29" t="str">
        <f t="shared" si="90"/>
        <v/>
      </c>
      <c r="AT232" s="34" t="str">
        <f t="shared" si="81"/>
        <v/>
      </c>
      <c r="AU232" s="39" t="str">
        <f t="shared" si="94"/>
        <v/>
      </c>
      <c r="AX232" s="21">
        <f>HLOOKUP($AX$9&amp;$AX$10,Data!$A$1:$ZZ$2000,(MATCH($C232,Data!$A$1:$A$2000,0)),FALSE)</f>
        <v>80.856298196205856</v>
      </c>
      <c r="AY232" s="103"/>
      <c r="AZ232" s="21"/>
    </row>
    <row r="233" spans="1:52">
      <c r="A233" s="56" t="str">
        <f>$D$1&amp;223</f>
        <v>SD223</v>
      </c>
      <c r="B233" s="57">
        <f>IF(ISERROR(VLOOKUP(A233,classifications!A:C,3,FALSE)),0,VLOOKUP(A233,classifications!A:C,3,FALSE))</f>
        <v>0</v>
      </c>
      <c r="C233" s="8" t="s">
        <v>282</v>
      </c>
      <c r="D233" s="26" t="str">
        <f>VLOOKUP($C233,classifications!$C:$J,4,FALSE)</f>
        <v>UA</v>
      </c>
      <c r="E233" s="26">
        <f>VLOOKUP(C233,classifications!C:K,9,FALSE)</f>
        <v>0</v>
      </c>
      <c r="F233" s="36" t="str">
        <f t="shared" si="73"/>
        <v>-</v>
      </c>
      <c r="G233" s="71"/>
      <c r="H233" s="37" t="str">
        <f t="shared" si="74"/>
        <v/>
      </c>
      <c r="I233" s="77" t="str">
        <f>IF(H233="","",IF($I$8="A",(RANK(H233,H$11:H$368,1)+COUNTIF(H$11:H233,H233)-1),(RANK(H233,H$11:H$368)+COUNTIF(H$11:H233,H233)-1)))</f>
        <v/>
      </c>
      <c r="J233" s="35"/>
      <c r="K233" s="28" t="str">
        <f t="shared" si="82"/>
        <v/>
      </c>
      <c r="L233" s="36" t="str">
        <f t="shared" si="75"/>
        <v/>
      </c>
      <c r="M233" s="102" t="str">
        <f t="shared" si="83"/>
        <v/>
      </c>
      <c r="N233" s="101" t="str">
        <f t="shared" si="84"/>
        <v/>
      </c>
      <c r="O233" s="94" t="str">
        <f t="shared" si="76"/>
        <v/>
      </c>
      <c r="P233" s="94" t="str">
        <f t="shared" si="91"/>
        <v/>
      </c>
      <c r="Q233" s="94" t="str">
        <f t="shared" si="92"/>
        <v/>
      </c>
      <c r="R233" s="90" t="str">
        <f t="shared" si="93"/>
        <v/>
      </c>
      <c r="S233" s="37" t="str">
        <f t="shared" si="85"/>
        <v/>
      </c>
      <c r="T233" s="176" t="str">
        <f>IF(L233="","",VLOOKUP(L233,classifications!C:K,9,FALSE))</f>
        <v/>
      </c>
      <c r="U233" s="183" t="str">
        <f t="shared" si="77"/>
        <v/>
      </c>
      <c r="V233" s="184" t="str">
        <f>IF(U233="","",IF($I$8="A",(RANK(U233,U$11:U$368)+COUNTIF(U$11:U233,U233)-1),(RANK(U233,U$11:U$368,1)+COUNTIF(U$11:U233,U233)-1)))</f>
        <v/>
      </c>
      <c r="W233" s="185"/>
      <c r="X233" s="38" t="str">
        <f>IF(L233="","",VLOOKUP($L233,classifications!$C:$J,6,FALSE))</f>
        <v/>
      </c>
      <c r="Y233" s="26" t="str">
        <f t="shared" si="78"/>
        <v/>
      </c>
      <c r="Z233" s="34" t="str">
        <f>IF(Y233="","",IF(I$8="A",(RANK(Y233,Y$11:Y$368,1)+COUNTIF(Y$11:Y233,Y233)-1),(RANK(Y233,Y$11:Y$368)+COUNTIF(Y$11:Y233,Y233)-1)))</f>
        <v/>
      </c>
      <c r="AA233" s="188" t="str">
        <f>IF(L233="","",VLOOKUP($L233,classifications!C:I,7,FALSE))</f>
        <v/>
      </c>
      <c r="AB233" s="184" t="str">
        <f t="shared" si="86"/>
        <v/>
      </c>
      <c r="AC233" s="184" t="str">
        <f>IF(AB233="","",IF($I$8="A",(RANK(AB233,AB$11:AB$368)+COUNTIF(AB$11:AB233,AB233)-1),(RANK(AB233,AB$11:AB$368,1)+COUNTIF(AB$11:AB233,AB233)-1)))</f>
        <v/>
      </c>
      <c r="AD233" s="184"/>
      <c r="AE233" s="28" t="str">
        <f t="shared" si="96"/>
        <v/>
      </c>
      <c r="AG233" s="96"/>
      <c r="AH233" s="29"/>
      <c r="AI233" s="38" t="str">
        <f>IF(L233="","",VLOOKUP($L233,classifications!$C:$J,8,FALSE))</f>
        <v/>
      </c>
      <c r="AJ233" s="39" t="str">
        <f t="shared" si="79"/>
        <v/>
      </c>
      <c r="AK233" s="34" t="str">
        <f>IF(AJ233="","",IF(I$8="A",(RANK(AJ233,AJ$11:AJ$368,1)+COUNTIF(AJ$11:AJ233,AJ233)-1),(RANK(AJ233,AJ$11:AJ$368)+COUNTIF(AJ$11:AJ233,AJ233)-1)))</f>
        <v/>
      </c>
      <c r="AL233" s="29" t="str">
        <f t="shared" si="87"/>
        <v/>
      </c>
      <c r="AM233" s="8" t="str">
        <f t="shared" si="80"/>
        <v/>
      </c>
      <c r="AN233" s="8" t="str">
        <f t="shared" si="88"/>
        <v/>
      </c>
      <c r="AP233" s="38" t="str">
        <f>IF(L233="","",VLOOKUP($L233,classifications!$C:$E,3,FALSE))</f>
        <v/>
      </c>
      <c r="AQ233" s="39" t="str">
        <f t="shared" si="89"/>
        <v/>
      </c>
      <c r="AR233" s="34" t="str">
        <f>IF(AQ233="","",IF(I$8="A",(RANK(AQ233,AQ$11:AQ$368,1)+COUNTIF(AQ$11:AQ233,AQ233)-1),(RANK(AQ233,AQ$11:AQ$368)+COUNTIF(AQ$11:AQ233,AQ233)-1)))</f>
        <v/>
      </c>
      <c r="AS233" s="29" t="str">
        <f t="shared" si="90"/>
        <v/>
      </c>
      <c r="AT233" s="34" t="str">
        <f t="shared" si="81"/>
        <v/>
      </c>
      <c r="AU233" s="39" t="str">
        <f t="shared" si="94"/>
        <v/>
      </c>
      <c r="AX233" s="21" t="str">
        <f>HLOOKUP($AX$9&amp;$AX$10,Data!$A$1:$ZZ$2000,(MATCH($C233,Data!$A$1:$A$2000,0)),FALSE)</f>
        <v>-</v>
      </c>
      <c r="AY233" s="103"/>
      <c r="AZ233" s="21"/>
    </row>
    <row r="234" spans="1:52">
      <c r="A234" s="56" t="str">
        <f>$D$1&amp;224</f>
        <v>SD224</v>
      </c>
      <c r="B234" s="57">
        <f>IF(ISERROR(VLOOKUP(A234,classifications!A:C,3,FALSE)),0,VLOOKUP(A234,classifications!A:C,3,FALSE))</f>
        <v>0</v>
      </c>
      <c r="C234" s="8" t="s">
        <v>283</v>
      </c>
      <c r="D234" s="26" t="str">
        <f>VLOOKUP($C234,classifications!$C:$J,4,FALSE)</f>
        <v>UA</v>
      </c>
      <c r="E234" s="26">
        <f>VLOOKUP(C234,classifications!C:K,9,FALSE)</f>
        <v>0</v>
      </c>
      <c r="F234" s="36">
        <f t="shared" si="73"/>
        <v>80.711477791899753</v>
      </c>
      <c r="G234" s="71"/>
      <c r="H234" s="37" t="str">
        <f t="shared" si="74"/>
        <v/>
      </c>
      <c r="I234" s="77" t="str">
        <f>IF(H234="","",IF($I$8="A",(RANK(H234,H$11:H$368,1)+COUNTIF(H$11:H234,H234)-1),(RANK(H234,H$11:H$368)+COUNTIF(H$11:H234,H234)-1)))</f>
        <v/>
      </c>
      <c r="J234" s="35"/>
      <c r="K234" s="28" t="str">
        <f t="shared" si="82"/>
        <v/>
      </c>
      <c r="L234" s="36" t="str">
        <f t="shared" si="75"/>
        <v/>
      </c>
      <c r="M234" s="102" t="str">
        <f t="shared" si="83"/>
        <v/>
      </c>
      <c r="N234" s="101" t="str">
        <f t="shared" si="84"/>
        <v/>
      </c>
      <c r="O234" s="94" t="str">
        <f t="shared" si="76"/>
        <v/>
      </c>
      <c r="P234" s="94" t="str">
        <f t="shared" si="91"/>
        <v/>
      </c>
      <c r="Q234" s="94" t="str">
        <f t="shared" si="92"/>
        <v/>
      </c>
      <c r="R234" s="90" t="str">
        <f t="shared" si="93"/>
        <v/>
      </c>
      <c r="S234" s="37" t="str">
        <f t="shared" si="85"/>
        <v/>
      </c>
      <c r="T234" s="176" t="str">
        <f>IF(L234="","",VLOOKUP(L234,classifications!C:K,9,FALSE))</f>
        <v/>
      </c>
      <c r="U234" s="183" t="str">
        <f t="shared" si="77"/>
        <v/>
      </c>
      <c r="V234" s="184" t="str">
        <f>IF(U234="","",IF($I$8="A",(RANK(U234,U$11:U$368)+COUNTIF(U$11:U234,U234)-1),(RANK(U234,U$11:U$368,1)+COUNTIF(U$11:U234,U234)-1)))</f>
        <v/>
      </c>
      <c r="W234" s="185"/>
      <c r="X234" s="38" t="str">
        <f>IF(L234="","",VLOOKUP($L234,classifications!$C:$J,6,FALSE))</f>
        <v/>
      </c>
      <c r="Y234" s="26" t="str">
        <f t="shared" si="78"/>
        <v/>
      </c>
      <c r="Z234" s="34" t="str">
        <f>IF(Y234="","",IF(I$8="A",(RANK(Y234,Y$11:Y$368,1)+COUNTIF(Y$11:Y234,Y234)-1),(RANK(Y234,Y$11:Y$368)+COUNTIF(Y$11:Y234,Y234)-1)))</f>
        <v/>
      </c>
      <c r="AA234" s="188" t="str">
        <f>IF(L234="","",VLOOKUP($L234,classifications!C:I,7,FALSE))</f>
        <v/>
      </c>
      <c r="AB234" s="184" t="str">
        <f t="shared" si="86"/>
        <v/>
      </c>
      <c r="AC234" s="184" t="str">
        <f>IF(AB234="","",IF($I$8="A",(RANK(AB234,AB$11:AB$368)+COUNTIF(AB$11:AB234,AB234)-1),(RANK(AB234,AB$11:AB$368,1)+COUNTIF(AB$11:AB234,AB234)-1)))</f>
        <v/>
      </c>
      <c r="AD234" s="184"/>
      <c r="AE234" s="28" t="str">
        <f t="shared" si="96"/>
        <v/>
      </c>
      <c r="AG234" s="96"/>
      <c r="AH234" s="29"/>
      <c r="AI234" s="38" t="str">
        <f>IF(L234="","",VLOOKUP($L234,classifications!$C:$J,8,FALSE))</f>
        <v/>
      </c>
      <c r="AJ234" s="39" t="str">
        <f t="shared" si="79"/>
        <v/>
      </c>
      <c r="AK234" s="34" t="str">
        <f>IF(AJ234="","",IF(I$8="A",(RANK(AJ234,AJ$11:AJ$368,1)+COUNTIF(AJ$11:AJ234,AJ234)-1),(RANK(AJ234,AJ$11:AJ$368)+COUNTIF(AJ$11:AJ234,AJ234)-1)))</f>
        <v/>
      </c>
      <c r="AL234" s="29" t="str">
        <f t="shared" si="87"/>
        <v/>
      </c>
      <c r="AM234" s="8" t="str">
        <f t="shared" si="80"/>
        <v/>
      </c>
      <c r="AN234" s="8" t="str">
        <f t="shared" si="88"/>
        <v/>
      </c>
      <c r="AP234" s="38" t="str">
        <f>IF(L234="","",VLOOKUP($L234,classifications!$C:$E,3,FALSE))</f>
        <v/>
      </c>
      <c r="AQ234" s="39" t="str">
        <f t="shared" si="89"/>
        <v/>
      </c>
      <c r="AR234" s="34" t="str">
        <f>IF(AQ234="","",IF(I$8="A",(RANK(AQ234,AQ$11:AQ$368,1)+COUNTIF(AQ$11:AQ234,AQ234)-1),(RANK(AQ234,AQ$11:AQ$368)+COUNTIF(AQ$11:AQ234,AQ234)-1)))</f>
        <v/>
      </c>
      <c r="AS234" s="29" t="str">
        <f t="shared" si="90"/>
        <v/>
      </c>
      <c r="AT234" s="34" t="str">
        <f t="shared" si="81"/>
        <v/>
      </c>
      <c r="AU234" s="39" t="str">
        <f t="shared" si="94"/>
        <v/>
      </c>
      <c r="AX234" s="21">
        <f>HLOOKUP($AX$9&amp;$AX$10,Data!$A$1:$ZZ$2000,(MATCH($C234,Data!$A$1:$A$2000,0)),FALSE)</f>
        <v>80.711477791899753</v>
      </c>
      <c r="AY234" s="103"/>
      <c r="AZ234" s="21"/>
    </row>
    <row r="235" spans="1:52">
      <c r="A235" s="56" t="str">
        <f>$D$1&amp;225</f>
        <v>SD225</v>
      </c>
      <c r="B235" s="57">
        <f>IF(ISERROR(VLOOKUP(A235,classifications!A:C,3,FALSE)),0,VLOOKUP(A235,classifications!A:C,3,FALSE))</f>
        <v>0</v>
      </c>
      <c r="C235" s="8" t="s">
        <v>120</v>
      </c>
      <c r="D235" s="26" t="str">
        <f>VLOOKUP($C235,classifications!$C:$J,4,FALSE)</f>
        <v>SD</v>
      </c>
      <c r="E235" s="26">
        <f>VLOOKUP(C235,classifications!C:K,9,FALSE)</f>
        <v>0</v>
      </c>
      <c r="F235" s="36">
        <f t="shared" si="73"/>
        <v>78.614964147202414</v>
      </c>
      <c r="G235" s="71"/>
      <c r="H235" s="37">
        <f t="shared" si="74"/>
        <v>78.614964147202414</v>
      </c>
      <c r="I235" s="77">
        <f>IF(H235="","",IF($I$8="A",(RANK(H235,H$11:H$368,1)+COUNTIF(H$11:H235,H235)-1),(RANK(H235,H$11:H$368)+COUNTIF(H$11:H235,H235)-1)))</f>
        <v>145</v>
      </c>
      <c r="J235" s="35"/>
      <c r="K235" s="28" t="str">
        <f t="shared" si="82"/>
        <v/>
      </c>
      <c r="L235" s="36" t="str">
        <f t="shared" si="75"/>
        <v/>
      </c>
      <c r="M235" s="102" t="str">
        <f t="shared" si="83"/>
        <v/>
      </c>
      <c r="N235" s="101" t="str">
        <f t="shared" si="84"/>
        <v/>
      </c>
      <c r="O235" s="94" t="str">
        <f t="shared" si="76"/>
        <v/>
      </c>
      <c r="P235" s="94" t="str">
        <f t="shared" si="91"/>
        <v/>
      </c>
      <c r="Q235" s="94" t="str">
        <f t="shared" si="92"/>
        <v/>
      </c>
      <c r="R235" s="90" t="str">
        <f t="shared" si="93"/>
        <v/>
      </c>
      <c r="S235" s="37" t="str">
        <f t="shared" si="85"/>
        <v/>
      </c>
      <c r="T235" s="176" t="str">
        <f>IF(L235="","",VLOOKUP(L235,classifications!C:K,9,FALSE))</f>
        <v/>
      </c>
      <c r="U235" s="183" t="str">
        <f t="shared" si="77"/>
        <v/>
      </c>
      <c r="V235" s="184" t="str">
        <f>IF(U235="","",IF($I$8="A",(RANK(U235,U$11:U$368)+COUNTIF(U$11:U235,U235)-1),(RANK(U235,U$11:U$368,1)+COUNTIF(U$11:U235,U235)-1)))</f>
        <v/>
      </c>
      <c r="W235" s="185"/>
      <c r="X235" s="38" t="str">
        <f>IF(L235="","",VLOOKUP($L235,classifications!$C:$J,6,FALSE))</f>
        <v/>
      </c>
      <c r="Y235" s="26" t="str">
        <f t="shared" si="78"/>
        <v/>
      </c>
      <c r="Z235" s="34" t="str">
        <f>IF(Y235="","",IF(I$8="A",(RANK(Y235,Y$11:Y$368,1)+COUNTIF(Y$11:Y235,Y235)-1),(RANK(Y235,Y$11:Y$368)+COUNTIF(Y$11:Y235,Y235)-1)))</f>
        <v/>
      </c>
      <c r="AA235" s="188" t="str">
        <f>IF(L235="","",VLOOKUP($L235,classifications!C:I,7,FALSE))</f>
        <v/>
      </c>
      <c r="AB235" s="184" t="str">
        <f t="shared" si="86"/>
        <v/>
      </c>
      <c r="AC235" s="184" t="str">
        <f>IF(AB235="","",IF($I$8="A",(RANK(AB235,AB$11:AB$368)+COUNTIF(AB$11:AB235,AB235)-1),(RANK(AB235,AB$11:AB$368,1)+COUNTIF(AB$11:AB235,AB235)-1)))</f>
        <v/>
      </c>
      <c r="AD235" s="184"/>
      <c r="AE235" s="28" t="str">
        <f t="shared" si="96"/>
        <v/>
      </c>
      <c r="AG235" s="96"/>
      <c r="AH235" s="29"/>
      <c r="AI235" s="38" t="str">
        <f>IF(L235="","",VLOOKUP($L235,classifications!$C:$J,8,FALSE))</f>
        <v/>
      </c>
      <c r="AJ235" s="39" t="str">
        <f t="shared" si="79"/>
        <v/>
      </c>
      <c r="AK235" s="34" t="str">
        <f>IF(AJ235="","",IF(I$8="A",(RANK(AJ235,AJ$11:AJ$368,1)+COUNTIF(AJ$11:AJ235,AJ235)-1),(RANK(AJ235,AJ$11:AJ$368)+COUNTIF(AJ$11:AJ235,AJ235)-1)))</f>
        <v/>
      </c>
      <c r="AL235" s="29" t="str">
        <f t="shared" si="87"/>
        <v/>
      </c>
      <c r="AM235" s="8" t="str">
        <f t="shared" si="80"/>
        <v/>
      </c>
      <c r="AN235" s="8" t="str">
        <f t="shared" si="88"/>
        <v/>
      </c>
      <c r="AP235" s="38" t="str">
        <f>IF(L235="","",VLOOKUP($L235,classifications!$C:$E,3,FALSE))</f>
        <v/>
      </c>
      <c r="AQ235" s="39" t="str">
        <f t="shared" si="89"/>
        <v/>
      </c>
      <c r="AR235" s="34" t="str">
        <f>IF(AQ235="","",IF(I$8="A",(RANK(AQ235,AQ$11:AQ$368,1)+COUNTIF(AQ$11:AQ235,AQ235)-1),(RANK(AQ235,AQ$11:AQ$368)+COUNTIF(AQ$11:AQ235,AQ235)-1)))</f>
        <v/>
      </c>
      <c r="AS235" s="29" t="str">
        <f t="shared" si="90"/>
        <v/>
      </c>
      <c r="AT235" s="34" t="str">
        <f t="shared" si="81"/>
        <v/>
      </c>
      <c r="AU235" s="39" t="str">
        <f t="shared" si="94"/>
        <v/>
      </c>
      <c r="AX235" s="21">
        <f>HLOOKUP($AX$9&amp;$AX$10,Data!$A$1:$ZZ$2000,(MATCH($C235,Data!$A$1:$A$2000,0)),FALSE)</f>
        <v>78.614964147202414</v>
      </c>
      <c r="AY235" s="103"/>
      <c r="AZ235" s="21"/>
    </row>
    <row r="236" spans="1:52">
      <c r="A236" s="56" t="str">
        <f>$D$1&amp;226</f>
        <v>SD226</v>
      </c>
      <c r="B236" s="57">
        <f>IF(ISERROR(VLOOKUP(A236,classifications!A:C,3,FALSE)),0,VLOOKUP(A236,classifications!A:C,3,FALSE))</f>
        <v>0</v>
      </c>
      <c r="C236" s="8" t="s">
        <v>121</v>
      </c>
      <c r="D236" s="26" t="str">
        <f>VLOOKUP($C236,classifications!$C:$J,4,FALSE)</f>
        <v>SD</v>
      </c>
      <c r="E236" s="26">
        <f>VLOOKUP(C236,classifications!C:K,9,FALSE)</f>
        <v>0</v>
      </c>
      <c r="F236" s="36" t="str">
        <f t="shared" si="73"/>
        <v>-</v>
      </c>
      <c r="G236" s="71"/>
      <c r="H236" s="37" t="str">
        <f t="shared" si="74"/>
        <v>-</v>
      </c>
      <c r="I236" s="77" t="e">
        <f>IF(H236="","",IF($I$8="A",(RANK(H236,H$11:H$368,1)+COUNTIF(H$11:H236,H236)-1),(RANK(H236,H$11:H$368)+COUNTIF(H$11:H236,H236)-1)))</f>
        <v>#VALUE!</v>
      </c>
      <c r="J236" s="35"/>
      <c r="K236" s="28" t="str">
        <f t="shared" si="82"/>
        <v/>
      </c>
      <c r="L236" s="36" t="str">
        <f t="shared" si="75"/>
        <v/>
      </c>
      <c r="M236" s="102" t="str">
        <f t="shared" si="83"/>
        <v/>
      </c>
      <c r="N236" s="101" t="str">
        <f t="shared" si="84"/>
        <v/>
      </c>
      <c r="O236" s="94" t="str">
        <f t="shared" si="76"/>
        <v/>
      </c>
      <c r="P236" s="94" t="str">
        <f t="shared" si="91"/>
        <v/>
      </c>
      <c r="Q236" s="94" t="str">
        <f t="shared" si="92"/>
        <v/>
      </c>
      <c r="R236" s="90" t="str">
        <f t="shared" si="93"/>
        <v/>
      </c>
      <c r="S236" s="37" t="str">
        <f t="shared" si="85"/>
        <v/>
      </c>
      <c r="T236" s="176" t="str">
        <f>IF(L236="","",VLOOKUP(L236,classifications!C:K,9,FALSE))</f>
        <v/>
      </c>
      <c r="U236" s="183" t="str">
        <f t="shared" si="77"/>
        <v/>
      </c>
      <c r="V236" s="184" t="str">
        <f>IF(U236="","",IF($I$8="A",(RANK(U236,U$11:U$368)+COUNTIF(U$11:U236,U236)-1),(RANK(U236,U$11:U$368,1)+COUNTIF(U$11:U236,U236)-1)))</f>
        <v/>
      </c>
      <c r="W236" s="185"/>
      <c r="X236" s="38" t="str">
        <f>IF(L236="","",VLOOKUP($L236,classifications!$C:$J,6,FALSE))</f>
        <v/>
      </c>
      <c r="Y236" s="26" t="str">
        <f t="shared" si="78"/>
        <v/>
      </c>
      <c r="Z236" s="34" t="str">
        <f>IF(Y236="","",IF(I$8="A",(RANK(Y236,Y$11:Y$368,1)+COUNTIF(Y$11:Y236,Y236)-1),(RANK(Y236,Y$11:Y$368)+COUNTIF(Y$11:Y236,Y236)-1)))</f>
        <v/>
      </c>
      <c r="AA236" s="188" t="str">
        <f>IF(L236="","",VLOOKUP($L236,classifications!C:I,7,FALSE))</f>
        <v/>
      </c>
      <c r="AB236" s="184" t="str">
        <f t="shared" si="86"/>
        <v/>
      </c>
      <c r="AC236" s="184" t="str">
        <f>IF(AB236="","",IF($I$8="A",(RANK(AB236,AB$11:AB$368)+COUNTIF(AB$11:AB236,AB236)-1),(RANK(AB236,AB$11:AB$368,1)+COUNTIF(AB$11:AB236,AB236)-1)))</f>
        <v/>
      </c>
      <c r="AD236" s="184"/>
      <c r="AE236" s="28" t="str">
        <f t="shared" si="96"/>
        <v/>
      </c>
      <c r="AG236" s="96"/>
      <c r="AH236" s="29"/>
      <c r="AI236" s="38" t="str">
        <f>IF(L236="","",VLOOKUP($L236,classifications!$C:$J,8,FALSE))</f>
        <v/>
      </c>
      <c r="AJ236" s="39" t="str">
        <f t="shared" si="79"/>
        <v/>
      </c>
      <c r="AK236" s="34" t="str">
        <f>IF(AJ236="","",IF(I$8="A",(RANK(AJ236,AJ$11:AJ$368,1)+COUNTIF(AJ$11:AJ236,AJ236)-1),(RANK(AJ236,AJ$11:AJ$368)+COUNTIF(AJ$11:AJ236,AJ236)-1)))</f>
        <v/>
      </c>
      <c r="AL236" s="29" t="str">
        <f t="shared" si="87"/>
        <v/>
      </c>
      <c r="AM236" s="8" t="str">
        <f t="shared" si="80"/>
        <v/>
      </c>
      <c r="AN236" s="8" t="str">
        <f t="shared" si="88"/>
        <v/>
      </c>
      <c r="AP236" s="38" t="str">
        <f>IF(L236="","",VLOOKUP($L236,classifications!$C:$E,3,FALSE))</f>
        <v/>
      </c>
      <c r="AQ236" s="39" t="str">
        <f t="shared" si="89"/>
        <v/>
      </c>
      <c r="AR236" s="34" t="str">
        <f>IF(AQ236="","",IF(I$8="A",(RANK(AQ236,AQ$11:AQ$368,1)+COUNTIF(AQ$11:AQ236,AQ236)-1),(RANK(AQ236,AQ$11:AQ$368)+COUNTIF(AQ$11:AQ236,AQ236)-1)))</f>
        <v/>
      </c>
      <c r="AS236" s="29" t="str">
        <f t="shared" si="90"/>
        <v/>
      </c>
      <c r="AT236" s="34" t="str">
        <f t="shared" si="81"/>
        <v/>
      </c>
      <c r="AU236" s="39" t="str">
        <f t="shared" si="94"/>
        <v/>
      </c>
      <c r="AX236" s="21" t="str">
        <f>HLOOKUP($AX$9&amp;$AX$10,Data!$A$1:$ZZ$2000,(MATCH($C236,Data!$A$1:$A$2000,0)),FALSE)</f>
        <v>-</v>
      </c>
      <c r="AY236" s="103"/>
      <c r="AZ236" s="21"/>
    </row>
    <row r="237" spans="1:52">
      <c r="A237" s="56" t="str">
        <f>$D$1&amp;227</f>
        <v>SD227</v>
      </c>
      <c r="B237" s="57">
        <f>IF(ISERROR(VLOOKUP(A237,classifications!A:C,3,FALSE)),0,VLOOKUP(A237,classifications!A:C,3,FALSE))</f>
        <v>0</v>
      </c>
      <c r="C237" s="8" t="s">
        <v>284</v>
      </c>
      <c r="D237" s="26" t="str">
        <f>VLOOKUP($C237,classifications!$C:$J,4,FALSE)</f>
        <v>UA</v>
      </c>
      <c r="E237" s="26">
        <f>VLOOKUP(C237,classifications!C:K,9,FALSE)</f>
        <v>0</v>
      </c>
      <c r="F237" s="36">
        <f t="shared" si="73"/>
        <v>77.286790242338355</v>
      </c>
      <c r="G237" s="71"/>
      <c r="H237" s="37" t="str">
        <f t="shared" si="74"/>
        <v/>
      </c>
      <c r="I237" s="77" t="str">
        <f>IF(H237="","",IF($I$8="A",(RANK(H237,H$11:H$368,1)+COUNTIF(H$11:H237,H237)-1),(RANK(H237,H$11:H$368)+COUNTIF(H$11:H237,H237)-1)))</f>
        <v/>
      </c>
      <c r="J237" s="35"/>
      <c r="K237" s="28" t="str">
        <f t="shared" si="82"/>
        <v/>
      </c>
      <c r="L237" s="36" t="str">
        <f t="shared" si="75"/>
        <v/>
      </c>
      <c r="M237" s="102" t="str">
        <f t="shared" si="83"/>
        <v/>
      </c>
      <c r="N237" s="101" t="str">
        <f t="shared" si="84"/>
        <v/>
      </c>
      <c r="O237" s="94" t="str">
        <f t="shared" si="76"/>
        <v/>
      </c>
      <c r="P237" s="94" t="str">
        <f t="shared" si="91"/>
        <v/>
      </c>
      <c r="Q237" s="94" t="str">
        <f t="shared" si="92"/>
        <v/>
      </c>
      <c r="R237" s="90" t="str">
        <f t="shared" si="93"/>
        <v/>
      </c>
      <c r="S237" s="37" t="str">
        <f t="shared" si="85"/>
        <v/>
      </c>
      <c r="T237" s="176" t="str">
        <f>IF(L237="","",VLOOKUP(L237,classifications!C:K,9,FALSE))</f>
        <v/>
      </c>
      <c r="U237" s="183" t="str">
        <f t="shared" si="77"/>
        <v/>
      </c>
      <c r="V237" s="184" t="str">
        <f>IF(U237="","",IF($I$8="A",(RANK(U237,U$11:U$368)+COUNTIF(U$11:U237,U237)-1),(RANK(U237,U$11:U$368,1)+COUNTIF(U$11:U237,U237)-1)))</f>
        <v/>
      </c>
      <c r="W237" s="185"/>
      <c r="X237" s="38" t="str">
        <f>IF(L237="","",VLOOKUP($L237,classifications!$C:$J,6,FALSE))</f>
        <v/>
      </c>
      <c r="Y237" s="26" t="str">
        <f t="shared" si="78"/>
        <v/>
      </c>
      <c r="Z237" s="34" t="str">
        <f>IF(Y237="","",IF(I$8="A",(RANK(Y237,Y$11:Y$368,1)+COUNTIF(Y$11:Y237,Y237)-1),(RANK(Y237,Y$11:Y$368)+COUNTIF(Y$11:Y237,Y237)-1)))</f>
        <v/>
      </c>
      <c r="AA237" s="188" t="str">
        <f>IF(L237="","",VLOOKUP($L237,classifications!C:I,7,FALSE))</f>
        <v/>
      </c>
      <c r="AB237" s="184" t="str">
        <f t="shared" si="86"/>
        <v/>
      </c>
      <c r="AC237" s="184" t="str">
        <f>IF(AB237="","",IF($I$8="A",(RANK(AB237,AB$11:AB$368)+COUNTIF(AB$11:AB237,AB237)-1),(RANK(AB237,AB$11:AB$368,1)+COUNTIF(AB$11:AB237,AB237)-1)))</f>
        <v/>
      </c>
      <c r="AD237" s="184"/>
      <c r="AE237" s="28" t="str">
        <f t="shared" si="96"/>
        <v/>
      </c>
      <c r="AG237" s="96"/>
      <c r="AH237" s="29"/>
      <c r="AI237" s="38" t="str">
        <f>IF(L237="","",VLOOKUP($L237,classifications!$C:$J,8,FALSE))</f>
        <v/>
      </c>
      <c r="AJ237" s="39" t="str">
        <f t="shared" si="79"/>
        <v/>
      </c>
      <c r="AK237" s="34" t="str">
        <f>IF(AJ237="","",IF(I$8="A",(RANK(AJ237,AJ$11:AJ$368,1)+COUNTIF(AJ$11:AJ237,AJ237)-1),(RANK(AJ237,AJ$11:AJ$368)+COUNTIF(AJ$11:AJ237,AJ237)-1)))</f>
        <v/>
      </c>
      <c r="AL237" s="29" t="str">
        <f t="shared" si="87"/>
        <v/>
      </c>
      <c r="AM237" s="8" t="str">
        <f t="shared" si="80"/>
        <v/>
      </c>
      <c r="AN237" s="8" t="str">
        <f t="shared" si="88"/>
        <v/>
      </c>
      <c r="AP237" s="38" t="str">
        <f>IF(L237="","",VLOOKUP($L237,classifications!$C:$E,3,FALSE))</f>
        <v/>
      </c>
      <c r="AQ237" s="39" t="str">
        <f t="shared" si="89"/>
        <v/>
      </c>
      <c r="AR237" s="34" t="str">
        <f>IF(AQ237="","",IF(I$8="A",(RANK(AQ237,AQ$11:AQ$368,1)+COUNTIF(AQ$11:AQ237,AQ237)-1),(RANK(AQ237,AQ$11:AQ$368)+COUNTIF(AQ$11:AQ237,AQ237)-1)))</f>
        <v/>
      </c>
      <c r="AS237" s="29" t="str">
        <f t="shared" si="90"/>
        <v/>
      </c>
      <c r="AT237" s="34" t="str">
        <f t="shared" si="81"/>
        <v/>
      </c>
      <c r="AU237" s="39" t="str">
        <f t="shared" si="94"/>
        <v/>
      </c>
      <c r="AX237" s="21">
        <f>HLOOKUP($AX$9&amp;$AX$10,Data!$A$1:$ZZ$2000,(MATCH($C237,Data!$A$1:$A$2000,0)),FALSE)</f>
        <v>77.286790242338355</v>
      </c>
      <c r="AY237" s="103"/>
      <c r="AZ237" s="21"/>
    </row>
    <row r="238" spans="1:52">
      <c r="A238" s="56" t="str">
        <f>$D$1&amp;228</f>
        <v>SD228</v>
      </c>
      <c r="B238" s="57">
        <f>IF(ISERROR(VLOOKUP(A238,classifications!A:C,3,FALSE)),0,VLOOKUP(A238,classifications!A:C,3,FALSE))</f>
        <v>0</v>
      </c>
      <c r="C238" s="8" t="s">
        <v>216</v>
      </c>
      <c r="D238" s="26" t="str">
        <f>VLOOKUP($C238,classifications!$C:$J,4,FALSE)</f>
        <v>L</v>
      </c>
      <c r="E238" s="26">
        <f>VLOOKUP(C238,classifications!C:K,9,FALSE)</f>
        <v>0</v>
      </c>
      <c r="F238" s="36">
        <f t="shared" si="73"/>
        <v>75.407527278330392</v>
      </c>
      <c r="G238" s="71"/>
      <c r="H238" s="37" t="str">
        <f t="shared" si="74"/>
        <v/>
      </c>
      <c r="I238" s="77" t="str">
        <f>IF(H238="","",IF($I$8="A",(RANK(H238,H$11:H$368,1)+COUNTIF(H$11:H238,H238)-1),(RANK(H238,H$11:H$368)+COUNTIF(H$11:H238,H238)-1)))</f>
        <v/>
      </c>
      <c r="J238" s="35"/>
      <c r="K238" s="28" t="str">
        <f t="shared" si="82"/>
        <v/>
      </c>
      <c r="L238" s="36" t="str">
        <f t="shared" si="75"/>
        <v/>
      </c>
      <c r="M238" s="102" t="str">
        <f t="shared" si="83"/>
        <v/>
      </c>
      <c r="N238" s="101" t="str">
        <f t="shared" si="84"/>
        <v/>
      </c>
      <c r="O238" s="94" t="str">
        <f t="shared" si="76"/>
        <v/>
      </c>
      <c r="P238" s="94" t="str">
        <f t="shared" si="91"/>
        <v/>
      </c>
      <c r="Q238" s="94" t="str">
        <f t="shared" si="92"/>
        <v/>
      </c>
      <c r="R238" s="90" t="str">
        <f t="shared" si="93"/>
        <v/>
      </c>
      <c r="S238" s="37" t="str">
        <f t="shared" si="85"/>
        <v/>
      </c>
      <c r="T238" s="176" t="str">
        <f>IF(L238="","",VLOOKUP(L238,classifications!C:K,9,FALSE))</f>
        <v/>
      </c>
      <c r="U238" s="183" t="str">
        <f t="shared" si="77"/>
        <v/>
      </c>
      <c r="V238" s="184" t="str">
        <f>IF(U238="","",IF($I$8="A",(RANK(U238,U$11:U$368)+COUNTIF(U$11:U238,U238)-1),(RANK(U238,U$11:U$368,1)+COUNTIF(U$11:U238,U238)-1)))</f>
        <v/>
      </c>
      <c r="W238" s="185"/>
      <c r="X238" s="38" t="str">
        <f>IF(L238="","",VLOOKUP($L238,classifications!$C:$J,6,FALSE))</f>
        <v/>
      </c>
      <c r="Y238" s="26" t="str">
        <f t="shared" si="78"/>
        <v/>
      </c>
      <c r="Z238" s="34" t="str">
        <f>IF(Y238="","",IF(I$8="A",(RANK(Y238,Y$11:Y$368,1)+COUNTIF(Y$11:Y238,Y238)-1),(RANK(Y238,Y$11:Y$368)+COUNTIF(Y$11:Y238,Y238)-1)))</f>
        <v/>
      </c>
      <c r="AA238" s="188" t="str">
        <f>IF(L238="","",VLOOKUP($L238,classifications!C:I,7,FALSE))</f>
        <v/>
      </c>
      <c r="AB238" s="184" t="str">
        <f t="shared" si="86"/>
        <v/>
      </c>
      <c r="AC238" s="184" t="str">
        <f>IF(AB238="","",IF($I$8="A",(RANK(AB238,AB$11:AB$368)+COUNTIF(AB$11:AB238,AB238)-1),(RANK(AB238,AB$11:AB$368,1)+COUNTIF(AB$11:AB238,AB238)-1)))</f>
        <v/>
      </c>
      <c r="AD238" s="184"/>
      <c r="AE238" s="28" t="str">
        <f t="shared" si="96"/>
        <v/>
      </c>
      <c r="AG238" s="96"/>
      <c r="AH238" s="29"/>
      <c r="AI238" s="38" t="str">
        <f>IF(L238="","",VLOOKUP($L238,classifications!$C:$J,8,FALSE))</f>
        <v/>
      </c>
      <c r="AJ238" s="39" t="str">
        <f t="shared" si="79"/>
        <v/>
      </c>
      <c r="AK238" s="34" t="str">
        <f>IF(AJ238="","",IF(I$8="A",(RANK(AJ238,AJ$11:AJ$368,1)+COUNTIF(AJ$11:AJ238,AJ238)-1),(RANK(AJ238,AJ$11:AJ$368)+COUNTIF(AJ$11:AJ238,AJ238)-1)))</f>
        <v/>
      </c>
      <c r="AL238" s="29" t="str">
        <f t="shared" si="87"/>
        <v/>
      </c>
      <c r="AM238" s="8" t="str">
        <f t="shared" si="80"/>
        <v/>
      </c>
      <c r="AN238" s="8" t="str">
        <f t="shared" si="88"/>
        <v/>
      </c>
      <c r="AP238" s="38" t="str">
        <f>IF(L238="","",VLOOKUP($L238,classifications!$C:$E,3,FALSE))</f>
        <v/>
      </c>
      <c r="AQ238" s="39" t="str">
        <f t="shared" si="89"/>
        <v/>
      </c>
      <c r="AR238" s="34" t="str">
        <f>IF(AQ238="","",IF(I$8="A",(RANK(AQ238,AQ$11:AQ$368,1)+COUNTIF(AQ$11:AQ238,AQ238)-1),(RANK(AQ238,AQ$11:AQ$368)+COUNTIF(AQ$11:AQ238,AQ238)-1)))</f>
        <v/>
      </c>
      <c r="AS238" s="29" t="str">
        <f t="shared" si="90"/>
        <v/>
      </c>
      <c r="AT238" s="34" t="str">
        <f t="shared" si="81"/>
        <v/>
      </c>
      <c r="AU238" s="39" t="str">
        <f t="shared" si="94"/>
        <v/>
      </c>
      <c r="AX238" s="21">
        <f>HLOOKUP($AX$9&amp;$AX$10,Data!$A$1:$ZZ$2000,(MATCH($C238,Data!$A$1:$A$2000,0)),FALSE)</f>
        <v>75.407527278330392</v>
      </c>
      <c r="AY238" s="103"/>
      <c r="AZ238" s="21"/>
    </row>
    <row r="239" spans="1:52">
      <c r="A239" s="56" t="str">
        <f>$D$1&amp;229</f>
        <v>SD229</v>
      </c>
      <c r="B239" s="57">
        <f>IF(ISERROR(VLOOKUP(A239,classifications!A:C,3,FALSE)),0,VLOOKUP(A239,classifications!A:C,3,FALSE))</f>
        <v>0</v>
      </c>
      <c r="C239" s="8" t="s">
        <v>809</v>
      </c>
      <c r="D239" s="26" t="str">
        <f>VLOOKUP($C239,classifications!$C:$J,4,FALSE)</f>
        <v>UA</v>
      </c>
      <c r="E239" s="26">
        <f>VLOOKUP(C239,classifications!C:K,9,FALSE)</f>
        <v>0</v>
      </c>
      <c r="F239" s="36">
        <f t="shared" si="73"/>
        <v>80.927856472466402</v>
      </c>
      <c r="G239" s="71"/>
      <c r="H239" s="37" t="str">
        <f t="shared" si="74"/>
        <v/>
      </c>
      <c r="I239" s="77" t="str">
        <f>IF(H239="","",IF($I$8="A",(RANK(H239,H$11:H$368,1)+COUNTIF(H$11:H239,H239)-1),(RANK(H239,H$11:H$368)+COUNTIF(H$11:H239,H239)-1)))</f>
        <v/>
      </c>
      <c r="J239" s="35"/>
      <c r="K239" s="28" t="str">
        <f t="shared" si="82"/>
        <v/>
      </c>
      <c r="L239" s="36" t="str">
        <f t="shared" si="75"/>
        <v/>
      </c>
      <c r="M239" s="102" t="str">
        <f t="shared" si="83"/>
        <v/>
      </c>
      <c r="N239" s="101" t="str">
        <f t="shared" si="84"/>
        <v/>
      </c>
      <c r="O239" s="94" t="str">
        <f t="shared" si="76"/>
        <v/>
      </c>
      <c r="P239" s="94" t="str">
        <f t="shared" si="91"/>
        <v/>
      </c>
      <c r="Q239" s="94" t="str">
        <f t="shared" si="92"/>
        <v/>
      </c>
      <c r="R239" s="90" t="str">
        <f t="shared" si="93"/>
        <v/>
      </c>
      <c r="S239" s="37" t="str">
        <f t="shared" si="85"/>
        <v/>
      </c>
      <c r="T239" s="176" t="str">
        <f>IF(L239="","",VLOOKUP(L239,classifications!C:K,9,FALSE))</f>
        <v/>
      </c>
      <c r="U239" s="183" t="str">
        <f t="shared" si="77"/>
        <v/>
      </c>
      <c r="V239" s="184" t="str">
        <f>IF(U239="","",IF($I$8="A",(RANK(U239,U$11:U$368)+COUNTIF(U$11:U239,U239)-1),(RANK(U239,U$11:U$368,1)+COUNTIF(U$11:U239,U239)-1)))</f>
        <v/>
      </c>
      <c r="W239" s="185"/>
      <c r="X239" s="38" t="str">
        <f>IF(L239="","",VLOOKUP($L239,classifications!$C:$J,6,FALSE))</f>
        <v/>
      </c>
      <c r="Y239" s="26" t="str">
        <f t="shared" si="78"/>
        <v/>
      </c>
      <c r="Z239" s="34" t="str">
        <f>IF(Y239="","",IF(I$8="A",(RANK(Y239,Y$11:Y$368,1)+COUNTIF(Y$11:Y239,Y239)-1),(RANK(Y239,Y$11:Y$368)+COUNTIF(Y$11:Y239,Y239)-1)))</f>
        <v/>
      </c>
      <c r="AA239" s="188" t="str">
        <f>IF(L239="","",VLOOKUP($L239,classifications!C:I,7,FALSE))</f>
        <v/>
      </c>
      <c r="AB239" s="184" t="str">
        <f t="shared" si="86"/>
        <v/>
      </c>
      <c r="AC239" s="184" t="str">
        <f>IF(AB239="","",IF($I$8="A",(RANK(AB239,AB$11:AB$368)+COUNTIF(AB$11:AB239,AB239)-1),(RANK(AB239,AB$11:AB$368,1)+COUNTIF(AB$11:AB239,AB239)-1)))</f>
        <v/>
      </c>
      <c r="AD239" s="184"/>
      <c r="AE239" s="28" t="str">
        <f t="shared" si="96"/>
        <v/>
      </c>
      <c r="AG239" s="96"/>
      <c r="AH239" s="29"/>
      <c r="AI239" s="38" t="str">
        <f>IF(L239="","",VLOOKUP($L239,classifications!$C:$J,8,FALSE))</f>
        <v/>
      </c>
      <c r="AJ239" s="39" t="str">
        <f t="shared" si="79"/>
        <v/>
      </c>
      <c r="AK239" s="34" t="str">
        <f>IF(AJ239="","",IF(I$8="A",(RANK(AJ239,AJ$11:AJ$368,1)+COUNTIF(AJ$11:AJ239,AJ239)-1),(RANK(AJ239,AJ$11:AJ$368)+COUNTIF(AJ$11:AJ239,AJ239)-1)))</f>
        <v/>
      </c>
      <c r="AL239" s="29" t="str">
        <f t="shared" si="87"/>
        <v/>
      </c>
      <c r="AM239" s="8" t="str">
        <f t="shared" si="80"/>
        <v/>
      </c>
      <c r="AN239" s="8" t="str">
        <f t="shared" si="88"/>
        <v/>
      </c>
      <c r="AP239" s="38" t="str">
        <f>IF(L239="","",VLOOKUP($L239,classifications!$C:$E,3,FALSE))</f>
        <v/>
      </c>
      <c r="AQ239" s="39" t="str">
        <f t="shared" si="89"/>
        <v/>
      </c>
      <c r="AR239" s="34" t="str">
        <f>IF(AQ239="","",IF(I$8="A",(RANK(AQ239,AQ$11:AQ$368,1)+COUNTIF(AQ$11:AQ239,AQ239)-1),(RANK(AQ239,AQ$11:AQ$368)+COUNTIF(AQ$11:AQ239,AQ239)-1)))</f>
        <v/>
      </c>
      <c r="AS239" s="29" t="str">
        <f t="shared" si="90"/>
        <v/>
      </c>
      <c r="AT239" s="34" t="str">
        <f t="shared" si="81"/>
        <v/>
      </c>
      <c r="AU239" s="39" t="str">
        <f t="shared" si="94"/>
        <v/>
      </c>
      <c r="AX239" s="21">
        <f>HLOOKUP($AX$9&amp;$AX$10,Data!$A$1:$ZZ$2000,(MATCH($C239,Data!$A$1:$A$2000,0)),FALSE)</f>
        <v>80.927856472466402</v>
      </c>
      <c r="AY239" s="103"/>
      <c r="AZ239" s="21"/>
    </row>
    <row r="240" spans="1:52">
      <c r="A240" s="56" t="str">
        <f>$D$1&amp;230</f>
        <v>SD230</v>
      </c>
      <c r="B240" s="57">
        <f>IF(ISERROR(VLOOKUP(A240,classifications!A:C,3,FALSE)),0,VLOOKUP(A240,classifications!A:C,3,FALSE))</f>
        <v>0</v>
      </c>
      <c r="C240" s="8" t="s">
        <v>122</v>
      </c>
      <c r="D240" s="26" t="str">
        <f>VLOOKUP($C240,classifications!$C:$J,4,FALSE)</f>
        <v>SD</v>
      </c>
      <c r="E240" s="26">
        <f>VLOOKUP(C240,classifications!C:K,9,FALSE)</f>
        <v>0</v>
      </c>
      <c r="F240" s="36">
        <f t="shared" si="73"/>
        <v>75.223251401087737</v>
      </c>
      <c r="G240" s="71"/>
      <c r="H240" s="37">
        <f t="shared" si="74"/>
        <v>75.223251401087737</v>
      </c>
      <c r="I240" s="77">
        <f>IF(H240="","",IF($I$8="A",(RANK(H240,H$11:H$368,1)+COUNTIF(H$11:H240,H240)-1),(RANK(H240,H$11:H$368)+COUNTIF(H$11:H240,H240)-1)))</f>
        <v>176</v>
      </c>
      <c r="J240" s="35"/>
      <c r="K240" s="28" t="str">
        <f t="shared" si="82"/>
        <v/>
      </c>
      <c r="L240" s="36" t="str">
        <f t="shared" si="75"/>
        <v/>
      </c>
      <c r="M240" s="102" t="str">
        <f t="shared" si="83"/>
        <v/>
      </c>
      <c r="N240" s="101" t="str">
        <f t="shared" si="84"/>
        <v/>
      </c>
      <c r="O240" s="94" t="str">
        <f t="shared" si="76"/>
        <v/>
      </c>
      <c r="P240" s="94" t="str">
        <f t="shared" si="91"/>
        <v/>
      </c>
      <c r="Q240" s="94" t="str">
        <f t="shared" si="92"/>
        <v/>
      </c>
      <c r="R240" s="90" t="str">
        <f t="shared" si="93"/>
        <v/>
      </c>
      <c r="S240" s="37" t="str">
        <f t="shared" si="85"/>
        <v/>
      </c>
      <c r="T240" s="176" t="str">
        <f>IF(L240="","",VLOOKUP(L240,classifications!C:K,9,FALSE))</f>
        <v/>
      </c>
      <c r="U240" s="183" t="str">
        <f t="shared" si="77"/>
        <v/>
      </c>
      <c r="V240" s="184" t="str">
        <f>IF(U240="","",IF($I$8="A",(RANK(U240,U$11:U$368)+COUNTIF(U$11:U240,U240)-1),(RANK(U240,U$11:U$368,1)+COUNTIF(U$11:U240,U240)-1)))</f>
        <v/>
      </c>
      <c r="W240" s="185"/>
      <c r="X240" s="38" t="str">
        <f>IF(L240="","",VLOOKUP($L240,classifications!$C:$J,6,FALSE))</f>
        <v/>
      </c>
      <c r="Y240" s="26" t="str">
        <f t="shared" si="78"/>
        <v/>
      </c>
      <c r="Z240" s="34" t="str">
        <f>IF(Y240="","",IF(I$8="A",(RANK(Y240,Y$11:Y$368,1)+COUNTIF(Y$11:Y240,Y240)-1),(RANK(Y240,Y$11:Y$368)+COUNTIF(Y$11:Y240,Y240)-1)))</f>
        <v/>
      </c>
      <c r="AA240" s="188" t="str">
        <f>IF(L240="","",VLOOKUP($L240,classifications!C:I,7,FALSE))</f>
        <v/>
      </c>
      <c r="AB240" s="184" t="str">
        <f t="shared" si="86"/>
        <v/>
      </c>
      <c r="AC240" s="184" t="str">
        <f>IF(AB240="","",IF($I$8="A",(RANK(AB240,AB$11:AB$368)+COUNTIF(AB$11:AB240,AB240)-1),(RANK(AB240,AB$11:AB$368,1)+COUNTIF(AB$11:AB240,AB240)-1)))</f>
        <v/>
      </c>
      <c r="AD240" s="184"/>
      <c r="AE240" s="28" t="str">
        <f t="shared" si="96"/>
        <v/>
      </c>
      <c r="AG240" s="96"/>
      <c r="AH240" s="29"/>
      <c r="AI240" s="38" t="str">
        <f>IF(L240="","",VLOOKUP($L240,classifications!$C:$J,8,FALSE))</f>
        <v/>
      </c>
      <c r="AJ240" s="39" t="str">
        <f t="shared" si="79"/>
        <v/>
      </c>
      <c r="AK240" s="34" t="str">
        <f>IF(AJ240="","",IF(I$8="A",(RANK(AJ240,AJ$11:AJ$368,1)+COUNTIF(AJ$11:AJ240,AJ240)-1),(RANK(AJ240,AJ$11:AJ$368)+COUNTIF(AJ$11:AJ240,AJ240)-1)))</f>
        <v/>
      </c>
      <c r="AL240" s="29" t="str">
        <f t="shared" si="87"/>
        <v/>
      </c>
      <c r="AM240" s="8" t="str">
        <f t="shared" si="80"/>
        <v/>
      </c>
      <c r="AN240" s="8" t="str">
        <f t="shared" si="88"/>
        <v/>
      </c>
      <c r="AP240" s="38" t="str">
        <f>IF(L240="","",VLOOKUP($L240,classifications!$C:$E,3,FALSE))</f>
        <v/>
      </c>
      <c r="AQ240" s="39" t="str">
        <f t="shared" si="89"/>
        <v/>
      </c>
      <c r="AR240" s="34" t="str">
        <f>IF(AQ240="","",IF(I$8="A",(RANK(AQ240,AQ$11:AQ$368,1)+COUNTIF(AQ$11:AQ240,AQ240)-1),(RANK(AQ240,AQ$11:AQ$368)+COUNTIF(AQ$11:AQ240,AQ240)-1)))</f>
        <v/>
      </c>
      <c r="AS240" s="29" t="str">
        <f t="shared" si="90"/>
        <v/>
      </c>
      <c r="AT240" s="34" t="str">
        <f t="shared" si="81"/>
        <v/>
      </c>
      <c r="AU240" s="39" t="str">
        <f t="shared" si="94"/>
        <v/>
      </c>
      <c r="AX240" s="21">
        <f>HLOOKUP($AX$9&amp;$AX$10,Data!$A$1:$ZZ$2000,(MATCH($C240,Data!$A$1:$A$2000,0)),FALSE)</f>
        <v>75.223251401087737</v>
      </c>
      <c r="AY240" s="103"/>
      <c r="AZ240" s="21"/>
    </row>
    <row r="241" spans="1:52">
      <c r="A241" s="56" t="str">
        <f>$D$1&amp;231</f>
        <v>SD231</v>
      </c>
      <c r="B241" s="57">
        <f>IF(ISERROR(VLOOKUP(A241,classifications!A:C,3,FALSE)),0,VLOOKUP(A241,classifications!A:C,3,FALSE))</f>
        <v>0</v>
      </c>
      <c r="C241" s="8" t="s">
        <v>348</v>
      </c>
      <c r="D241" s="26" t="str">
        <f>VLOOKUP($C241,classifications!$C:$J,4,FALSE)</f>
        <v>SD</v>
      </c>
      <c r="E241" s="26">
        <f>VLOOKUP(C241,classifications!C:K,9,FALSE)</f>
        <v>0</v>
      </c>
      <c r="F241" s="36">
        <f t="shared" si="73"/>
        <v>82.319682741807654</v>
      </c>
      <c r="G241" s="71"/>
      <c r="H241" s="37">
        <f t="shared" si="74"/>
        <v>82.319682741807654</v>
      </c>
      <c r="I241" s="77">
        <f>IF(H241="","",IF($I$8="A",(RANK(H241,H$11:H$368,1)+COUNTIF(H$11:H241,H241)-1),(RANK(H241,H$11:H$368)+COUNTIF(H$11:H241,H241)-1)))</f>
        <v>73</v>
      </c>
      <c r="J241" s="35"/>
      <c r="K241" s="28" t="str">
        <f t="shared" si="82"/>
        <v/>
      </c>
      <c r="L241" s="36" t="str">
        <f t="shared" si="75"/>
        <v/>
      </c>
      <c r="M241" s="102" t="str">
        <f t="shared" si="83"/>
        <v/>
      </c>
      <c r="N241" s="101" t="str">
        <f t="shared" si="84"/>
        <v/>
      </c>
      <c r="O241" s="94" t="str">
        <f t="shared" si="76"/>
        <v/>
      </c>
      <c r="P241" s="94" t="str">
        <f t="shared" si="91"/>
        <v/>
      </c>
      <c r="Q241" s="94" t="str">
        <f t="shared" si="92"/>
        <v/>
      </c>
      <c r="R241" s="90" t="str">
        <f t="shared" si="93"/>
        <v/>
      </c>
      <c r="S241" s="37" t="str">
        <f t="shared" si="85"/>
        <v/>
      </c>
      <c r="T241" s="176" t="str">
        <f>IF(L241="","",VLOOKUP(L241,classifications!C:K,9,FALSE))</f>
        <v/>
      </c>
      <c r="U241" s="183" t="str">
        <f t="shared" si="77"/>
        <v/>
      </c>
      <c r="V241" s="184" t="str">
        <f>IF(U241="","",IF($I$8="A",(RANK(U241,U$11:U$368)+COUNTIF(U$11:U241,U241)-1),(RANK(U241,U$11:U$368,1)+COUNTIF(U$11:U241,U241)-1)))</f>
        <v/>
      </c>
      <c r="W241" s="185"/>
      <c r="X241" s="38" t="str">
        <f>IF(L241="","",VLOOKUP($L241,classifications!$C:$J,6,FALSE))</f>
        <v/>
      </c>
      <c r="Y241" s="26" t="str">
        <f t="shared" si="78"/>
        <v/>
      </c>
      <c r="Z241" s="34" t="str">
        <f>IF(Y241="","",IF(I$8="A",(RANK(Y241,Y$11:Y$368,1)+COUNTIF(Y$11:Y241,Y241)-1),(RANK(Y241,Y$11:Y$368)+COUNTIF(Y$11:Y241,Y241)-1)))</f>
        <v/>
      </c>
      <c r="AA241" s="188" t="str">
        <f>IF(L241="","",VLOOKUP($L241,classifications!C:I,7,FALSE))</f>
        <v/>
      </c>
      <c r="AB241" s="184" t="str">
        <f t="shared" si="86"/>
        <v/>
      </c>
      <c r="AC241" s="184" t="str">
        <f>IF(AB241="","",IF($I$8="A",(RANK(AB241,AB$11:AB$368)+COUNTIF(AB$11:AB241,AB241)-1),(RANK(AB241,AB$11:AB$368,1)+COUNTIF(AB$11:AB241,AB241)-1)))</f>
        <v/>
      </c>
      <c r="AD241" s="184"/>
      <c r="AE241" s="28" t="str">
        <f t="shared" si="96"/>
        <v/>
      </c>
      <c r="AG241" s="96"/>
      <c r="AH241" s="29"/>
      <c r="AI241" s="38" t="str">
        <f>IF(L241="","",VLOOKUP($L241,classifications!$C:$J,8,FALSE))</f>
        <v/>
      </c>
      <c r="AJ241" s="39" t="str">
        <f t="shared" si="79"/>
        <v/>
      </c>
      <c r="AK241" s="34" t="str">
        <f>IF(AJ241="","",IF(I$8="A",(RANK(AJ241,AJ$11:AJ$368,1)+COUNTIF(AJ$11:AJ241,AJ241)-1),(RANK(AJ241,AJ$11:AJ$368)+COUNTIF(AJ$11:AJ241,AJ241)-1)))</f>
        <v/>
      </c>
      <c r="AL241" s="29" t="str">
        <f t="shared" si="87"/>
        <v/>
      </c>
      <c r="AM241" s="8" t="str">
        <f t="shared" si="80"/>
        <v/>
      </c>
      <c r="AN241" s="8" t="str">
        <f t="shared" si="88"/>
        <v/>
      </c>
      <c r="AP241" s="38" t="str">
        <f>IF(L241="","",VLOOKUP($L241,classifications!$C:$E,3,FALSE))</f>
        <v/>
      </c>
      <c r="AQ241" s="39" t="str">
        <f t="shared" si="89"/>
        <v/>
      </c>
      <c r="AR241" s="34" t="str">
        <f>IF(AQ241="","",IF(I$8="A",(RANK(AQ241,AQ$11:AQ$368,1)+COUNTIF(AQ$11:AQ241,AQ241)-1),(RANK(AQ241,AQ$11:AQ$368)+COUNTIF(AQ$11:AQ241,AQ241)-1)))</f>
        <v/>
      </c>
      <c r="AS241" s="29" t="str">
        <f t="shared" si="90"/>
        <v/>
      </c>
      <c r="AT241" s="34" t="str">
        <f t="shared" si="81"/>
        <v/>
      </c>
      <c r="AU241" s="39" t="str">
        <f t="shared" si="94"/>
        <v/>
      </c>
      <c r="AX241" s="21">
        <f>HLOOKUP($AX$9&amp;$AX$10,Data!$A$1:$ZZ$2000,(MATCH($C241,Data!$A$1:$A$2000,0)),FALSE)</f>
        <v>82.319682741807654</v>
      </c>
      <c r="AY241" s="103"/>
      <c r="AZ241" s="21"/>
    </row>
    <row r="242" spans="1:52">
      <c r="A242" s="56" t="str">
        <f>$D$1&amp;232</f>
        <v>SD232</v>
      </c>
      <c r="B242" s="57">
        <f>IF(ISERROR(VLOOKUP(A242,classifications!A:C,3,FALSE)),0,VLOOKUP(A242,classifications!A:C,3,FALSE))</f>
        <v>0</v>
      </c>
      <c r="C242" s="8" t="s">
        <v>123</v>
      </c>
      <c r="D242" s="26" t="str">
        <f>VLOOKUP($C242,classifications!$C:$J,4,FALSE)</f>
        <v>SD</v>
      </c>
      <c r="E242" s="26" t="str">
        <f>VLOOKUP(C242,classifications!C:K,9,FALSE)</f>
        <v>Sparse</v>
      </c>
      <c r="F242" s="36">
        <f t="shared" si="73"/>
        <v>83.9788150549292</v>
      </c>
      <c r="G242" s="71"/>
      <c r="H242" s="37">
        <f t="shared" si="74"/>
        <v>83.9788150549292</v>
      </c>
      <c r="I242" s="77">
        <f>IF(H242="","",IF($I$8="A",(RANK(H242,H$11:H$368,1)+COUNTIF(H$11:H242,H242)-1),(RANK(H242,H$11:H$368)+COUNTIF(H$11:H242,H242)-1)))</f>
        <v>46</v>
      </c>
      <c r="J242" s="35"/>
      <c r="K242" s="28" t="str">
        <f t="shared" si="82"/>
        <v/>
      </c>
      <c r="L242" s="36" t="str">
        <f t="shared" si="75"/>
        <v/>
      </c>
      <c r="M242" s="102" t="str">
        <f t="shared" si="83"/>
        <v/>
      </c>
      <c r="N242" s="101" t="str">
        <f t="shared" si="84"/>
        <v/>
      </c>
      <c r="O242" s="94" t="str">
        <f t="shared" si="76"/>
        <v/>
      </c>
      <c r="P242" s="94" t="str">
        <f t="shared" si="91"/>
        <v/>
      </c>
      <c r="Q242" s="94" t="str">
        <f t="shared" si="92"/>
        <v/>
      </c>
      <c r="R242" s="90" t="str">
        <f t="shared" si="93"/>
        <v/>
      </c>
      <c r="S242" s="37" t="str">
        <f t="shared" si="85"/>
        <v/>
      </c>
      <c r="T242" s="176" t="str">
        <f>IF(L242="","",VLOOKUP(L242,classifications!C:K,9,FALSE))</f>
        <v/>
      </c>
      <c r="U242" s="183" t="str">
        <f t="shared" si="77"/>
        <v/>
      </c>
      <c r="V242" s="184" t="str">
        <f>IF(U242="","",IF($I$8="A",(RANK(U242,U$11:U$368)+COUNTIF(U$11:U242,U242)-1),(RANK(U242,U$11:U$368,1)+COUNTIF(U$11:U242,U242)-1)))</f>
        <v/>
      </c>
      <c r="W242" s="185"/>
      <c r="X242" s="38" t="str">
        <f>IF(L242="","",VLOOKUP($L242,classifications!$C:$J,6,FALSE))</f>
        <v/>
      </c>
      <c r="Y242" s="26" t="str">
        <f t="shared" si="78"/>
        <v/>
      </c>
      <c r="Z242" s="34" t="str">
        <f>IF(Y242="","",IF(I$8="A",(RANK(Y242,Y$11:Y$368,1)+COUNTIF(Y$11:Y242,Y242)-1),(RANK(Y242,Y$11:Y$368)+COUNTIF(Y$11:Y242,Y242)-1)))</f>
        <v/>
      </c>
      <c r="AA242" s="188" t="str">
        <f>IF(L242="","",VLOOKUP($L242,classifications!C:I,7,FALSE))</f>
        <v/>
      </c>
      <c r="AB242" s="184" t="str">
        <f t="shared" si="86"/>
        <v/>
      </c>
      <c r="AC242" s="184" t="str">
        <f>IF(AB242="","",IF($I$8="A",(RANK(AB242,AB$11:AB$368)+COUNTIF(AB$11:AB242,AB242)-1),(RANK(AB242,AB$11:AB$368,1)+COUNTIF(AB$11:AB242,AB242)-1)))</f>
        <v/>
      </c>
      <c r="AD242" s="184"/>
      <c r="AE242" s="28" t="str">
        <f t="shared" si="96"/>
        <v/>
      </c>
      <c r="AG242" s="96"/>
      <c r="AH242" s="29"/>
      <c r="AI242" s="38" t="str">
        <f>IF(L242="","",VLOOKUP($L242,classifications!$C:$J,8,FALSE))</f>
        <v/>
      </c>
      <c r="AJ242" s="39" t="str">
        <f t="shared" si="79"/>
        <v/>
      </c>
      <c r="AK242" s="34" t="str">
        <f>IF(AJ242="","",IF(I$8="A",(RANK(AJ242,AJ$11:AJ$368,1)+COUNTIF(AJ$11:AJ242,AJ242)-1),(RANK(AJ242,AJ$11:AJ$368)+COUNTIF(AJ$11:AJ242,AJ242)-1)))</f>
        <v/>
      </c>
      <c r="AL242" s="29" t="str">
        <f t="shared" si="87"/>
        <v/>
      </c>
      <c r="AM242" s="8" t="str">
        <f t="shared" si="80"/>
        <v/>
      </c>
      <c r="AN242" s="8" t="str">
        <f t="shared" si="88"/>
        <v/>
      </c>
      <c r="AP242" s="38" t="str">
        <f>IF(L242="","",VLOOKUP($L242,classifications!$C:$E,3,FALSE))</f>
        <v/>
      </c>
      <c r="AQ242" s="39" t="str">
        <f t="shared" si="89"/>
        <v/>
      </c>
      <c r="AR242" s="34" t="str">
        <f>IF(AQ242="","",IF(I$8="A",(RANK(AQ242,AQ$11:AQ$368,1)+COUNTIF(AQ$11:AQ242,AQ242)-1),(RANK(AQ242,AQ$11:AQ$368)+COUNTIF(AQ$11:AQ242,AQ242)-1)))</f>
        <v/>
      </c>
      <c r="AS242" s="29" t="str">
        <f t="shared" si="90"/>
        <v/>
      </c>
      <c r="AT242" s="34" t="str">
        <f t="shared" si="81"/>
        <v/>
      </c>
      <c r="AU242" s="39" t="str">
        <f t="shared" si="94"/>
        <v/>
      </c>
      <c r="AX242" s="21">
        <f>HLOOKUP($AX$9&amp;$AX$10,Data!$A$1:$ZZ$2000,(MATCH($C242,Data!$A$1:$A$2000,0)),FALSE)</f>
        <v>83.9788150549292</v>
      </c>
      <c r="AY242" s="103"/>
      <c r="AZ242" s="21"/>
    </row>
    <row r="243" spans="1:52">
      <c r="A243" s="56" t="str">
        <f>$D$1&amp;233</f>
        <v>SD233</v>
      </c>
      <c r="B243" s="57">
        <f>IF(ISERROR(VLOOKUP(A243,classifications!A:C,3,FALSE)),0,VLOOKUP(A243,classifications!A:C,3,FALSE))</f>
        <v>0</v>
      </c>
      <c r="C243" s="8" t="s">
        <v>393</v>
      </c>
      <c r="D243" s="26" t="str">
        <f>VLOOKUP($C243,classifications!$C:$J,4,FALSE)</f>
        <v>L</v>
      </c>
      <c r="E243" s="26">
        <f>VLOOKUP(C243,classifications!C:K,9,FALSE)</f>
        <v>0</v>
      </c>
      <c r="F243" s="36">
        <f t="shared" si="73"/>
        <v>90.141400423778933</v>
      </c>
      <c r="G243" s="71"/>
      <c r="H243" s="37" t="str">
        <f t="shared" si="74"/>
        <v/>
      </c>
      <c r="I243" s="77" t="str">
        <f>IF(H243="","",IF($I$8="A",(RANK(H243,H$11:H$368,1)+COUNTIF(H$11:H243,H243)-1),(RANK(H243,H$11:H$368)+COUNTIF(H$11:H243,H243)-1)))</f>
        <v/>
      </c>
      <c r="J243" s="35"/>
      <c r="K243" s="28" t="str">
        <f t="shared" si="82"/>
        <v/>
      </c>
      <c r="L243" s="36" t="str">
        <f t="shared" si="75"/>
        <v/>
      </c>
      <c r="M243" s="102" t="str">
        <f t="shared" si="83"/>
        <v/>
      </c>
      <c r="N243" s="101" t="str">
        <f t="shared" si="84"/>
        <v/>
      </c>
      <c r="O243" s="94" t="str">
        <f t="shared" si="76"/>
        <v/>
      </c>
      <c r="P243" s="94" t="str">
        <f t="shared" si="91"/>
        <v/>
      </c>
      <c r="Q243" s="94" t="str">
        <f t="shared" si="92"/>
        <v/>
      </c>
      <c r="R243" s="90" t="str">
        <f t="shared" si="93"/>
        <v/>
      </c>
      <c r="S243" s="37" t="str">
        <f t="shared" si="85"/>
        <v/>
      </c>
      <c r="T243" s="176" t="str">
        <f>IF(L243="","",VLOOKUP(L243,classifications!C:K,9,FALSE))</f>
        <v/>
      </c>
      <c r="U243" s="183" t="str">
        <f t="shared" si="77"/>
        <v/>
      </c>
      <c r="V243" s="184" t="str">
        <f>IF(U243="","",IF($I$8="A",(RANK(U243,U$11:U$368)+COUNTIF(U$11:U243,U243)-1),(RANK(U243,U$11:U$368,1)+COUNTIF(U$11:U243,U243)-1)))</f>
        <v/>
      </c>
      <c r="W243" s="185"/>
      <c r="X243" s="38" t="str">
        <f>IF(L243="","",VLOOKUP($L243,classifications!$C:$J,6,FALSE))</f>
        <v/>
      </c>
      <c r="Y243" s="26" t="str">
        <f t="shared" si="78"/>
        <v/>
      </c>
      <c r="Z243" s="34" t="str">
        <f>IF(Y243="","",IF(I$8="A",(RANK(Y243,Y$11:Y$368,1)+COUNTIF(Y$11:Y243,Y243)-1),(RANK(Y243,Y$11:Y$368)+COUNTIF(Y$11:Y243,Y243)-1)))</f>
        <v/>
      </c>
      <c r="AA243" s="188" t="str">
        <f>IF(L243="","",VLOOKUP($L243,classifications!C:I,7,FALSE))</f>
        <v/>
      </c>
      <c r="AB243" s="184" t="str">
        <f t="shared" si="86"/>
        <v/>
      </c>
      <c r="AC243" s="184" t="str">
        <f>IF(AB243="","",IF($I$8="A",(RANK(AB243,AB$11:AB$368)+COUNTIF(AB$11:AB243,AB243)-1),(RANK(AB243,AB$11:AB$368,1)+COUNTIF(AB$11:AB243,AB243)-1)))</f>
        <v/>
      </c>
      <c r="AD243" s="184"/>
      <c r="AE243" s="28" t="str">
        <f t="shared" si="96"/>
        <v/>
      </c>
      <c r="AG243" s="96"/>
      <c r="AH243" s="29"/>
      <c r="AI243" s="38" t="str">
        <f>IF(L243="","",VLOOKUP($L243,classifications!$C:$J,8,FALSE))</f>
        <v/>
      </c>
      <c r="AJ243" s="39" t="str">
        <f t="shared" si="79"/>
        <v/>
      </c>
      <c r="AK243" s="34" t="str">
        <f>IF(AJ243="","",IF(I$8="A",(RANK(AJ243,AJ$11:AJ$368,1)+COUNTIF(AJ$11:AJ243,AJ243)-1),(RANK(AJ243,AJ$11:AJ$368)+COUNTIF(AJ$11:AJ243,AJ243)-1)))</f>
        <v/>
      </c>
      <c r="AL243" s="29" t="str">
        <f t="shared" si="87"/>
        <v/>
      </c>
      <c r="AM243" s="8" t="str">
        <f t="shared" si="80"/>
        <v/>
      </c>
      <c r="AN243" s="8" t="str">
        <f t="shared" si="88"/>
        <v/>
      </c>
      <c r="AP243" s="38" t="str">
        <f>IF(L243="","",VLOOKUP($L243,classifications!$C:$E,3,FALSE))</f>
        <v/>
      </c>
      <c r="AQ243" s="39" t="str">
        <f t="shared" si="89"/>
        <v/>
      </c>
      <c r="AR243" s="34" t="str">
        <f>IF(AQ243="","",IF(I$8="A",(RANK(AQ243,AQ$11:AQ$368,1)+COUNTIF(AQ$11:AQ243,AQ243)-1),(RANK(AQ243,AQ$11:AQ$368)+COUNTIF(AQ$11:AQ243,AQ243)-1)))</f>
        <v/>
      </c>
      <c r="AS243" s="29" t="str">
        <f t="shared" si="90"/>
        <v/>
      </c>
      <c r="AT243" s="34" t="str">
        <f t="shared" si="81"/>
        <v/>
      </c>
      <c r="AU243" s="39" t="str">
        <f t="shared" si="94"/>
        <v/>
      </c>
      <c r="AX243" s="21">
        <f>HLOOKUP($AX$9&amp;$AX$10,Data!$A$1:$ZZ$2000,(MATCH($C243,Data!$A$1:$A$2000,0)),FALSE)</f>
        <v>90.141400423778933</v>
      </c>
      <c r="AY243" s="103"/>
      <c r="AZ243" s="21"/>
    </row>
    <row r="244" spans="1:52">
      <c r="A244" s="56" t="str">
        <f>$D$1&amp;234</f>
        <v>SD234</v>
      </c>
      <c r="B244" s="57">
        <f>IF(ISERROR(VLOOKUP(A244,classifications!A:C,3,FALSE)),0,VLOOKUP(A244,classifications!A:C,3,FALSE))</f>
        <v>0</v>
      </c>
      <c r="C244" s="8" t="s">
        <v>124</v>
      </c>
      <c r="D244" s="26" t="str">
        <f>VLOOKUP($C244,classifications!$C:$J,4,FALSE)</f>
        <v>SD</v>
      </c>
      <c r="E244" s="26" t="str">
        <f>VLOOKUP(C244,classifications!C:K,9,FALSE)</f>
        <v>Sparse</v>
      </c>
      <c r="F244" s="36">
        <f t="shared" si="73"/>
        <v>82.5506700380799</v>
      </c>
      <c r="G244" s="71"/>
      <c r="H244" s="37">
        <f t="shared" si="74"/>
        <v>82.5506700380799</v>
      </c>
      <c r="I244" s="77">
        <f>IF(H244="","",IF($I$8="A",(RANK(H244,H$11:H$368,1)+COUNTIF(H$11:H244,H244)-1),(RANK(H244,H$11:H$368)+COUNTIF(H$11:H244,H244)-1)))</f>
        <v>66</v>
      </c>
      <c r="J244" s="35"/>
      <c r="K244" s="28" t="str">
        <f t="shared" si="82"/>
        <v/>
      </c>
      <c r="L244" s="36" t="str">
        <f t="shared" si="75"/>
        <v/>
      </c>
      <c r="M244" s="102" t="str">
        <f t="shared" si="83"/>
        <v/>
      </c>
      <c r="N244" s="101" t="str">
        <f t="shared" si="84"/>
        <v/>
      </c>
      <c r="O244" s="94" t="str">
        <f t="shared" si="76"/>
        <v/>
      </c>
      <c r="P244" s="94" t="str">
        <f t="shared" si="91"/>
        <v/>
      </c>
      <c r="Q244" s="94" t="str">
        <f t="shared" si="92"/>
        <v/>
      </c>
      <c r="R244" s="90" t="str">
        <f t="shared" si="93"/>
        <v/>
      </c>
      <c r="S244" s="37" t="str">
        <f t="shared" si="85"/>
        <v/>
      </c>
      <c r="T244" s="176" t="str">
        <f>IF(L244="","",VLOOKUP(L244,classifications!C:K,9,FALSE))</f>
        <v/>
      </c>
      <c r="U244" s="183" t="str">
        <f t="shared" si="77"/>
        <v/>
      </c>
      <c r="V244" s="184" t="str">
        <f>IF(U244="","",IF($I$8="A",(RANK(U244,U$11:U$368)+COUNTIF(U$11:U244,U244)-1),(RANK(U244,U$11:U$368,1)+COUNTIF(U$11:U244,U244)-1)))</f>
        <v/>
      </c>
      <c r="W244" s="185"/>
      <c r="X244" s="38" t="str">
        <f>IF(L244="","",VLOOKUP($L244,classifications!$C:$J,6,FALSE))</f>
        <v/>
      </c>
      <c r="Y244" s="26" t="str">
        <f t="shared" si="78"/>
        <v/>
      </c>
      <c r="Z244" s="34" t="str">
        <f>IF(Y244="","",IF(I$8="A",(RANK(Y244,Y$11:Y$368,1)+COUNTIF(Y$11:Y244,Y244)-1),(RANK(Y244,Y$11:Y$368)+COUNTIF(Y$11:Y244,Y244)-1)))</f>
        <v/>
      </c>
      <c r="AA244" s="188" t="str">
        <f>IF(L244="","",VLOOKUP($L244,classifications!C:I,7,FALSE))</f>
        <v/>
      </c>
      <c r="AB244" s="184" t="str">
        <f t="shared" si="86"/>
        <v/>
      </c>
      <c r="AC244" s="184" t="str">
        <f>IF(AB244="","",IF($I$8="A",(RANK(AB244,AB$11:AB$368)+COUNTIF(AB$11:AB244,AB244)-1),(RANK(AB244,AB$11:AB$368,1)+COUNTIF(AB$11:AB244,AB244)-1)))</f>
        <v/>
      </c>
      <c r="AD244" s="184"/>
      <c r="AE244" s="28" t="str">
        <f t="shared" si="96"/>
        <v/>
      </c>
      <c r="AG244" s="96"/>
      <c r="AH244" s="29"/>
      <c r="AI244" s="38" t="str">
        <f>IF(L244="","",VLOOKUP($L244,classifications!$C:$J,8,FALSE))</f>
        <v/>
      </c>
      <c r="AJ244" s="39" t="str">
        <f t="shared" si="79"/>
        <v/>
      </c>
      <c r="AK244" s="34" t="str">
        <f>IF(AJ244="","",IF(I$8="A",(RANK(AJ244,AJ$11:AJ$368,1)+COUNTIF(AJ$11:AJ244,AJ244)-1),(RANK(AJ244,AJ$11:AJ$368)+COUNTIF(AJ$11:AJ244,AJ244)-1)))</f>
        <v/>
      </c>
      <c r="AL244" s="29" t="str">
        <f t="shared" si="87"/>
        <v/>
      </c>
      <c r="AM244" s="8" t="str">
        <f t="shared" si="80"/>
        <v/>
      </c>
      <c r="AN244" s="8" t="str">
        <f t="shared" si="88"/>
        <v/>
      </c>
      <c r="AP244" s="38" t="str">
        <f>IF(L244="","",VLOOKUP($L244,classifications!$C:$E,3,FALSE))</f>
        <v/>
      </c>
      <c r="AQ244" s="39" t="str">
        <f t="shared" si="89"/>
        <v/>
      </c>
      <c r="AR244" s="34" t="str">
        <f>IF(AQ244="","",IF(I$8="A",(RANK(AQ244,AQ$11:AQ$368,1)+COUNTIF(AQ$11:AQ244,AQ244)-1),(RANK(AQ244,AQ$11:AQ$368)+COUNTIF(AQ$11:AQ244,AQ244)-1)))</f>
        <v/>
      </c>
      <c r="AS244" s="29" t="str">
        <f t="shared" si="90"/>
        <v/>
      </c>
      <c r="AT244" s="34" t="str">
        <f t="shared" si="81"/>
        <v/>
      </c>
      <c r="AU244" s="39" t="str">
        <f t="shared" si="94"/>
        <v/>
      </c>
      <c r="AX244" s="21">
        <f>HLOOKUP($AX$9&amp;$AX$10,Data!$A$1:$ZZ$2000,(MATCH($C244,Data!$A$1:$A$2000,0)),FALSE)</f>
        <v>82.5506700380799</v>
      </c>
      <c r="AY244" s="103"/>
      <c r="AZ244" s="21"/>
    </row>
    <row r="245" spans="1:52">
      <c r="A245" s="56" t="str">
        <f>$D$1&amp;235</f>
        <v>SD235</v>
      </c>
      <c r="B245" s="57">
        <f>IF(ISERROR(VLOOKUP(A245,classifications!A:C,3,FALSE)),0,VLOOKUP(A245,classifications!A:C,3,FALSE))</f>
        <v>0</v>
      </c>
      <c r="C245" s="8" t="s">
        <v>240</v>
      </c>
      <c r="D245" s="26" t="str">
        <f>VLOOKUP($C245,classifications!$C:$J,4,FALSE)</f>
        <v>MD</v>
      </c>
      <c r="E245" s="26">
        <f>VLOOKUP(C245,classifications!C:K,9,FALSE)</f>
        <v>0</v>
      </c>
      <c r="F245" s="36">
        <f t="shared" si="73"/>
        <v>73.944238676560289</v>
      </c>
      <c r="G245" s="71"/>
      <c r="H245" s="37" t="str">
        <f t="shared" si="74"/>
        <v/>
      </c>
      <c r="I245" s="77" t="str">
        <f>IF(H245="","",IF($I$8="A",(RANK(H245,H$11:H$368,1)+COUNTIF(H$11:H245,H245)-1),(RANK(H245,H$11:H$368)+COUNTIF(H$11:H245,H245)-1)))</f>
        <v/>
      </c>
      <c r="J245" s="35"/>
      <c r="K245" s="28" t="str">
        <f t="shared" si="82"/>
        <v/>
      </c>
      <c r="L245" s="36" t="str">
        <f t="shared" si="75"/>
        <v/>
      </c>
      <c r="M245" s="102" t="str">
        <f t="shared" si="83"/>
        <v/>
      </c>
      <c r="N245" s="101" t="str">
        <f t="shared" si="84"/>
        <v/>
      </c>
      <c r="O245" s="94" t="str">
        <f t="shared" si="76"/>
        <v/>
      </c>
      <c r="P245" s="94" t="str">
        <f t="shared" si="91"/>
        <v/>
      </c>
      <c r="Q245" s="94" t="str">
        <f t="shared" si="92"/>
        <v/>
      </c>
      <c r="R245" s="90" t="str">
        <f t="shared" si="93"/>
        <v/>
      </c>
      <c r="S245" s="37" t="str">
        <f t="shared" si="85"/>
        <v/>
      </c>
      <c r="T245" s="176" t="str">
        <f>IF(L245="","",VLOOKUP(L245,classifications!C:K,9,FALSE))</f>
        <v/>
      </c>
      <c r="U245" s="183" t="str">
        <f t="shared" si="77"/>
        <v/>
      </c>
      <c r="V245" s="184" t="str">
        <f>IF(U245="","",IF($I$8="A",(RANK(U245,U$11:U$368)+COUNTIF(U$11:U245,U245)-1),(RANK(U245,U$11:U$368,1)+COUNTIF(U$11:U245,U245)-1)))</f>
        <v/>
      </c>
      <c r="W245" s="185"/>
      <c r="X245" s="38" t="str">
        <f>IF(L245="","",VLOOKUP($L245,classifications!$C:$J,6,FALSE))</f>
        <v/>
      </c>
      <c r="Y245" s="26" t="str">
        <f t="shared" si="78"/>
        <v/>
      </c>
      <c r="Z245" s="34" t="str">
        <f>IF(Y245="","",IF(I$8="A",(RANK(Y245,Y$11:Y$368,1)+COUNTIF(Y$11:Y245,Y245)-1),(RANK(Y245,Y$11:Y$368)+COUNTIF(Y$11:Y245,Y245)-1)))</f>
        <v/>
      </c>
      <c r="AA245" s="188" t="str">
        <f>IF(L245="","",VLOOKUP($L245,classifications!C:I,7,FALSE))</f>
        <v/>
      </c>
      <c r="AB245" s="184" t="str">
        <f t="shared" si="86"/>
        <v/>
      </c>
      <c r="AC245" s="184" t="str">
        <f>IF(AB245="","",IF($I$8="A",(RANK(AB245,AB$11:AB$368)+COUNTIF(AB$11:AB245,AB245)-1),(RANK(AB245,AB$11:AB$368,1)+COUNTIF(AB$11:AB245,AB245)-1)))</f>
        <v/>
      </c>
      <c r="AD245" s="184"/>
      <c r="AE245" s="28" t="str">
        <f t="shared" si="96"/>
        <v/>
      </c>
      <c r="AG245" s="96"/>
      <c r="AH245" s="29"/>
      <c r="AI245" s="38" t="str">
        <f>IF(L245="","",VLOOKUP($L245,classifications!$C:$J,8,FALSE))</f>
        <v/>
      </c>
      <c r="AJ245" s="39" t="str">
        <f t="shared" si="79"/>
        <v/>
      </c>
      <c r="AK245" s="34" t="str">
        <f>IF(AJ245="","",IF(I$8="A",(RANK(AJ245,AJ$11:AJ$368,1)+COUNTIF(AJ$11:AJ245,AJ245)-1),(RANK(AJ245,AJ$11:AJ$368)+COUNTIF(AJ$11:AJ245,AJ245)-1)))</f>
        <v/>
      </c>
      <c r="AL245" s="29" t="str">
        <f t="shared" si="87"/>
        <v/>
      </c>
      <c r="AM245" s="8" t="str">
        <f t="shared" si="80"/>
        <v/>
      </c>
      <c r="AN245" s="8" t="str">
        <f t="shared" si="88"/>
        <v/>
      </c>
      <c r="AP245" s="38" t="str">
        <f>IF(L245="","",VLOOKUP($L245,classifications!$C:$E,3,FALSE))</f>
        <v/>
      </c>
      <c r="AQ245" s="39" t="str">
        <f t="shared" si="89"/>
        <v/>
      </c>
      <c r="AR245" s="34" t="str">
        <f>IF(AQ245="","",IF(I$8="A",(RANK(AQ245,AQ$11:AQ$368,1)+COUNTIF(AQ$11:AQ245,AQ245)-1),(RANK(AQ245,AQ$11:AQ$368)+COUNTIF(AQ$11:AQ245,AQ245)-1)))</f>
        <v/>
      </c>
      <c r="AS245" s="29" t="str">
        <f t="shared" si="90"/>
        <v/>
      </c>
      <c r="AT245" s="34" t="str">
        <f t="shared" si="81"/>
        <v/>
      </c>
      <c r="AU245" s="39" t="str">
        <f t="shared" si="94"/>
        <v/>
      </c>
      <c r="AX245" s="21">
        <f>HLOOKUP($AX$9&amp;$AX$10,Data!$A$1:$ZZ$2000,(MATCH($C245,Data!$A$1:$A$2000,0)),FALSE)</f>
        <v>73.944238676560289</v>
      </c>
      <c r="AY245" s="103"/>
      <c r="AZ245" s="21"/>
    </row>
    <row r="246" spans="1:52">
      <c r="A246" s="56" t="str">
        <f>$D$1&amp;236</f>
        <v>SD236</v>
      </c>
      <c r="B246" s="57">
        <f>IF(ISERROR(VLOOKUP(A246,classifications!A:C,3,FALSE)),0,VLOOKUP(A246,classifications!A:C,3,FALSE))</f>
        <v>0</v>
      </c>
      <c r="C246" s="8" t="s">
        <v>125</v>
      </c>
      <c r="D246" s="26" t="str">
        <f>VLOOKUP($C246,classifications!$C:$J,4,FALSE)</f>
        <v>SD</v>
      </c>
      <c r="E246" s="26">
        <f>VLOOKUP(C246,classifications!C:K,9,FALSE)</f>
        <v>0</v>
      </c>
      <c r="F246" s="36">
        <f t="shared" si="73"/>
        <v>85.366352980366827</v>
      </c>
      <c r="G246" s="71"/>
      <c r="H246" s="37">
        <f t="shared" si="74"/>
        <v>85.366352980366827</v>
      </c>
      <c r="I246" s="77">
        <f>IF(H246="","",IF($I$8="A",(RANK(H246,H$11:H$368,1)+COUNTIF(H$11:H246,H246)-1),(RANK(H246,H$11:H$368)+COUNTIF(H$11:H246,H246)-1)))</f>
        <v>25</v>
      </c>
      <c r="J246" s="35"/>
      <c r="K246" s="28" t="str">
        <f t="shared" si="82"/>
        <v/>
      </c>
      <c r="L246" s="36" t="str">
        <f t="shared" si="75"/>
        <v/>
      </c>
      <c r="M246" s="102" t="str">
        <f t="shared" si="83"/>
        <v/>
      </c>
      <c r="N246" s="101" t="str">
        <f t="shared" si="84"/>
        <v/>
      </c>
      <c r="O246" s="94" t="str">
        <f t="shared" si="76"/>
        <v/>
      </c>
      <c r="P246" s="94" t="str">
        <f t="shared" si="91"/>
        <v/>
      </c>
      <c r="Q246" s="94" t="str">
        <f t="shared" si="92"/>
        <v/>
      </c>
      <c r="R246" s="90" t="str">
        <f t="shared" si="93"/>
        <v/>
      </c>
      <c r="S246" s="37" t="str">
        <f t="shared" si="85"/>
        <v/>
      </c>
      <c r="T246" s="176" t="str">
        <f>IF(L246="","",VLOOKUP(L246,classifications!C:K,9,FALSE))</f>
        <v/>
      </c>
      <c r="U246" s="183" t="str">
        <f t="shared" si="77"/>
        <v/>
      </c>
      <c r="V246" s="184" t="str">
        <f>IF(U246="","",IF($I$8="A",(RANK(U246,U$11:U$368)+COUNTIF(U$11:U246,U246)-1),(RANK(U246,U$11:U$368,1)+COUNTIF(U$11:U246,U246)-1)))</f>
        <v/>
      </c>
      <c r="W246" s="185"/>
      <c r="X246" s="38" t="str">
        <f>IF(L246="","",VLOOKUP($L246,classifications!$C:$J,6,FALSE))</f>
        <v/>
      </c>
      <c r="Y246" s="26" t="str">
        <f t="shared" si="78"/>
        <v/>
      </c>
      <c r="Z246" s="34" t="str">
        <f>IF(Y246="","",IF(I$8="A",(RANK(Y246,Y$11:Y$368,1)+COUNTIF(Y$11:Y246,Y246)-1),(RANK(Y246,Y$11:Y$368)+COUNTIF(Y$11:Y246,Y246)-1)))</f>
        <v/>
      </c>
      <c r="AA246" s="188" t="str">
        <f>IF(L246="","",VLOOKUP($L246,classifications!C:I,7,FALSE))</f>
        <v/>
      </c>
      <c r="AB246" s="184" t="str">
        <f t="shared" si="86"/>
        <v/>
      </c>
      <c r="AC246" s="184" t="str">
        <f>IF(AB246="","",IF($I$8="A",(RANK(AB246,AB$11:AB$368)+COUNTIF(AB$11:AB246,AB246)-1),(RANK(AB246,AB$11:AB$368,1)+COUNTIF(AB$11:AB246,AB246)-1)))</f>
        <v/>
      </c>
      <c r="AD246" s="184"/>
      <c r="AE246" s="28" t="str">
        <f t="shared" si="96"/>
        <v/>
      </c>
      <c r="AG246" s="96"/>
      <c r="AH246" s="29"/>
      <c r="AI246" s="38" t="str">
        <f>IF(L246="","",VLOOKUP($L246,classifications!$C:$J,8,FALSE))</f>
        <v/>
      </c>
      <c r="AJ246" s="39" t="str">
        <f t="shared" si="79"/>
        <v/>
      </c>
      <c r="AK246" s="34" t="str">
        <f>IF(AJ246="","",IF(I$8="A",(RANK(AJ246,AJ$11:AJ$368,1)+COUNTIF(AJ$11:AJ246,AJ246)-1),(RANK(AJ246,AJ$11:AJ$368)+COUNTIF(AJ$11:AJ246,AJ246)-1)))</f>
        <v/>
      </c>
      <c r="AL246" s="29" t="str">
        <f t="shared" si="87"/>
        <v/>
      </c>
      <c r="AM246" s="8" t="str">
        <f t="shared" si="80"/>
        <v/>
      </c>
      <c r="AN246" s="8" t="str">
        <f t="shared" si="88"/>
        <v/>
      </c>
      <c r="AP246" s="38" t="str">
        <f>IF(L246="","",VLOOKUP($L246,classifications!$C:$E,3,FALSE))</f>
        <v/>
      </c>
      <c r="AQ246" s="39" t="str">
        <f t="shared" si="89"/>
        <v/>
      </c>
      <c r="AR246" s="34" t="str">
        <f>IF(AQ246="","",IF(I$8="A",(RANK(AQ246,AQ$11:AQ$368,1)+COUNTIF(AQ$11:AQ246,AQ246)-1),(RANK(AQ246,AQ$11:AQ$368)+COUNTIF(AQ$11:AQ246,AQ246)-1)))</f>
        <v/>
      </c>
      <c r="AS246" s="29" t="str">
        <f t="shared" si="90"/>
        <v/>
      </c>
      <c r="AT246" s="34" t="str">
        <f t="shared" si="81"/>
        <v/>
      </c>
      <c r="AU246" s="39" t="str">
        <f t="shared" si="94"/>
        <v/>
      </c>
      <c r="AX246" s="21">
        <f>HLOOKUP($AX$9&amp;$AX$10,Data!$A$1:$ZZ$2000,(MATCH($C246,Data!$A$1:$A$2000,0)),FALSE)</f>
        <v>85.366352980366827</v>
      </c>
      <c r="AY246" s="103"/>
      <c r="AZ246" s="21"/>
    </row>
    <row r="247" spans="1:52">
      <c r="A247" s="56" t="str">
        <f>$D$1&amp;237</f>
        <v>SD237</v>
      </c>
      <c r="B247" s="57">
        <f>IF(ISERROR(VLOOKUP(A247,classifications!A:C,3,FALSE)),0,VLOOKUP(A247,classifications!A:C,3,FALSE))</f>
        <v>0</v>
      </c>
      <c r="C247" s="8" t="s">
        <v>126</v>
      </c>
      <c r="D247" s="26" t="str">
        <f>VLOOKUP($C247,classifications!$C:$J,4,FALSE)</f>
        <v>SD</v>
      </c>
      <c r="E247" s="26">
        <f>VLOOKUP(C247,classifications!C:K,9,FALSE)</f>
        <v>0</v>
      </c>
      <c r="F247" s="36">
        <f t="shared" si="73"/>
        <v>76.422949572140297</v>
      </c>
      <c r="G247" s="71"/>
      <c r="H247" s="37">
        <f t="shared" si="74"/>
        <v>76.422949572140297</v>
      </c>
      <c r="I247" s="77">
        <f>IF(H247="","",IF($I$8="A",(RANK(H247,H$11:H$368,1)+COUNTIF(H$11:H247,H247)-1),(RANK(H247,H$11:H$368)+COUNTIF(H$11:H247,H247)-1)))</f>
        <v>164</v>
      </c>
      <c r="J247" s="35"/>
      <c r="K247" s="28" t="str">
        <f t="shared" si="82"/>
        <v/>
      </c>
      <c r="L247" s="36" t="str">
        <f t="shared" si="75"/>
        <v/>
      </c>
      <c r="M247" s="102" t="str">
        <f t="shared" si="83"/>
        <v/>
      </c>
      <c r="N247" s="101" t="str">
        <f t="shared" si="84"/>
        <v/>
      </c>
      <c r="O247" s="94" t="str">
        <f t="shared" si="76"/>
        <v/>
      </c>
      <c r="P247" s="94" t="str">
        <f t="shared" si="91"/>
        <v/>
      </c>
      <c r="Q247" s="94" t="str">
        <f t="shared" si="92"/>
        <v/>
      </c>
      <c r="R247" s="90" t="str">
        <f t="shared" si="93"/>
        <v/>
      </c>
      <c r="S247" s="37" t="str">
        <f t="shared" si="85"/>
        <v/>
      </c>
      <c r="T247" s="176" t="str">
        <f>IF(L247="","",VLOOKUP(L247,classifications!C:K,9,FALSE))</f>
        <v/>
      </c>
      <c r="U247" s="183" t="str">
        <f t="shared" si="77"/>
        <v/>
      </c>
      <c r="V247" s="184" t="str">
        <f>IF(U247="","",IF($I$8="A",(RANK(U247,U$11:U$368)+COUNTIF(U$11:U247,U247)-1),(RANK(U247,U$11:U$368,1)+COUNTIF(U$11:U247,U247)-1)))</f>
        <v/>
      </c>
      <c r="W247" s="185"/>
      <c r="X247" s="38" t="str">
        <f>IF(L247="","",VLOOKUP($L247,classifications!$C:$J,6,FALSE))</f>
        <v/>
      </c>
      <c r="Y247" s="26" t="str">
        <f t="shared" si="78"/>
        <v/>
      </c>
      <c r="Z247" s="34" t="str">
        <f>IF(Y247="","",IF(I$8="A",(RANK(Y247,Y$11:Y$368,1)+COUNTIF(Y$11:Y247,Y247)-1),(RANK(Y247,Y$11:Y$368)+COUNTIF(Y$11:Y247,Y247)-1)))</f>
        <v/>
      </c>
      <c r="AA247" s="188" t="str">
        <f>IF(L247="","",VLOOKUP($L247,classifications!C:I,7,FALSE))</f>
        <v/>
      </c>
      <c r="AB247" s="184" t="str">
        <f t="shared" si="86"/>
        <v/>
      </c>
      <c r="AC247" s="184" t="str">
        <f>IF(AB247="","",IF($I$8="A",(RANK(AB247,AB$11:AB$368)+COUNTIF(AB$11:AB247,AB247)-1),(RANK(AB247,AB$11:AB$368,1)+COUNTIF(AB$11:AB247,AB247)-1)))</f>
        <v/>
      </c>
      <c r="AD247" s="184"/>
      <c r="AE247" s="28" t="str">
        <f t="shared" si="96"/>
        <v/>
      </c>
      <c r="AG247" s="96"/>
      <c r="AH247" s="29"/>
      <c r="AI247" s="38" t="str">
        <f>IF(L247="","",VLOOKUP($L247,classifications!$C:$J,8,FALSE))</f>
        <v/>
      </c>
      <c r="AJ247" s="39" t="str">
        <f t="shared" si="79"/>
        <v/>
      </c>
      <c r="AK247" s="34" t="str">
        <f>IF(AJ247="","",IF(I$8="A",(RANK(AJ247,AJ$11:AJ$368,1)+COUNTIF(AJ$11:AJ247,AJ247)-1),(RANK(AJ247,AJ$11:AJ$368)+COUNTIF(AJ$11:AJ247,AJ247)-1)))</f>
        <v/>
      </c>
      <c r="AL247" s="29" t="str">
        <f t="shared" si="87"/>
        <v/>
      </c>
      <c r="AM247" s="8" t="str">
        <f t="shared" si="80"/>
        <v/>
      </c>
      <c r="AN247" s="8" t="str">
        <f t="shared" si="88"/>
        <v/>
      </c>
      <c r="AP247" s="38" t="str">
        <f>IF(L247="","",VLOOKUP($L247,classifications!$C:$E,3,FALSE))</f>
        <v/>
      </c>
      <c r="AQ247" s="39" t="str">
        <f t="shared" si="89"/>
        <v/>
      </c>
      <c r="AR247" s="34" t="str">
        <f>IF(AQ247="","",IF(I$8="A",(RANK(AQ247,AQ$11:AQ$368,1)+COUNTIF(AQ$11:AQ247,AQ247)-1),(RANK(AQ247,AQ$11:AQ$368)+COUNTIF(AQ$11:AQ247,AQ247)-1)))</f>
        <v/>
      </c>
      <c r="AS247" s="29" t="str">
        <f t="shared" si="90"/>
        <v/>
      </c>
      <c r="AT247" s="34" t="str">
        <f t="shared" si="81"/>
        <v/>
      </c>
      <c r="AU247" s="39" t="str">
        <f t="shared" si="94"/>
        <v/>
      </c>
      <c r="AX247" s="21">
        <f>HLOOKUP($AX$9&amp;$AX$10,Data!$A$1:$ZZ$2000,(MATCH($C247,Data!$A$1:$A$2000,0)),FALSE)</f>
        <v>76.422949572140297</v>
      </c>
      <c r="AY247" s="103"/>
      <c r="AZ247" s="21"/>
    </row>
    <row r="248" spans="1:52">
      <c r="A248" s="56" t="str">
        <f>$D$1&amp;238</f>
        <v>SD238</v>
      </c>
      <c r="B248" s="57">
        <f>IF(ISERROR(VLOOKUP(A248,classifications!A:C,3,FALSE)),0,VLOOKUP(A248,classifications!A:C,3,FALSE))</f>
        <v>0</v>
      </c>
      <c r="C248" s="8" t="s">
        <v>127</v>
      </c>
      <c r="D248" s="26" t="str">
        <f>VLOOKUP($C248,classifications!$C:$J,4,FALSE)</f>
        <v>SD</v>
      </c>
      <c r="E248" s="26" t="str">
        <f>VLOOKUP(C248,classifications!C:K,9,FALSE)</f>
        <v>Sparse</v>
      </c>
      <c r="F248" s="36">
        <f t="shared" si="73"/>
        <v>82.24698005383091</v>
      </c>
      <c r="G248" s="71"/>
      <c r="H248" s="37">
        <f t="shared" si="74"/>
        <v>82.24698005383091</v>
      </c>
      <c r="I248" s="77">
        <f>IF(H248="","",IF($I$8="A",(RANK(H248,H$11:H$368,1)+COUNTIF(H$11:H248,H248)-1),(RANK(H248,H$11:H$368)+COUNTIF(H$11:H248,H248)-1)))</f>
        <v>75</v>
      </c>
      <c r="J248" s="35"/>
      <c r="K248" s="28" t="str">
        <f t="shared" si="82"/>
        <v/>
      </c>
      <c r="L248" s="36" t="str">
        <f t="shared" si="75"/>
        <v/>
      </c>
      <c r="M248" s="102" t="str">
        <f t="shared" si="83"/>
        <v/>
      </c>
      <c r="N248" s="101" t="str">
        <f t="shared" si="84"/>
        <v/>
      </c>
      <c r="O248" s="94" t="str">
        <f t="shared" si="76"/>
        <v/>
      </c>
      <c r="P248" s="94" t="str">
        <f t="shared" si="91"/>
        <v/>
      </c>
      <c r="Q248" s="94" t="str">
        <f t="shared" si="92"/>
        <v/>
      </c>
      <c r="R248" s="90" t="str">
        <f t="shared" si="93"/>
        <v/>
      </c>
      <c r="S248" s="37" t="str">
        <f t="shared" si="85"/>
        <v/>
      </c>
      <c r="T248" s="176" t="str">
        <f>IF(L248="","",VLOOKUP(L248,classifications!C:K,9,FALSE))</f>
        <v/>
      </c>
      <c r="U248" s="183" t="str">
        <f t="shared" si="77"/>
        <v/>
      </c>
      <c r="V248" s="184" t="str">
        <f>IF(U248="","",IF($I$8="A",(RANK(U248,U$11:U$368)+COUNTIF(U$11:U248,U248)-1),(RANK(U248,U$11:U$368,1)+COUNTIF(U$11:U248,U248)-1)))</f>
        <v/>
      </c>
      <c r="W248" s="185"/>
      <c r="X248" s="38" t="str">
        <f>IF(L248="","",VLOOKUP($L248,classifications!$C:$J,6,FALSE))</f>
        <v/>
      </c>
      <c r="Y248" s="26" t="str">
        <f t="shared" si="78"/>
        <v/>
      </c>
      <c r="Z248" s="34" t="str">
        <f>IF(Y248="","",IF(I$8="A",(RANK(Y248,Y$11:Y$368,1)+COUNTIF(Y$11:Y248,Y248)-1),(RANK(Y248,Y$11:Y$368)+COUNTIF(Y$11:Y248,Y248)-1)))</f>
        <v/>
      </c>
      <c r="AA248" s="188" t="str">
        <f>IF(L248="","",VLOOKUP($L248,classifications!C:I,7,FALSE))</f>
        <v/>
      </c>
      <c r="AB248" s="184" t="str">
        <f t="shared" si="86"/>
        <v/>
      </c>
      <c r="AC248" s="184" t="str">
        <f>IF(AB248="","",IF($I$8="A",(RANK(AB248,AB$11:AB$368)+COUNTIF(AB$11:AB248,AB248)-1),(RANK(AB248,AB$11:AB$368,1)+COUNTIF(AB$11:AB248,AB248)-1)))</f>
        <v/>
      </c>
      <c r="AD248" s="184"/>
      <c r="AE248" s="28" t="str">
        <f t="shared" si="96"/>
        <v/>
      </c>
      <c r="AG248" s="96"/>
      <c r="AH248" s="29"/>
      <c r="AI248" s="38" t="str">
        <f>IF(L248="","",VLOOKUP($L248,classifications!$C:$J,8,FALSE))</f>
        <v/>
      </c>
      <c r="AJ248" s="39" t="str">
        <f t="shared" si="79"/>
        <v/>
      </c>
      <c r="AK248" s="34" t="str">
        <f>IF(AJ248="","",IF(I$8="A",(RANK(AJ248,AJ$11:AJ$368,1)+COUNTIF(AJ$11:AJ248,AJ248)-1),(RANK(AJ248,AJ$11:AJ$368)+COUNTIF(AJ$11:AJ248,AJ248)-1)))</f>
        <v/>
      </c>
      <c r="AL248" s="29" t="str">
        <f t="shared" si="87"/>
        <v/>
      </c>
      <c r="AM248" s="8" t="str">
        <f t="shared" si="80"/>
        <v/>
      </c>
      <c r="AN248" s="8" t="str">
        <f t="shared" si="88"/>
        <v/>
      </c>
      <c r="AP248" s="38" t="str">
        <f>IF(L248="","",VLOOKUP($L248,classifications!$C:$E,3,FALSE))</f>
        <v/>
      </c>
      <c r="AQ248" s="39" t="str">
        <f t="shared" si="89"/>
        <v/>
      </c>
      <c r="AR248" s="34" t="str">
        <f>IF(AQ248="","",IF(I$8="A",(RANK(AQ248,AQ$11:AQ$368,1)+COUNTIF(AQ$11:AQ248,AQ248)-1),(RANK(AQ248,AQ$11:AQ$368)+COUNTIF(AQ$11:AQ248,AQ248)-1)))</f>
        <v/>
      </c>
      <c r="AS248" s="29" t="str">
        <f t="shared" si="90"/>
        <v/>
      </c>
      <c r="AT248" s="34" t="str">
        <f t="shared" si="81"/>
        <v/>
      </c>
      <c r="AU248" s="39" t="str">
        <f t="shared" si="94"/>
        <v/>
      </c>
      <c r="AX248" s="21">
        <f>HLOOKUP($AX$9&amp;$AX$10,Data!$A$1:$ZZ$2000,(MATCH($C248,Data!$A$1:$A$2000,0)),FALSE)</f>
        <v>82.24698005383091</v>
      </c>
      <c r="AY248" s="103"/>
      <c r="AZ248" s="21"/>
    </row>
    <row r="249" spans="1:52">
      <c r="A249" s="56" t="str">
        <f>$D$1&amp;239</f>
        <v>SD239</v>
      </c>
      <c r="B249" s="57">
        <f>IF(ISERROR(VLOOKUP(A249,classifications!A:C,3,FALSE)),0,VLOOKUP(A249,classifications!A:C,3,FALSE))</f>
        <v>0</v>
      </c>
      <c r="C249" s="8" t="s">
        <v>241</v>
      </c>
      <c r="D249" s="26" t="str">
        <f>VLOOKUP($C249,classifications!$C:$J,4,FALSE)</f>
        <v>MD</v>
      </c>
      <c r="E249" s="26">
        <f>VLOOKUP(C249,classifications!C:K,9,FALSE)</f>
        <v>0</v>
      </c>
      <c r="F249" s="36">
        <f t="shared" si="73"/>
        <v>73.60325705384848</v>
      </c>
      <c r="G249" s="71"/>
      <c r="H249" s="37" t="str">
        <f t="shared" si="74"/>
        <v/>
      </c>
      <c r="I249" s="77" t="str">
        <f>IF(H249="","",IF($I$8="A",(RANK(H249,H$11:H$368,1)+COUNTIF(H$11:H249,H249)-1),(RANK(H249,H$11:H$368)+COUNTIF(H$11:H249,H249)-1)))</f>
        <v/>
      </c>
      <c r="J249" s="35"/>
      <c r="K249" s="28" t="str">
        <f t="shared" si="82"/>
        <v/>
      </c>
      <c r="L249" s="36" t="str">
        <f t="shared" si="75"/>
        <v/>
      </c>
      <c r="M249" s="102" t="str">
        <f t="shared" si="83"/>
        <v/>
      </c>
      <c r="N249" s="101" t="str">
        <f t="shared" si="84"/>
        <v/>
      </c>
      <c r="O249" s="94" t="str">
        <f t="shared" si="76"/>
        <v/>
      </c>
      <c r="P249" s="94" t="str">
        <f t="shared" si="91"/>
        <v/>
      </c>
      <c r="Q249" s="94" t="str">
        <f t="shared" si="92"/>
        <v/>
      </c>
      <c r="R249" s="90" t="str">
        <f t="shared" si="93"/>
        <v/>
      </c>
      <c r="S249" s="37" t="str">
        <f t="shared" si="85"/>
        <v/>
      </c>
      <c r="T249" s="176" t="str">
        <f>IF(L249="","",VLOOKUP(L249,classifications!C:K,9,FALSE))</f>
        <v/>
      </c>
      <c r="U249" s="183" t="str">
        <f t="shared" si="77"/>
        <v/>
      </c>
      <c r="V249" s="184" t="str">
        <f>IF(U249="","",IF($I$8="A",(RANK(U249,U$11:U$368)+COUNTIF(U$11:U249,U249)-1),(RANK(U249,U$11:U$368,1)+COUNTIF(U$11:U249,U249)-1)))</f>
        <v/>
      </c>
      <c r="W249" s="185"/>
      <c r="X249" s="38" t="str">
        <f>IF(L249="","",VLOOKUP($L249,classifications!$C:$J,6,FALSE))</f>
        <v/>
      </c>
      <c r="Y249" s="26" t="str">
        <f t="shared" si="78"/>
        <v/>
      </c>
      <c r="Z249" s="34" t="str">
        <f>IF(Y249="","",IF(I$8="A",(RANK(Y249,Y$11:Y$368,1)+COUNTIF(Y$11:Y249,Y249)-1),(RANK(Y249,Y$11:Y$368)+COUNTIF(Y$11:Y249,Y249)-1)))</f>
        <v/>
      </c>
      <c r="AA249" s="188" t="str">
        <f>IF(L249="","",VLOOKUP($L249,classifications!C:I,7,FALSE))</f>
        <v/>
      </c>
      <c r="AB249" s="184" t="str">
        <f t="shared" si="86"/>
        <v/>
      </c>
      <c r="AC249" s="184" t="str">
        <f>IF(AB249="","",IF($I$8="A",(RANK(AB249,AB$11:AB$368)+COUNTIF(AB$11:AB249,AB249)-1),(RANK(AB249,AB$11:AB$368,1)+COUNTIF(AB$11:AB249,AB249)-1)))</f>
        <v/>
      </c>
      <c r="AD249" s="184"/>
      <c r="AE249" s="28" t="str">
        <f t="shared" si="96"/>
        <v/>
      </c>
      <c r="AG249" s="96"/>
      <c r="AH249" s="29"/>
      <c r="AI249" s="38" t="str">
        <f>IF(L249="","",VLOOKUP($L249,classifications!$C:$J,8,FALSE))</f>
        <v/>
      </c>
      <c r="AJ249" s="39" t="str">
        <f t="shared" si="79"/>
        <v/>
      </c>
      <c r="AK249" s="34" t="str">
        <f>IF(AJ249="","",IF(I$8="A",(RANK(AJ249,AJ$11:AJ$368,1)+COUNTIF(AJ$11:AJ249,AJ249)-1),(RANK(AJ249,AJ$11:AJ$368)+COUNTIF(AJ$11:AJ249,AJ249)-1)))</f>
        <v/>
      </c>
      <c r="AL249" s="29" t="str">
        <f t="shared" si="87"/>
        <v/>
      </c>
      <c r="AM249" s="8" t="str">
        <f t="shared" si="80"/>
        <v/>
      </c>
      <c r="AN249" s="8" t="str">
        <f t="shared" si="88"/>
        <v/>
      </c>
      <c r="AP249" s="38" t="str">
        <f>IF(L249="","",VLOOKUP($L249,classifications!$C:$E,3,FALSE))</f>
        <v/>
      </c>
      <c r="AQ249" s="39" t="str">
        <f t="shared" si="89"/>
        <v/>
      </c>
      <c r="AR249" s="34" t="str">
        <f>IF(AQ249="","",IF(I$8="A",(RANK(AQ249,AQ$11:AQ$368,1)+COUNTIF(AQ$11:AQ249,AQ249)-1),(RANK(AQ249,AQ$11:AQ$368)+COUNTIF(AQ$11:AQ249,AQ249)-1)))</f>
        <v/>
      </c>
      <c r="AS249" s="29" t="str">
        <f t="shared" si="90"/>
        <v/>
      </c>
      <c r="AT249" s="34" t="str">
        <f t="shared" si="81"/>
        <v/>
      </c>
      <c r="AU249" s="39" t="str">
        <f t="shared" si="94"/>
        <v/>
      </c>
      <c r="AX249" s="21">
        <f>HLOOKUP($AX$9&amp;$AX$10,Data!$A$1:$ZZ$2000,(MATCH($C249,Data!$A$1:$A$2000,0)),FALSE)</f>
        <v>73.60325705384848</v>
      </c>
      <c r="AY249" s="103"/>
      <c r="AZ249" s="21"/>
    </row>
    <row r="250" spans="1:52">
      <c r="A250" s="56" t="str">
        <f>$D$1&amp;240</f>
        <v>SD240</v>
      </c>
      <c r="B250" s="57">
        <f>IF(ISERROR(VLOOKUP(A250,classifications!A:C,3,FALSE)),0,VLOOKUP(A250,classifications!A:C,3,FALSE))</f>
        <v>0</v>
      </c>
      <c r="C250" s="8" t="s">
        <v>128</v>
      </c>
      <c r="D250" s="26" t="str">
        <f>VLOOKUP($C250,classifications!$C:$J,4,FALSE)</f>
        <v>SD</v>
      </c>
      <c r="E250" s="26" t="str">
        <f>VLOOKUP(C250,classifications!C:K,9,FALSE)</f>
        <v>Sparse</v>
      </c>
      <c r="F250" s="36">
        <f t="shared" si="73"/>
        <v>74.80645961219075</v>
      </c>
      <c r="G250" s="71"/>
      <c r="H250" s="37">
        <f t="shared" si="74"/>
        <v>74.80645961219075</v>
      </c>
      <c r="I250" s="77">
        <f>IF(H250="","",IF($I$8="A",(RANK(H250,H$11:H$368,1)+COUNTIF(H$11:H250,H250)-1),(RANK(H250,H$11:H$368)+COUNTIF(H$11:H250,H250)-1)))</f>
        <v>179</v>
      </c>
      <c r="J250" s="35"/>
      <c r="K250" s="28" t="str">
        <f t="shared" si="82"/>
        <v/>
      </c>
      <c r="L250" s="36" t="str">
        <f t="shared" si="75"/>
        <v/>
      </c>
      <c r="M250" s="102" t="str">
        <f t="shared" si="83"/>
        <v/>
      </c>
      <c r="N250" s="101" t="str">
        <f t="shared" si="84"/>
        <v/>
      </c>
      <c r="O250" s="94" t="str">
        <f t="shared" si="76"/>
        <v/>
      </c>
      <c r="P250" s="94" t="str">
        <f t="shared" si="91"/>
        <v/>
      </c>
      <c r="Q250" s="94" t="str">
        <f t="shared" si="92"/>
        <v/>
      </c>
      <c r="R250" s="90" t="str">
        <f t="shared" si="93"/>
        <v/>
      </c>
      <c r="S250" s="37" t="str">
        <f t="shared" si="85"/>
        <v/>
      </c>
      <c r="T250" s="176" t="str">
        <f>IF(L250="","",VLOOKUP(L250,classifications!C:K,9,FALSE))</f>
        <v/>
      </c>
      <c r="U250" s="183" t="str">
        <f t="shared" si="77"/>
        <v/>
      </c>
      <c r="V250" s="184" t="str">
        <f>IF(U250="","",IF($I$8="A",(RANK(U250,U$11:U$368)+COUNTIF(U$11:U250,U250)-1),(RANK(U250,U$11:U$368,1)+COUNTIF(U$11:U250,U250)-1)))</f>
        <v/>
      </c>
      <c r="W250" s="185"/>
      <c r="X250" s="38" t="str">
        <f>IF(L250="","",VLOOKUP($L250,classifications!$C:$J,6,FALSE))</f>
        <v/>
      </c>
      <c r="Y250" s="26" t="str">
        <f t="shared" si="78"/>
        <v/>
      </c>
      <c r="Z250" s="34" t="str">
        <f>IF(Y250="","",IF(I$8="A",(RANK(Y250,Y$11:Y$368,1)+COUNTIF(Y$11:Y250,Y250)-1),(RANK(Y250,Y$11:Y$368)+COUNTIF(Y$11:Y250,Y250)-1)))</f>
        <v/>
      </c>
      <c r="AA250" s="188" t="str">
        <f>IF(L250="","",VLOOKUP($L250,classifications!C:I,7,FALSE))</f>
        <v/>
      </c>
      <c r="AB250" s="184" t="str">
        <f t="shared" si="86"/>
        <v/>
      </c>
      <c r="AC250" s="184" t="str">
        <f>IF(AB250="","",IF($I$8="A",(RANK(AB250,AB$11:AB$368)+COUNTIF(AB$11:AB250,AB250)-1),(RANK(AB250,AB$11:AB$368,1)+COUNTIF(AB$11:AB250,AB250)-1)))</f>
        <v/>
      </c>
      <c r="AD250" s="184"/>
      <c r="AE250" s="28" t="str">
        <f t="shared" si="96"/>
        <v/>
      </c>
      <c r="AG250" s="96"/>
      <c r="AH250" s="29"/>
      <c r="AI250" s="38" t="str">
        <f>IF(L250="","",VLOOKUP($L250,classifications!$C:$J,8,FALSE))</f>
        <v/>
      </c>
      <c r="AJ250" s="39" t="str">
        <f t="shared" si="79"/>
        <v/>
      </c>
      <c r="AK250" s="34" t="str">
        <f>IF(AJ250="","",IF(I$8="A",(RANK(AJ250,AJ$11:AJ$368,1)+COUNTIF(AJ$11:AJ250,AJ250)-1),(RANK(AJ250,AJ$11:AJ$368)+COUNTIF(AJ$11:AJ250,AJ250)-1)))</f>
        <v/>
      </c>
      <c r="AL250" s="29" t="str">
        <f t="shared" si="87"/>
        <v/>
      </c>
      <c r="AM250" s="8" t="str">
        <f t="shared" si="80"/>
        <v/>
      </c>
      <c r="AN250" s="8" t="str">
        <f t="shared" si="88"/>
        <v/>
      </c>
      <c r="AP250" s="38" t="str">
        <f>IF(L250="","",VLOOKUP($L250,classifications!$C:$E,3,FALSE))</f>
        <v/>
      </c>
      <c r="AQ250" s="39" t="str">
        <f t="shared" si="89"/>
        <v/>
      </c>
      <c r="AR250" s="34" t="str">
        <f>IF(AQ250="","",IF(I$8="A",(RANK(AQ250,AQ$11:AQ$368,1)+COUNTIF(AQ$11:AQ250,AQ250)-1),(RANK(AQ250,AQ$11:AQ$368)+COUNTIF(AQ$11:AQ250,AQ250)-1)))</f>
        <v/>
      </c>
      <c r="AS250" s="29" t="str">
        <f t="shared" si="90"/>
        <v/>
      </c>
      <c r="AT250" s="34" t="str">
        <f t="shared" si="81"/>
        <v/>
      </c>
      <c r="AU250" s="39" t="str">
        <f t="shared" si="94"/>
        <v/>
      </c>
      <c r="AX250" s="21">
        <f>HLOOKUP($AX$9&amp;$AX$10,Data!$A$1:$ZZ$2000,(MATCH($C250,Data!$A$1:$A$2000,0)),FALSE)</f>
        <v>74.80645961219075</v>
      </c>
      <c r="AY250" s="103"/>
      <c r="AZ250" s="21"/>
    </row>
    <row r="251" spans="1:52">
      <c r="A251" s="56" t="str">
        <f>$D$1&amp;241</f>
        <v>SD241</v>
      </c>
      <c r="B251" s="57">
        <f>IF(ISERROR(VLOOKUP(A251,classifications!A:C,3,FALSE)),0,VLOOKUP(A251,classifications!A:C,3,FALSE))</f>
        <v>0</v>
      </c>
      <c r="C251" s="8" t="s">
        <v>129</v>
      </c>
      <c r="D251" s="26" t="str">
        <f>VLOOKUP($C251,classifications!$C:$J,4,FALSE)</f>
        <v>SD</v>
      </c>
      <c r="E251" s="26">
        <f>VLOOKUP(C251,classifications!C:K,9,FALSE)</f>
        <v>0</v>
      </c>
      <c r="F251" s="36">
        <f t="shared" si="73"/>
        <v>83.458805242596696</v>
      </c>
      <c r="G251" s="71"/>
      <c r="H251" s="37">
        <f t="shared" si="74"/>
        <v>83.458805242596696</v>
      </c>
      <c r="I251" s="77">
        <f>IF(H251="","",IF($I$8="A",(RANK(H251,H$11:H$368,1)+COUNTIF(H$11:H251,H251)-1),(RANK(H251,H$11:H$368)+COUNTIF(H$11:H251,H251)-1)))</f>
        <v>52</v>
      </c>
      <c r="J251" s="35"/>
      <c r="K251" s="28" t="str">
        <f t="shared" si="82"/>
        <v/>
      </c>
      <c r="L251" s="36" t="str">
        <f t="shared" si="75"/>
        <v/>
      </c>
      <c r="M251" s="102" t="str">
        <f t="shared" si="83"/>
        <v/>
      </c>
      <c r="N251" s="101" t="str">
        <f t="shared" si="84"/>
        <v/>
      </c>
      <c r="O251" s="94" t="str">
        <f t="shared" si="76"/>
        <v/>
      </c>
      <c r="P251" s="94" t="str">
        <f t="shared" si="91"/>
        <v/>
      </c>
      <c r="Q251" s="94" t="str">
        <f t="shared" si="92"/>
        <v/>
      </c>
      <c r="R251" s="90" t="str">
        <f t="shared" si="93"/>
        <v/>
      </c>
      <c r="S251" s="37" t="str">
        <f t="shared" si="85"/>
        <v/>
      </c>
      <c r="T251" s="176" t="str">
        <f>IF(L251="","",VLOOKUP(L251,classifications!C:K,9,FALSE))</f>
        <v/>
      </c>
      <c r="U251" s="183" t="str">
        <f t="shared" si="77"/>
        <v/>
      </c>
      <c r="V251" s="184" t="str">
        <f>IF(U251="","",IF($I$8="A",(RANK(U251,U$11:U$368)+COUNTIF(U$11:U251,U251)-1),(RANK(U251,U$11:U$368,1)+COUNTIF(U$11:U251,U251)-1)))</f>
        <v/>
      </c>
      <c r="W251" s="185"/>
      <c r="X251" s="38" t="str">
        <f>IF(L251="","",VLOOKUP($L251,classifications!$C:$J,6,FALSE))</f>
        <v/>
      </c>
      <c r="Y251" s="26" t="str">
        <f t="shared" si="78"/>
        <v/>
      </c>
      <c r="Z251" s="34" t="str">
        <f>IF(Y251="","",IF(I$8="A",(RANK(Y251,Y$11:Y$368,1)+COUNTIF(Y$11:Y251,Y251)-1),(RANK(Y251,Y$11:Y$368)+COUNTIF(Y$11:Y251,Y251)-1)))</f>
        <v/>
      </c>
      <c r="AA251" s="188" t="str">
        <f>IF(L251="","",VLOOKUP($L251,classifications!C:I,7,FALSE))</f>
        <v/>
      </c>
      <c r="AB251" s="184" t="str">
        <f t="shared" si="86"/>
        <v/>
      </c>
      <c r="AC251" s="184" t="str">
        <f>IF(AB251="","",IF($I$8="A",(RANK(AB251,AB$11:AB$368)+COUNTIF(AB$11:AB251,AB251)-1),(RANK(AB251,AB$11:AB$368,1)+COUNTIF(AB$11:AB251,AB251)-1)))</f>
        <v/>
      </c>
      <c r="AD251" s="184"/>
      <c r="AE251" s="28" t="str">
        <f t="shared" si="96"/>
        <v/>
      </c>
      <c r="AG251" s="96"/>
      <c r="AH251" s="29"/>
      <c r="AI251" s="38" t="str">
        <f>IF(L251="","",VLOOKUP($L251,classifications!$C:$J,8,FALSE))</f>
        <v/>
      </c>
      <c r="AJ251" s="39" t="str">
        <f t="shared" si="79"/>
        <v/>
      </c>
      <c r="AK251" s="34" t="str">
        <f>IF(AJ251="","",IF(I$8="A",(RANK(AJ251,AJ$11:AJ$368,1)+COUNTIF(AJ$11:AJ251,AJ251)-1),(RANK(AJ251,AJ$11:AJ$368)+COUNTIF(AJ$11:AJ251,AJ251)-1)))</f>
        <v/>
      </c>
      <c r="AL251" s="29" t="str">
        <f t="shared" si="87"/>
        <v/>
      </c>
      <c r="AM251" s="8" t="str">
        <f t="shared" si="80"/>
        <v/>
      </c>
      <c r="AN251" s="8" t="str">
        <f t="shared" si="88"/>
        <v/>
      </c>
      <c r="AP251" s="38" t="str">
        <f>IF(L251="","",VLOOKUP($L251,classifications!$C:$E,3,FALSE))</f>
        <v/>
      </c>
      <c r="AQ251" s="39" t="str">
        <f t="shared" si="89"/>
        <v/>
      </c>
      <c r="AR251" s="34" t="str">
        <f>IF(AQ251="","",IF(I$8="A",(RANK(AQ251,AQ$11:AQ$368,1)+COUNTIF(AQ$11:AQ251,AQ251)-1),(RANK(AQ251,AQ$11:AQ$368)+COUNTIF(AQ$11:AQ251,AQ251)-1)))</f>
        <v/>
      </c>
      <c r="AS251" s="29" t="str">
        <f t="shared" si="90"/>
        <v/>
      </c>
      <c r="AT251" s="34" t="str">
        <f t="shared" si="81"/>
        <v/>
      </c>
      <c r="AU251" s="39" t="str">
        <f t="shared" si="94"/>
        <v/>
      </c>
      <c r="AX251" s="21">
        <f>HLOOKUP($AX$9&amp;$AX$10,Data!$A$1:$ZZ$2000,(MATCH($C251,Data!$A$1:$A$2000,0)),FALSE)</f>
        <v>83.458805242596696</v>
      </c>
      <c r="AY251" s="103"/>
      <c r="AZ251" s="21"/>
    </row>
    <row r="252" spans="1:52">
      <c r="A252" s="56" t="str">
        <f>$D$1&amp;242</f>
        <v>SD242</v>
      </c>
      <c r="B252" s="57">
        <f>IF(ISERROR(VLOOKUP(A252,classifications!A:C,3,FALSE)),0,VLOOKUP(A252,classifications!A:C,3,FALSE))</f>
        <v>0</v>
      </c>
      <c r="C252" s="8" t="s">
        <v>130</v>
      </c>
      <c r="D252" s="26" t="str">
        <f>VLOOKUP($C252,classifications!$C:$J,4,FALSE)</f>
        <v>SD</v>
      </c>
      <c r="E252" s="26">
        <f>VLOOKUP(C252,classifications!C:K,9,FALSE)</f>
        <v>0</v>
      </c>
      <c r="F252" s="36">
        <f t="shared" si="73"/>
        <v>80.262016971920374</v>
      </c>
      <c r="G252" s="71"/>
      <c r="H252" s="37">
        <f t="shared" si="74"/>
        <v>80.262016971920374</v>
      </c>
      <c r="I252" s="77">
        <f>IF(H252="","",IF($I$8="A",(RANK(H252,H$11:H$368,1)+COUNTIF(H$11:H252,H252)-1),(RANK(H252,H$11:H$368)+COUNTIF(H$11:H252,H252)-1)))</f>
        <v>113</v>
      </c>
      <c r="J252" s="35"/>
      <c r="K252" s="28" t="str">
        <f t="shared" si="82"/>
        <v/>
      </c>
      <c r="L252" s="36" t="str">
        <f t="shared" si="75"/>
        <v/>
      </c>
      <c r="M252" s="102" t="str">
        <f t="shared" si="83"/>
        <v/>
      </c>
      <c r="N252" s="101" t="str">
        <f t="shared" si="84"/>
        <v/>
      </c>
      <c r="O252" s="94" t="str">
        <f t="shared" si="76"/>
        <v/>
      </c>
      <c r="P252" s="94" t="str">
        <f t="shared" si="91"/>
        <v/>
      </c>
      <c r="Q252" s="94" t="str">
        <f t="shared" si="92"/>
        <v/>
      </c>
      <c r="R252" s="90" t="str">
        <f t="shared" si="93"/>
        <v/>
      </c>
      <c r="S252" s="37" t="str">
        <f t="shared" si="85"/>
        <v/>
      </c>
      <c r="T252" s="176" t="str">
        <f>IF(L252="","",VLOOKUP(L252,classifications!C:K,9,FALSE))</f>
        <v/>
      </c>
      <c r="U252" s="183" t="str">
        <f t="shared" si="77"/>
        <v/>
      </c>
      <c r="V252" s="184" t="str">
        <f>IF(U252="","",IF($I$8="A",(RANK(U252,U$11:U$368)+COUNTIF(U$11:U252,U252)-1),(RANK(U252,U$11:U$368,1)+COUNTIF(U$11:U252,U252)-1)))</f>
        <v/>
      </c>
      <c r="W252" s="185"/>
      <c r="X252" s="38" t="str">
        <f>IF(L252="","",VLOOKUP($L252,classifications!$C:$J,6,FALSE))</f>
        <v/>
      </c>
      <c r="Y252" s="26" t="str">
        <f t="shared" si="78"/>
        <v/>
      </c>
      <c r="Z252" s="34" t="str">
        <f>IF(Y252="","",IF(I$8="A",(RANK(Y252,Y$11:Y$368,1)+COUNTIF(Y$11:Y252,Y252)-1),(RANK(Y252,Y$11:Y$368)+COUNTIF(Y$11:Y252,Y252)-1)))</f>
        <v/>
      </c>
      <c r="AA252" s="188" t="str">
        <f>IF(L252="","",VLOOKUP($L252,classifications!C:I,7,FALSE))</f>
        <v/>
      </c>
      <c r="AB252" s="184" t="str">
        <f t="shared" si="86"/>
        <v/>
      </c>
      <c r="AC252" s="184" t="str">
        <f>IF(AB252="","",IF($I$8="A",(RANK(AB252,AB$11:AB$368)+COUNTIF(AB$11:AB252,AB252)-1),(RANK(AB252,AB$11:AB$368,1)+COUNTIF(AB$11:AB252,AB252)-1)))</f>
        <v/>
      </c>
      <c r="AD252" s="184"/>
      <c r="AE252" s="28" t="str">
        <f t="shared" si="96"/>
        <v/>
      </c>
      <c r="AG252" s="96"/>
      <c r="AH252" s="29"/>
      <c r="AI252" s="38" t="str">
        <f>IF(L252="","",VLOOKUP($L252,classifications!$C:$J,8,FALSE))</f>
        <v/>
      </c>
      <c r="AJ252" s="39" t="str">
        <f t="shared" si="79"/>
        <v/>
      </c>
      <c r="AK252" s="34" t="str">
        <f>IF(AJ252="","",IF(I$8="A",(RANK(AJ252,AJ$11:AJ$368,1)+COUNTIF(AJ$11:AJ252,AJ252)-1),(RANK(AJ252,AJ$11:AJ$368)+COUNTIF(AJ$11:AJ252,AJ252)-1)))</f>
        <v/>
      </c>
      <c r="AL252" s="29" t="str">
        <f t="shared" si="87"/>
        <v/>
      </c>
      <c r="AM252" s="8" t="str">
        <f t="shared" si="80"/>
        <v/>
      </c>
      <c r="AN252" s="8" t="str">
        <f t="shared" si="88"/>
        <v/>
      </c>
      <c r="AP252" s="38" t="str">
        <f>IF(L252="","",VLOOKUP($L252,classifications!$C:$E,3,FALSE))</f>
        <v/>
      </c>
      <c r="AQ252" s="39" t="str">
        <f t="shared" si="89"/>
        <v/>
      </c>
      <c r="AR252" s="34" t="str">
        <f>IF(AQ252="","",IF(I$8="A",(RANK(AQ252,AQ$11:AQ$368,1)+COUNTIF(AQ$11:AQ252,AQ252)-1),(RANK(AQ252,AQ$11:AQ$368)+COUNTIF(AQ$11:AQ252,AQ252)-1)))</f>
        <v/>
      </c>
      <c r="AS252" s="29" t="str">
        <f t="shared" si="90"/>
        <v/>
      </c>
      <c r="AT252" s="34" t="str">
        <f t="shared" si="81"/>
        <v/>
      </c>
      <c r="AU252" s="39" t="str">
        <f t="shared" si="94"/>
        <v/>
      </c>
      <c r="AX252" s="21">
        <f>HLOOKUP($AX$9&amp;$AX$10,Data!$A$1:$ZZ$2000,(MATCH($C252,Data!$A$1:$A$2000,0)),FALSE)</f>
        <v>80.262016971920374</v>
      </c>
      <c r="AY252" s="103"/>
      <c r="AZ252" s="21"/>
    </row>
    <row r="253" spans="1:52">
      <c r="A253" s="56" t="str">
        <f>$D$1&amp;243</f>
        <v>SD243</v>
      </c>
      <c r="B253" s="57">
        <f>IF(ISERROR(VLOOKUP(A253,classifications!A:C,3,FALSE)),0,VLOOKUP(A253,classifications!A:C,3,FALSE))</f>
        <v>0</v>
      </c>
      <c r="C253" s="8" t="s">
        <v>131</v>
      </c>
      <c r="D253" s="26" t="str">
        <f>VLOOKUP($C253,classifications!$C:$J,4,FALSE)</f>
        <v>SD</v>
      </c>
      <c r="E253" s="26">
        <f>VLOOKUP(C253,classifications!C:K,9,FALSE)</f>
        <v>0</v>
      </c>
      <c r="F253" s="36">
        <f t="shared" si="73"/>
        <v>77.489347327528819</v>
      </c>
      <c r="G253" s="71"/>
      <c r="H253" s="37">
        <f t="shared" si="74"/>
        <v>77.489347327528819</v>
      </c>
      <c r="I253" s="77">
        <f>IF(H253="","",IF($I$8="A",(RANK(H253,H$11:H$368,1)+COUNTIF(H$11:H253,H253)-1),(RANK(H253,H$11:H$368)+COUNTIF(H$11:H253,H253)-1)))</f>
        <v>158</v>
      </c>
      <c r="J253" s="35"/>
      <c r="K253" s="28" t="str">
        <f t="shared" si="82"/>
        <v/>
      </c>
      <c r="L253" s="36" t="str">
        <f t="shared" si="75"/>
        <v/>
      </c>
      <c r="M253" s="102" t="str">
        <f t="shared" si="83"/>
        <v/>
      </c>
      <c r="N253" s="101" t="str">
        <f t="shared" si="84"/>
        <v/>
      </c>
      <c r="O253" s="94" t="str">
        <f t="shared" si="76"/>
        <v/>
      </c>
      <c r="P253" s="94" t="str">
        <f t="shared" si="91"/>
        <v/>
      </c>
      <c r="Q253" s="94" t="str">
        <f t="shared" si="92"/>
        <v/>
      </c>
      <c r="R253" s="90" t="str">
        <f t="shared" si="93"/>
        <v/>
      </c>
      <c r="S253" s="37" t="str">
        <f t="shared" si="85"/>
        <v/>
      </c>
      <c r="T253" s="176" t="str">
        <f>IF(L253="","",VLOOKUP(L253,classifications!C:K,9,FALSE))</f>
        <v/>
      </c>
      <c r="U253" s="183" t="str">
        <f t="shared" si="77"/>
        <v/>
      </c>
      <c r="V253" s="184" t="str">
        <f>IF(U253="","",IF($I$8="A",(RANK(U253,U$11:U$368)+COUNTIF(U$11:U253,U253)-1),(RANK(U253,U$11:U$368,1)+COUNTIF(U$11:U253,U253)-1)))</f>
        <v/>
      </c>
      <c r="W253" s="185"/>
      <c r="X253" s="38" t="str">
        <f>IF(L253="","",VLOOKUP($L253,classifications!$C:$J,6,FALSE))</f>
        <v/>
      </c>
      <c r="Y253" s="26" t="str">
        <f t="shared" si="78"/>
        <v/>
      </c>
      <c r="Z253" s="34" t="str">
        <f>IF(Y253="","",IF(I$8="A",(RANK(Y253,Y$11:Y$368,1)+COUNTIF(Y$11:Y253,Y253)-1),(RANK(Y253,Y$11:Y$368)+COUNTIF(Y$11:Y253,Y253)-1)))</f>
        <v/>
      </c>
      <c r="AA253" s="188" t="str">
        <f>IF(L253="","",VLOOKUP($L253,classifications!C:I,7,FALSE))</f>
        <v/>
      </c>
      <c r="AB253" s="184" t="str">
        <f t="shared" si="86"/>
        <v/>
      </c>
      <c r="AC253" s="184" t="str">
        <f>IF(AB253="","",IF($I$8="A",(RANK(AB253,AB$11:AB$368)+COUNTIF(AB$11:AB253,AB253)-1),(RANK(AB253,AB$11:AB$368,1)+COUNTIF(AB$11:AB253,AB253)-1)))</f>
        <v/>
      </c>
      <c r="AD253" s="184"/>
      <c r="AE253" s="28" t="str">
        <f t="shared" si="96"/>
        <v/>
      </c>
      <c r="AG253" s="96"/>
      <c r="AH253" s="29"/>
      <c r="AI253" s="38" t="str">
        <f>IF(L253="","",VLOOKUP($L253,classifications!$C:$J,8,FALSE))</f>
        <v/>
      </c>
      <c r="AJ253" s="39" t="str">
        <f t="shared" si="79"/>
        <v/>
      </c>
      <c r="AK253" s="34" t="str">
        <f>IF(AJ253="","",IF(I$8="A",(RANK(AJ253,AJ$11:AJ$368,1)+COUNTIF(AJ$11:AJ253,AJ253)-1),(RANK(AJ253,AJ$11:AJ$368)+COUNTIF(AJ$11:AJ253,AJ253)-1)))</f>
        <v/>
      </c>
      <c r="AL253" s="29" t="str">
        <f t="shared" si="87"/>
        <v/>
      </c>
      <c r="AM253" s="8" t="str">
        <f t="shared" si="80"/>
        <v/>
      </c>
      <c r="AN253" s="8" t="str">
        <f t="shared" si="88"/>
        <v/>
      </c>
      <c r="AP253" s="38" t="str">
        <f>IF(L253="","",VLOOKUP($L253,classifications!$C:$E,3,FALSE))</f>
        <v/>
      </c>
      <c r="AQ253" s="39" t="str">
        <f t="shared" si="89"/>
        <v/>
      </c>
      <c r="AR253" s="34" t="str">
        <f>IF(AQ253="","",IF(I$8="A",(RANK(AQ253,AQ$11:AQ$368,1)+COUNTIF(AQ$11:AQ253,AQ253)-1),(RANK(AQ253,AQ$11:AQ$368)+COUNTIF(AQ$11:AQ253,AQ253)-1)))</f>
        <v/>
      </c>
      <c r="AS253" s="29" t="str">
        <f t="shared" si="90"/>
        <v/>
      </c>
      <c r="AT253" s="34" t="str">
        <f t="shared" si="81"/>
        <v/>
      </c>
      <c r="AU253" s="39" t="str">
        <f t="shared" si="94"/>
        <v/>
      </c>
      <c r="AX253" s="21">
        <f>HLOOKUP($AX$9&amp;$AX$10,Data!$A$1:$ZZ$2000,(MATCH($C253,Data!$A$1:$A$2000,0)),FALSE)</f>
        <v>77.489347327528819</v>
      </c>
      <c r="AY253" s="103"/>
      <c r="AZ253" s="21"/>
    </row>
    <row r="254" spans="1:52">
      <c r="A254" s="56" t="str">
        <f>$D$1&amp;244</f>
        <v>SD244</v>
      </c>
      <c r="B254" s="57">
        <f>IF(ISERROR(VLOOKUP(A254,classifications!A:C,3,FALSE)),0,VLOOKUP(A254,classifications!A:C,3,FALSE))</f>
        <v>0</v>
      </c>
      <c r="C254" s="8" t="s">
        <v>285</v>
      </c>
      <c r="D254" s="26" t="str">
        <f>VLOOKUP($C254,classifications!$C:$J,4,FALSE)</f>
        <v>UA</v>
      </c>
      <c r="E254" s="26" t="str">
        <f>VLOOKUP(C254,classifications!C:K,9,FALSE)</f>
        <v>Sparse</v>
      </c>
      <c r="F254" s="36">
        <f t="shared" si="73"/>
        <v>80.324163713402697</v>
      </c>
      <c r="G254" s="71"/>
      <c r="H254" s="37" t="str">
        <f t="shared" si="74"/>
        <v/>
      </c>
      <c r="I254" s="77" t="str">
        <f>IF(H254="","",IF($I$8="A",(RANK(H254,H$11:H$368,1)+COUNTIF(H$11:H254,H254)-1),(RANK(H254,H$11:H$368)+COUNTIF(H$11:H254,H254)-1)))</f>
        <v/>
      </c>
      <c r="J254" s="35"/>
      <c r="K254" s="28" t="str">
        <f t="shared" si="82"/>
        <v/>
      </c>
      <c r="L254" s="36" t="str">
        <f t="shared" si="75"/>
        <v/>
      </c>
      <c r="M254" s="102" t="str">
        <f t="shared" si="83"/>
        <v/>
      </c>
      <c r="N254" s="101" t="str">
        <f t="shared" si="84"/>
        <v/>
      </c>
      <c r="O254" s="94" t="str">
        <f t="shared" si="76"/>
        <v/>
      </c>
      <c r="P254" s="94" t="str">
        <f t="shared" si="91"/>
        <v/>
      </c>
      <c r="Q254" s="94" t="str">
        <f t="shared" si="92"/>
        <v/>
      </c>
      <c r="R254" s="90" t="str">
        <f t="shared" si="93"/>
        <v/>
      </c>
      <c r="S254" s="37" t="str">
        <f t="shared" si="85"/>
        <v/>
      </c>
      <c r="T254" s="176" t="str">
        <f>IF(L254="","",VLOOKUP(L254,classifications!C:K,9,FALSE))</f>
        <v/>
      </c>
      <c r="U254" s="183" t="str">
        <f t="shared" si="77"/>
        <v/>
      </c>
      <c r="V254" s="184" t="str">
        <f>IF(U254="","",IF($I$8="A",(RANK(U254,U$11:U$368)+COUNTIF(U$11:U254,U254)-1),(RANK(U254,U$11:U$368,1)+COUNTIF(U$11:U254,U254)-1)))</f>
        <v/>
      </c>
      <c r="W254" s="185"/>
      <c r="X254" s="38" t="str">
        <f>IF(L254="","",VLOOKUP($L254,classifications!$C:$J,6,FALSE))</f>
        <v/>
      </c>
      <c r="Y254" s="26" t="str">
        <f t="shared" si="78"/>
        <v/>
      </c>
      <c r="Z254" s="34" t="str">
        <f>IF(Y254="","",IF(I$8="A",(RANK(Y254,Y$11:Y$368,1)+COUNTIF(Y$11:Y254,Y254)-1),(RANK(Y254,Y$11:Y$368)+COUNTIF(Y$11:Y254,Y254)-1)))</f>
        <v/>
      </c>
      <c r="AA254" s="188" t="str">
        <f>IF(L254="","",VLOOKUP($L254,classifications!C:I,7,FALSE))</f>
        <v/>
      </c>
      <c r="AB254" s="184" t="str">
        <f t="shared" si="86"/>
        <v/>
      </c>
      <c r="AC254" s="184" t="str">
        <f>IF(AB254="","",IF($I$8="A",(RANK(AB254,AB$11:AB$368)+COUNTIF(AB$11:AB254,AB254)-1),(RANK(AB254,AB$11:AB$368,1)+COUNTIF(AB$11:AB254,AB254)-1)))</f>
        <v/>
      </c>
      <c r="AD254" s="184"/>
      <c r="AE254" s="28" t="str">
        <f t="shared" si="96"/>
        <v/>
      </c>
      <c r="AG254" s="96"/>
      <c r="AH254" s="29"/>
      <c r="AI254" s="38" t="str">
        <f>IF(L254="","",VLOOKUP($L254,classifications!$C:$J,8,FALSE))</f>
        <v/>
      </c>
      <c r="AJ254" s="39" t="str">
        <f t="shared" si="79"/>
        <v/>
      </c>
      <c r="AK254" s="34" t="str">
        <f>IF(AJ254="","",IF(I$8="A",(RANK(AJ254,AJ$11:AJ$368,1)+COUNTIF(AJ$11:AJ254,AJ254)-1),(RANK(AJ254,AJ$11:AJ$368)+COUNTIF(AJ$11:AJ254,AJ254)-1)))</f>
        <v/>
      </c>
      <c r="AL254" s="29" t="str">
        <f t="shared" si="87"/>
        <v/>
      </c>
      <c r="AM254" s="8" t="str">
        <f t="shared" si="80"/>
        <v/>
      </c>
      <c r="AN254" s="8" t="str">
        <f t="shared" si="88"/>
        <v/>
      </c>
      <c r="AP254" s="38" t="str">
        <f>IF(L254="","",VLOOKUP($L254,classifications!$C:$E,3,FALSE))</f>
        <v/>
      </c>
      <c r="AQ254" s="39" t="str">
        <f t="shared" si="89"/>
        <v/>
      </c>
      <c r="AR254" s="34" t="str">
        <f>IF(AQ254="","",IF(I$8="A",(RANK(AQ254,AQ$11:AQ$368,1)+COUNTIF(AQ$11:AQ254,AQ254)-1),(RANK(AQ254,AQ$11:AQ$368)+COUNTIF(AQ$11:AQ254,AQ254)-1)))</f>
        <v/>
      </c>
      <c r="AS254" s="29" t="str">
        <f t="shared" si="90"/>
        <v/>
      </c>
      <c r="AT254" s="34" t="str">
        <f t="shared" si="81"/>
        <v/>
      </c>
      <c r="AU254" s="39" t="str">
        <f t="shared" si="94"/>
        <v/>
      </c>
      <c r="AX254" s="21">
        <f>HLOOKUP($AX$9&amp;$AX$10,Data!$A$1:$ZZ$2000,(MATCH($C254,Data!$A$1:$A$2000,0)),FALSE)</f>
        <v>80.324163713402697</v>
      </c>
      <c r="AY254" s="103"/>
      <c r="AZ254" s="21"/>
    </row>
    <row r="255" spans="1:52">
      <c r="A255" s="56" t="str">
        <f>$D$1&amp;245</f>
        <v>SD245</v>
      </c>
      <c r="B255" s="57">
        <f>IF(ISERROR(VLOOKUP(A255,classifications!A:C,3,FALSE)),0,VLOOKUP(A255,classifications!A:C,3,FALSE))</f>
        <v>0</v>
      </c>
      <c r="C255" s="8" t="s">
        <v>132</v>
      </c>
      <c r="D255" s="26" t="str">
        <f>VLOOKUP($C255,classifications!$C:$J,4,FALSE)</f>
        <v>SD</v>
      </c>
      <c r="E255" s="26" t="str">
        <f>VLOOKUP(C255,classifications!C:K,9,FALSE)</f>
        <v>Sparse</v>
      </c>
      <c r="F255" s="36">
        <f t="shared" si="73"/>
        <v>80.304261084662869</v>
      </c>
      <c r="G255" s="71"/>
      <c r="H255" s="37">
        <f t="shared" si="74"/>
        <v>80.304261084662869</v>
      </c>
      <c r="I255" s="77">
        <f>IF(H255="","",IF($I$8="A",(RANK(H255,H$11:H$368,1)+COUNTIF(H$11:H255,H255)-1),(RANK(H255,H$11:H$368)+COUNTIF(H$11:H255,H255)-1)))</f>
        <v>112</v>
      </c>
      <c r="J255" s="35"/>
      <c r="K255" s="28" t="str">
        <f t="shared" si="82"/>
        <v/>
      </c>
      <c r="L255" s="36" t="str">
        <f t="shared" si="75"/>
        <v/>
      </c>
      <c r="M255" s="102" t="str">
        <f t="shared" si="83"/>
        <v/>
      </c>
      <c r="N255" s="101" t="str">
        <f t="shared" si="84"/>
        <v/>
      </c>
      <c r="O255" s="94" t="str">
        <f t="shared" si="76"/>
        <v/>
      </c>
      <c r="P255" s="94" t="str">
        <f t="shared" si="91"/>
        <v/>
      </c>
      <c r="Q255" s="94" t="str">
        <f t="shared" si="92"/>
        <v/>
      </c>
      <c r="R255" s="90" t="str">
        <f t="shared" si="93"/>
        <v/>
      </c>
      <c r="S255" s="37" t="str">
        <f t="shared" si="85"/>
        <v/>
      </c>
      <c r="T255" s="176" t="str">
        <f>IF(L255="","",VLOOKUP(L255,classifications!C:K,9,FALSE))</f>
        <v/>
      </c>
      <c r="U255" s="183" t="str">
        <f t="shared" si="77"/>
        <v/>
      </c>
      <c r="V255" s="184" t="str">
        <f>IF(U255="","",IF($I$8="A",(RANK(U255,U$11:U$368)+COUNTIF(U$11:U255,U255)-1),(RANK(U255,U$11:U$368,1)+COUNTIF(U$11:U255,U255)-1)))</f>
        <v/>
      </c>
      <c r="W255" s="185"/>
      <c r="X255" s="38" t="str">
        <f>IF(L255="","",VLOOKUP($L255,classifications!$C:$J,6,FALSE))</f>
        <v/>
      </c>
      <c r="Y255" s="26" t="str">
        <f t="shared" si="78"/>
        <v/>
      </c>
      <c r="Z255" s="34" t="str">
        <f>IF(Y255="","",IF(I$8="A",(RANK(Y255,Y$11:Y$368,1)+COUNTIF(Y$11:Y255,Y255)-1),(RANK(Y255,Y$11:Y$368)+COUNTIF(Y$11:Y255,Y255)-1)))</f>
        <v/>
      </c>
      <c r="AA255" s="188" t="str">
        <f>IF(L255="","",VLOOKUP($L255,classifications!C:I,7,FALSE))</f>
        <v/>
      </c>
      <c r="AB255" s="184" t="str">
        <f t="shared" si="86"/>
        <v/>
      </c>
      <c r="AC255" s="184" t="str">
        <f>IF(AB255="","",IF($I$8="A",(RANK(AB255,AB$11:AB$368)+COUNTIF(AB$11:AB255,AB255)-1),(RANK(AB255,AB$11:AB$368,1)+COUNTIF(AB$11:AB255,AB255)-1)))</f>
        <v/>
      </c>
      <c r="AD255" s="184"/>
      <c r="AE255" s="28" t="str">
        <f t="shared" si="96"/>
        <v/>
      </c>
      <c r="AG255" s="96"/>
      <c r="AH255" s="29"/>
      <c r="AI255" s="38" t="str">
        <f>IF(L255="","",VLOOKUP($L255,classifications!$C:$J,8,FALSE))</f>
        <v/>
      </c>
      <c r="AJ255" s="39" t="str">
        <f t="shared" si="79"/>
        <v/>
      </c>
      <c r="AK255" s="34" t="str">
        <f>IF(AJ255="","",IF(I$8="A",(RANK(AJ255,AJ$11:AJ$368,1)+COUNTIF(AJ$11:AJ255,AJ255)-1),(RANK(AJ255,AJ$11:AJ$368)+COUNTIF(AJ$11:AJ255,AJ255)-1)))</f>
        <v/>
      </c>
      <c r="AL255" s="29" t="str">
        <f t="shared" si="87"/>
        <v/>
      </c>
      <c r="AM255" s="8" t="str">
        <f t="shared" si="80"/>
        <v/>
      </c>
      <c r="AN255" s="8" t="str">
        <f t="shared" si="88"/>
        <v/>
      </c>
      <c r="AP255" s="38" t="str">
        <f>IF(L255="","",VLOOKUP($L255,classifications!$C:$E,3,FALSE))</f>
        <v/>
      </c>
      <c r="AQ255" s="39" t="str">
        <f t="shared" si="89"/>
        <v/>
      </c>
      <c r="AR255" s="34" t="str">
        <f>IF(AQ255="","",IF(I$8="A",(RANK(AQ255,AQ$11:AQ$368,1)+COUNTIF(AQ$11:AQ255,AQ255)-1),(RANK(AQ255,AQ$11:AQ$368)+COUNTIF(AQ$11:AQ255,AQ255)-1)))</f>
        <v/>
      </c>
      <c r="AS255" s="29" t="str">
        <f t="shared" si="90"/>
        <v/>
      </c>
      <c r="AT255" s="34" t="str">
        <f t="shared" si="81"/>
        <v/>
      </c>
      <c r="AU255" s="39" t="str">
        <f t="shared" si="94"/>
        <v/>
      </c>
      <c r="AX255" s="21">
        <f>HLOOKUP($AX$9&amp;$AX$10,Data!$A$1:$ZZ$2000,(MATCH($C255,Data!$A$1:$A$2000,0)),FALSE)</f>
        <v>80.304261084662869</v>
      </c>
      <c r="AY255" s="103"/>
      <c r="AZ255" s="21"/>
    </row>
    <row r="256" spans="1:52">
      <c r="A256" s="56" t="str">
        <f>$D$1&amp;246</f>
        <v>SD246</v>
      </c>
      <c r="B256" s="57">
        <f>IF(ISERROR(VLOOKUP(A256,classifications!A:C,3,FALSE)),0,VLOOKUP(A256,classifications!A:C,3,FALSE))</f>
        <v>0</v>
      </c>
      <c r="C256" s="8" t="s">
        <v>242</v>
      </c>
      <c r="D256" s="26" t="str">
        <f>VLOOKUP($C256,classifications!$C:$J,4,FALSE)</f>
        <v>MD</v>
      </c>
      <c r="E256" s="26">
        <f>VLOOKUP(C256,classifications!C:K,9,FALSE)</f>
        <v>0</v>
      </c>
      <c r="F256" s="36">
        <f t="shared" si="73"/>
        <v>80.910945755744265</v>
      </c>
      <c r="G256" s="71"/>
      <c r="H256" s="37" t="str">
        <f t="shared" si="74"/>
        <v/>
      </c>
      <c r="I256" s="77" t="str">
        <f>IF(H256="","",IF($I$8="A",(RANK(H256,H$11:H$368,1)+COUNTIF(H$11:H256,H256)-1),(RANK(H256,H$11:H$368)+COUNTIF(H$11:H256,H256)-1)))</f>
        <v/>
      </c>
      <c r="J256" s="35"/>
      <c r="K256" s="28" t="str">
        <f t="shared" si="82"/>
        <v/>
      </c>
      <c r="L256" s="36" t="str">
        <f t="shared" si="75"/>
        <v/>
      </c>
      <c r="M256" s="102" t="str">
        <f t="shared" si="83"/>
        <v/>
      </c>
      <c r="N256" s="101" t="str">
        <f t="shared" si="84"/>
        <v/>
      </c>
      <c r="O256" s="94" t="str">
        <f t="shared" si="76"/>
        <v/>
      </c>
      <c r="P256" s="94" t="str">
        <f t="shared" si="91"/>
        <v/>
      </c>
      <c r="Q256" s="94" t="str">
        <f t="shared" si="92"/>
        <v/>
      </c>
      <c r="R256" s="90" t="str">
        <f t="shared" si="93"/>
        <v/>
      </c>
      <c r="S256" s="37" t="str">
        <f t="shared" si="85"/>
        <v/>
      </c>
      <c r="T256" s="176" t="str">
        <f>IF(L256="","",VLOOKUP(L256,classifications!C:K,9,FALSE))</f>
        <v/>
      </c>
      <c r="U256" s="183" t="str">
        <f t="shared" si="77"/>
        <v/>
      </c>
      <c r="V256" s="184" t="str">
        <f>IF(U256="","",IF($I$8="A",(RANK(U256,U$11:U$368)+COUNTIF(U$11:U256,U256)-1),(RANK(U256,U$11:U$368,1)+COUNTIF(U$11:U256,U256)-1)))</f>
        <v/>
      </c>
      <c r="W256" s="185"/>
      <c r="X256" s="38" t="str">
        <f>IF(L256="","",VLOOKUP($L256,classifications!$C:$J,6,FALSE))</f>
        <v/>
      </c>
      <c r="Y256" s="26" t="str">
        <f t="shared" si="78"/>
        <v/>
      </c>
      <c r="Z256" s="34" t="str">
        <f>IF(Y256="","",IF(I$8="A",(RANK(Y256,Y$11:Y$368,1)+COUNTIF(Y$11:Y256,Y256)-1),(RANK(Y256,Y$11:Y$368)+COUNTIF(Y$11:Y256,Y256)-1)))</f>
        <v/>
      </c>
      <c r="AA256" s="188" t="str">
        <f>IF(L256="","",VLOOKUP($L256,classifications!C:I,7,FALSE))</f>
        <v/>
      </c>
      <c r="AB256" s="184" t="str">
        <f t="shared" si="86"/>
        <v/>
      </c>
      <c r="AC256" s="184" t="str">
        <f>IF(AB256="","",IF($I$8="A",(RANK(AB256,AB$11:AB$368)+COUNTIF(AB$11:AB256,AB256)-1),(RANK(AB256,AB$11:AB$368,1)+COUNTIF(AB$11:AB256,AB256)-1)))</f>
        <v/>
      </c>
      <c r="AD256" s="184"/>
      <c r="AE256" s="28" t="str">
        <f t="shared" si="96"/>
        <v/>
      </c>
      <c r="AG256" s="96"/>
      <c r="AH256" s="29"/>
      <c r="AI256" s="38" t="str">
        <f>IF(L256="","",VLOOKUP($L256,classifications!$C:$J,8,FALSE))</f>
        <v/>
      </c>
      <c r="AJ256" s="39" t="str">
        <f t="shared" si="79"/>
        <v/>
      </c>
      <c r="AK256" s="34" t="str">
        <f>IF(AJ256="","",IF(I$8="A",(RANK(AJ256,AJ$11:AJ$368,1)+COUNTIF(AJ$11:AJ256,AJ256)-1),(RANK(AJ256,AJ$11:AJ$368)+COUNTIF(AJ$11:AJ256,AJ256)-1)))</f>
        <v/>
      </c>
      <c r="AL256" s="29" t="str">
        <f t="shared" si="87"/>
        <v/>
      </c>
      <c r="AM256" s="8" t="str">
        <f t="shared" si="80"/>
        <v/>
      </c>
      <c r="AN256" s="8" t="str">
        <f t="shared" si="88"/>
        <v/>
      </c>
      <c r="AP256" s="38" t="str">
        <f>IF(L256="","",VLOOKUP($L256,classifications!$C:$E,3,FALSE))</f>
        <v/>
      </c>
      <c r="AQ256" s="39" t="str">
        <f t="shared" si="89"/>
        <v/>
      </c>
      <c r="AR256" s="34" t="str">
        <f>IF(AQ256="","",IF(I$8="A",(RANK(AQ256,AQ$11:AQ$368,1)+COUNTIF(AQ$11:AQ256,AQ256)-1),(RANK(AQ256,AQ$11:AQ$368)+COUNTIF(AQ$11:AQ256,AQ256)-1)))</f>
        <v/>
      </c>
      <c r="AS256" s="29" t="str">
        <f t="shared" si="90"/>
        <v/>
      </c>
      <c r="AT256" s="34" t="str">
        <f t="shared" si="81"/>
        <v/>
      </c>
      <c r="AU256" s="39" t="str">
        <f t="shared" si="94"/>
        <v/>
      </c>
      <c r="AX256" s="21">
        <f>HLOOKUP($AX$9&amp;$AX$10,Data!$A$1:$ZZ$2000,(MATCH($C256,Data!$A$1:$A$2000,0)),FALSE)</f>
        <v>80.910945755744265</v>
      </c>
      <c r="AY256" s="103"/>
      <c r="AZ256" s="21"/>
    </row>
    <row r="257" spans="1:52">
      <c r="A257" s="56" t="str">
        <f>$D$1&amp;247</f>
        <v>SD247</v>
      </c>
      <c r="B257" s="57">
        <f>IF(ISERROR(VLOOKUP(A257,classifications!A:C,3,FALSE)),0,VLOOKUP(A257,classifications!A:C,3,FALSE))</f>
        <v>0</v>
      </c>
      <c r="C257" s="8" t="s">
        <v>243</v>
      </c>
      <c r="D257" s="26" t="str">
        <f>VLOOKUP($C257,classifications!$C:$J,4,FALSE)</f>
        <v>MD</v>
      </c>
      <c r="E257" s="26">
        <f>VLOOKUP(C257,classifications!C:K,9,FALSE)</f>
        <v>0</v>
      </c>
      <c r="F257" s="36">
        <f t="shared" si="73"/>
        <v>65.737773138744444</v>
      </c>
      <c r="G257" s="71"/>
      <c r="H257" s="37" t="str">
        <f t="shared" si="74"/>
        <v/>
      </c>
      <c r="I257" s="77" t="str">
        <f>IF(H257="","",IF($I$8="A",(RANK(H257,H$11:H$368,1)+COUNTIF(H$11:H257,H257)-1),(RANK(H257,H$11:H$368)+COUNTIF(H$11:H257,H257)-1)))</f>
        <v/>
      </c>
      <c r="J257" s="35"/>
      <c r="K257" s="28" t="str">
        <f t="shared" si="82"/>
        <v/>
      </c>
      <c r="L257" s="36" t="str">
        <f t="shared" si="75"/>
        <v/>
      </c>
      <c r="M257" s="102" t="str">
        <f t="shared" si="83"/>
        <v/>
      </c>
      <c r="N257" s="101" t="str">
        <f t="shared" si="84"/>
        <v/>
      </c>
      <c r="O257" s="94" t="str">
        <f t="shared" si="76"/>
        <v/>
      </c>
      <c r="P257" s="94" t="str">
        <f t="shared" si="91"/>
        <v/>
      </c>
      <c r="Q257" s="94" t="str">
        <f t="shared" si="92"/>
        <v/>
      </c>
      <c r="R257" s="90" t="str">
        <f t="shared" si="93"/>
        <v/>
      </c>
      <c r="S257" s="37" t="str">
        <f t="shared" si="85"/>
        <v/>
      </c>
      <c r="T257" s="176" t="str">
        <f>IF(L257="","",VLOOKUP(L257,classifications!C:K,9,FALSE))</f>
        <v/>
      </c>
      <c r="U257" s="183" t="str">
        <f t="shared" si="77"/>
        <v/>
      </c>
      <c r="V257" s="184" t="str">
        <f>IF(U257="","",IF($I$8="A",(RANK(U257,U$11:U$368)+COUNTIF(U$11:U257,U257)-1),(RANK(U257,U$11:U$368,1)+COUNTIF(U$11:U257,U257)-1)))</f>
        <v/>
      </c>
      <c r="W257" s="185"/>
      <c r="X257" s="38" t="str">
        <f>IF(L257="","",VLOOKUP($L257,classifications!$C:$J,6,FALSE))</f>
        <v/>
      </c>
      <c r="Y257" s="26" t="str">
        <f t="shared" si="78"/>
        <v/>
      </c>
      <c r="Z257" s="34" t="str">
        <f>IF(Y257="","",IF(I$8="A",(RANK(Y257,Y$11:Y$368,1)+COUNTIF(Y$11:Y257,Y257)-1),(RANK(Y257,Y$11:Y$368)+COUNTIF(Y$11:Y257,Y257)-1)))</f>
        <v/>
      </c>
      <c r="AA257" s="188" t="str">
        <f>IF(L257="","",VLOOKUP($L257,classifications!C:I,7,FALSE))</f>
        <v/>
      </c>
      <c r="AB257" s="184" t="str">
        <f t="shared" si="86"/>
        <v/>
      </c>
      <c r="AC257" s="184" t="str">
        <f>IF(AB257="","",IF($I$8="A",(RANK(AB257,AB$11:AB$368)+COUNTIF(AB$11:AB257,AB257)-1),(RANK(AB257,AB$11:AB$368,1)+COUNTIF(AB$11:AB257,AB257)-1)))</f>
        <v/>
      </c>
      <c r="AD257" s="184"/>
      <c r="AE257" s="28" t="str">
        <f t="shared" si="96"/>
        <v/>
      </c>
      <c r="AG257" s="96"/>
      <c r="AH257" s="29"/>
      <c r="AI257" s="38" t="str">
        <f>IF(L257="","",VLOOKUP($L257,classifications!$C:$J,8,FALSE))</f>
        <v/>
      </c>
      <c r="AJ257" s="39" t="str">
        <f t="shared" si="79"/>
        <v/>
      </c>
      <c r="AK257" s="34" t="str">
        <f>IF(AJ257="","",IF(I$8="A",(RANK(AJ257,AJ$11:AJ$368,1)+COUNTIF(AJ$11:AJ257,AJ257)-1),(RANK(AJ257,AJ$11:AJ$368)+COUNTIF(AJ$11:AJ257,AJ257)-1)))</f>
        <v/>
      </c>
      <c r="AL257" s="29" t="str">
        <f t="shared" si="87"/>
        <v/>
      </c>
      <c r="AM257" s="8" t="str">
        <f t="shared" si="80"/>
        <v/>
      </c>
      <c r="AN257" s="8" t="str">
        <f t="shared" si="88"/>
        <v/>
      </c>
      <c r="AP257" s="38" t="str">
        <f>IF(L257="","",VLOOKUP($L257,classifications!$C:$E,3,FALSE))</f>
        <v/>
      </c>
      <c r="AQ257" s="39" t="str">
        <f t="shared" si="89"/>
        <v/>
      </c>
      <c r="AR257" s="34" t="str">
        <f>IF(AQ257="","",IF(I$8="A",(RANK(AQ257,AQ$11:AQ$368,1)+COUNTIF(AQ$11:AQ257,AQ257)-1),(RANK(AQ257,AQ$11:AQ$368)+COUNTIF(AQ$11:AQ257,AQ257)-1)))</f>
        <v/>
      </c>
      <c r="AS257" s="29" t="str">
        <f t="shared" si="90"/>
        <v/>
      </c>
      <c r="AT257" s="34" t="str">
        <f t="shared" si="81"/>
        <v/>
      </c>
      <c r="AU257" s="39" t="str">
        <f t="shared" si="94"/>
        <v/>
      </c>
      <c r="AX257" s="21">
        <f>HLOOKUP($AX$9&amp;$AX$10,Data!$A$1:$ZZ$2000,(MATCH($C257,Data!$A$1:$A$2000,0)),FALSE)</f>
        <v>65.737773138744444</v>
      </c>
      <c r="AY257" s="103"/>
      <c r="AZ257" s="21"/>
    </row>
    <row r="258" spans="1:52">
      <c r="A258" s="56" t="str">
        <f>$D$1&amp;248</f>
        <v>SD248</v>
      </c>
      <c r="B258" s="57">
        <f>IF(ISERROR(VLOOKUP(A258,classifications!A:C,3,FALSE)),0,VLOOKUP(A258,classifications!A:C,3,FALSE))</f>
        <v>0</v>
      </c>
      <c r="C258" s="8" t="s">
        <v>133</v>
      </c>
      <c r="D258" s="26" t="str">
        <f>VLOOKUP($C258,classifications!$C:$J,4,FALSE)</f>
        <v>SD</v>
      </c>
      <c r="E258" s="26" t="str">
        <f>VLOOKUP(C258,classifications!C:K,9,FALSE)</f>
        <v>Sparse</v>
      </c>
      <c r="F258" s="36">
        <f t="shared" si="73"/>
        <v>81.292981100585621</v>
      </c>
      <c r="G258" s="71"/>
      <c r="H258" s="37">
        <f t="shared" si="74"/>
        <v>81.292981100585621</v>
      </c>
      <c r="I258" s="77">
        <f>IF(H258="","",IF($I$8="A",(RANK(H258,H$11:H$368,1)+COUNTIF(H$11:H258,H258)-1),(RANK(H258,H$11:H$368)+COUNTIF(H$11:H258,H258)-1)))</f>
        <v>90</v>
      </c>
      <c r="J258" s="35"/>
      <c r="K258" s="28" t="str">
        <f t="shared" si="82"/>
        <v/>
      </c>
      <c r="L258" s="36" t="str">
        <f t="shared" si="75"/>
        <v/>
      </c>
      <c r="M258" s="102" t="str">
        <f t="shared" si="83"/>
        <v/>
      </c>
      <c r="N258" s="101" t="str">
        <f t="shared" si="84"/>
        <v/>
      </c>
      <c r="O258" s="94" t="str">
        <f t="shared" si="76"/>
        <v/>
      </c>
      <c r="P258" s="94" t="str">
        <f t="shared" si="91"/>
        <v/>
      </c>
      <c r="Q258" s="94" t="str">
        <f t="shared" si="92"/>
        <v/>
      </c>
      <c r="R258" s="90" t="str">
        <f t="shared" si="93"/>
        <v/>
      </c>
      <c r="S258" s="37" t="str">
        <f t="shared" si="85"/>
        <v/>
      </c>
      <c r="T258" s="176" t="str">
        <f>IF(L258="","",VLOOKUP(L258,classifications!C:K,9,FALSE))</f>
        <v/>
      </c>
      <c r="U258" s="183" t="str">
        <f t="shared" si="77"/>
        <v/>
      </c>
      <c r="V258" s="184" t="str">
        <f>IF(U258="","",IF($I$8="A",(RANK(U258,U$11:U$368)+COUNTIF(U$11:U258,U258)-1),(RANK(U258,U$11:U$368,1)+COUNTIF(U$11:U258,U258)-1)))</f>
        <v/>
      </c>
      <c r="W258" s="185"/>
      <c r="X258" s="38" t="str">
        <f>IF(L258="","",VLOOKUP($L258,classifications!$C:$J,6,FALSE))</f>
        <v/>
      </c>
      <c r="Y258" s="26" t="str">
        <f t="shared" si="78"/>
        <v/>
      </c>
      <c r="Z258" s="34" t="str">
        <f>IF(Y258="","",IF(I$8="A",(RANK(Y258,Y$11:Y$368,1)+COUNTIF(Y$11:Y258,Y258)-1),(RANK(Y258,Y$11:Y$368)+COUNTIF(Y$11:Y258,Y258)-1)))</f>
        <v/>
      </c>
      <c r="AA258" s="188" t="str">
        <f>IF(L258="","",VLOOKUP($L258,classifications!C:I,7,FALSE))</f>
        <v/>
      </c>
      <c r="AB258" s="184" t="str">
        <f t="shared" si="86"/>
        <v/>
      </c>
      <c r="AC258" s="184" t="str">
        <f>IF(AB258="","",IF($I$8="A",(RANK(AB258,AB$11:AB$368)+COUNTIF(AB$11:AB258,AB258)-1),(RANK(AB258,AB$11:AB$368,1)+COUNTIF(AB$11:AB258,AB258)-1)))</f>
        <v/>
      </c>
      <c r="AD258" s="184"/>
      <c r="AE258" s="28" t="str">
        <f t="shared" si="96"/>
        <v/>
      </c>
      <c r="AG258" s="96"/>
      <c r="AH258" s="29"/>
      <c r="AI258" s="38" t="str">
        <f>IF(L258="","",VLOOKUP($L258,classifications!$C:$J,8,FALSE))</f>
        <v/>
      </c>
      <c r="AJ258" s="39" t="str">
        <f t="shared" si="79"/>
        <v/>
      </c>
      <c r="AK258" s="34" t="str">
        <f>IF(AJ258="","",IF(I$8="A",(RANK(AJ258,AJ$11:AJ$368,1)+COUNTIF(AJ$11:AJ258,AJ258)-1),(RANK(AJ258,AJ$11:AJ$368)+COUNTIF(AJ$11:AJ258,AJ258)-1)))</f>
        <v/>
      </c>
      <c r="AL258" s="29" t="str">
        <f t="shared" si="87"/>
        <v/>
      </c>
      <c r="AM258" s="8" t="str">
        <f t="shared" si="80"/>
        <v/>
      </c>
      <c r="AN258" s="8" t="str">
        <f t="shared" si="88"/>
        <v/>
      </c>
      <c r="AP258" s="38" t="str">
        <f>IF(L258="","",VLOOKUP($L258,classifications!$C:$E,3,FALSE))</f>
        <v/>
      </c>
      <c r="AQ258" s="39" t="str">
        <f t="shared" si="89"/>
        <v/>
      </c>
      <c r="AR258" s="34" t="str">
        <f>IF(AQ258="","",IF(I$8="A",(RANK(AQ258,AQ$11:AQ$368,1)+COUNTIF(AQ$11:AQ258,AQ258)-1),(RANK(AQ258,AQ$11:AQ$368)+COUNTIF(AQ$11:AQ258,AQ258)-1)))</f>
        <v/>
      </c>
      <c r="AS258" s="29" t="str">
        <f t="shared" si="90"/>
        <v/>
      </c>
      <c r="AT258" s="34" t="str">
        <f t="shared" si="81"/>
        <v/>
      </c>
      <c r="AU258" s="39" t="str">
        <f t="shared" si="94"/>
        <v/>
      </c>
      <c r="AX258" s="21">
        <f>HLOOKUP($AX$9&amp;$AX$10,Data!$A$1:$ZZ$2000,(MATCH($C258,Data!$A$1:$A$2000,0)),FALSE)</f>
        <v>81.292981100585621</v>
      </c>
      <c r="AY258" s="103"/>
      <c r="AZ258" s="21"/>
    </row>
    <row r="259" spans="1:52">
      <c r="A259" s="56" t="str">
        <f>$D$1&amp;249</f>
        <v>SD249</v>
      </c>
      <c r="B259" s="57">
        <f>IF(ISERROR(VLOOKUP(A259,classifications!A:C,3,FALSE)),0,VLOOKUP(A259,classifications!A:C,3,FALSE))</f>
        <v>0</v>
      </c>
      <c r="C259" s="8" t="s">
        <v>134</v>
      </c>
      <c r="D259" s="26" t="str">
        <f>VLOOKUP($C259,classifications!$C:$J,4,FALSE)</f>
        <v>SD</v>
      </c>
      <c r="E259" s="26" t="str">
        <f>VLOOKUP(C259,classifications!C:K,9,FALSE)</f>
        <v>Sparse</v>
      </c>
      <c r="F259" s="36">
        <f t="shared" si="73"/>
        <v>79.605148666688692</v>
      </c>
      <c r="G259" s="71"/>
      <c r="H259" s="37">
        <f t="shared" si="74"/>
        <v>79.605148666688692</v>
      </c>
      <c r="I259" s="77">
        <f>IF(H259="","",IF($I$8="A",(RANK(H259,H$11:H$368,1)+COUNTIF(H$11:H259,H259)-1),(RANK(H259,H$11:H$368)+COUNTIF(H$11:H259,H259)-1)))</f>
        <v>126</v>
      </c>
      <c r="J259" s="35"/>
      <c r="K259" s="28" t="str">
        <f t="shared" si="82"/>
        <v/>
      </c>
      <c r="L259" s="36" t="str">
        <f t="shared" si="75"/>
        <v/>
      </c>
      <c r="M259" s="102" t="str">
        <f t="shared" si="83"/>
        <v/>
      </c>
      <c r="N259" s="101" t="str">
        <f t="shared" si="84"/>
        <v/>
      </c>
      <c r="O259" s="94" t="str">
        <f t="shared" si="76"/>
        <v/>
      </c>
      <c r="P259" s="94" t="str">
        <f t="shared" si="91"/>
        <v/>
      </c>
      <c r="Q259" s="94" t="str">
        <f t="shared" si="92"/>
        <v/>
      </c>
      <c r="R259" s="90" t="str">
        <f t="shared" si="93"/>
        <v/>
      </c>
      <c r="S259" s="37" t="str">
        <f t="shared" si="85"/>
        <v/>
      </c>
      <c r="T259" s="176" t="str">
        <f>IF(L259="","",VLOOKUP(L259,classifications!C:K,9,FALSE))</f>
        <v/>
      </c>
      <c r="U259" s="183" t="str">
        <f t="shared" si="77"/>
        <v/>
      </c>
      <c r="V259" s="184" t="str">
        <f>IF(U259="","",IF($I$8="A",(RANK(U259,U$11:U$368)+COUNTIF(U$11:U259,U259)-1),(RANK(U259,U$11:U$368,1)+COUNTIF(U$11:U259,U259)-1)))</f>
        <v/>
      </c>
      <c r="W259" s="185"/>
      <c r="X259" s="38" t="str">
        <f>IF(L259="","",VLOOKUP($L259,classifications!$C:$J,6,FALSE))</f>
        <v/>
      </c>
      <c r="Y259" s="26" t="str">
        <f t="shared" si="78"/>
        <v/>
      </c>
      <c r="Z259" s="34" t="str">
        <f>IF(Y259="","",IF(I$8="A",(RANK(Y259,Y$11:Y$368,1)+COUNTIF(Y$11:Y259,Y259)-1),(RANK(Y259,Y$11:Y$368)+COUNTIF(Y$11:Y259,Y259)-1)))</f>
        <v/>
      </c>
      <c r="AA259" s="188" t="str">
        <f>IF(L259="","",VLOOKUP($L259,classifications!C:I,7,FALSE))</f>
        <v/>
      </c>
      <c r="AB259" s="184" t="str">
        <f t="shared" si="86"/>
        <v/>
      </c>
      <c r="AC259" s="184" t="str">
        <f>IF(AB259="","",IF($I$8="A",(RANK(AB259,AB$11:AB$368)+COUNTIF(AB$11:AB259,AB259)-1),(RANK(AB259,AB$11:AB$368,1)+COUNTIF(AB$11:AB259,AB259)-1)))</f>
        <v/>
      </c>
      <c r="AD259" s="184"/>
      <c r="AE259" s="28" t="str">
        <f t="shared" si="96"/>
        <v/>
      </c>
      <c r="AG259" s="96"/>
      <c r="AH259" s="29"/>
      <c r="AI259" s="38" t="str">
        <f>IF(L259="","",VLOOKUP($L259,classifications!$C:$J,8,FALSE))</f>
        <v/>
      </c>
      <c r="AJ259" s="39" t="str">
        <f t="shared" si="79"/>
        <v/>
      </c>
      <c r="AK259" s="34" t="str">
        <f>IF(AJ259="","",IF(I$8="A",(RANK(AJ259,AJ$11:AJ$368,1)+COUNTIF(AJ$11:AJ259,AJ259)-1),(RANK(AJ259,AJ$11:AJ$368)+COUNTIF(AJ$11:AJ259,AJ259)-1)))</f>
        <v/>
      </c>
      <c r="AL259" s="29" t="str">
        <f t="shared" si="87"/>
        <v/>
      </c>
      <c r="AM259" s="8" t="str">
        <f t="shared" si="80"/>
        <v/>
      </c>
      <c r="AN259" s="8" t="str">
        <f t="shared" si="88"/>
        <v/>
      </c>
      <c r="AP259" s="38" t="str">
        <f>IF(L259="","",VLOOKUP($L259,classifications!$C:$E,3,FALSE))</f>
        <v/>
      </c>
      <c r="AQ259" s="39" t="str">
        <f t="shared" si="89"/>
        <v/>
      </c>
      <c r="AR259" s="34" t="str">
        <f>IF(AQ259="","",IF(I$8="A",(RANK(AQ259,AQ$11:AQ$368,1)+COUNTIF(AQ$11:AQ259,AQ259)-1),(RANK(AQ259,AQ$11:AQ$368)+COUNTIF(AQ$11:AQ259,AQ259)-1)))</f>
        <v/>
      </c>
      <c r="AS259" s="29" t="str">
        <f t="shared" si="90"/>
        <v/>
      </c>
      <c r="AT259" s="34" t="str">
        <f t="shared" si="81"/>
        <v/>
      </c>
      <c r="AU259" s="39" t="str">
        <f t="shared" si="94"/>
        <v/>
      </c>
      <c r="AX259" s="21">
        <f>HLOOKUP($AX$9&amp;$AX$10,Data!$A$1:$ZZ$2000,(MATCH($C259,Data!$A$1:$A$2000,0)),FALSE)</f>
        <v>79.605148666688692</v>
      </c>
      <c r="AY259" s="103"/>
      <c r="AZ259" s="21"/>
    </row>
    <row r="260" spans="1:52">
      <c r="A260" s="56" t="str">
        <f>$D$1&amp;250</f>
        <v>SD250</v>
      </c>
      <c r="B260" s="57">
        <f>IF(ISERROR(VLOOKUP(A260,classifications!A:C,3,FALSE)),0,VLOOKUP(A260,classifications!A:C,3,FALSE))</f>
        <v>0</v>
      </c>
      <c r="C260" s="8" t="s">
        <v>244</v>
      </c>
      <c r="D260" s="26" t="str">
        <f>VLOOKUP($C260,classifications!$C:$J,4,FALSE)</f>
        <v>MD</v>
      </c>
      <c r="E260" s="26">
        <f>VLOOKUP(C260,classifications!C:K,9,FALSE)</f>
        <v>0</v>
      </c>
      <c r="F260" s="36">
        <f t="shared" si="73"/>
        <v>77.832245065434194</v>
      </c>
      <c r="G260" s="71"/>
      <c r="H260" s="37" t="str">
        <f t="shared" si="74"/>
        <v/>
      </c>
      <c r="I260" s="77" t="str">
        <f>IF(H260="","",IF($I$8="A",(RANK(H260,H$11:H$368,1)+COUNTIF(H$11:H260,H260)-1),(RANK(H260,H$11:H$368)+COUNTIF(H$11:H260,H260)-1)))</f>
        <v/>
      </c>
      <c r="J260" s="35"/>
      <c r="K260" s="28" t="str">
        <f t="shared" si="82"/>
        <v/>
      </c>
      <c r="L260" s="36" t="str">
        <f t="shared" si="75"/>
        <v/>
      </c>
      <c r="M260" s="102" t="str">
        <f t="shared" si="83"/>
        <v/>
      </c>
      <c r="N260" s="101" t="str">
        <f t="shared" si="84"/>
        <v/>
      </c>
      <c r="O260" s="94" t="str">
        <f t="shared" si="76"/>
        <v/>
      </c>
      <c r="P260" s="94" t="str">
        <f t="shared" si="91"/>
        <v/>
      </c>
      <c r="Q260" s="94" t="str">
        <f t="shared" si="92"/>
        <v/>
      </c>
      <c r="R260" s="90" t="str">
        <f t="shared" si="93"/>
        <v/>
      </c>
      <c r="S260" s="37" t="str">
        <f t="shared" si="85"/>
        <v/>
      </c>
      <c r="T260" s="176" t="str">
        <f>IF(L260="","",VLOOKUP(L260,classifications!C:K,9,FALSE))</f>
        <v/>
      </c>
      <c r="U260" s="183" t="str">
        <f t="shared" si="77"/>
        <v/>
      </c>
      <c r="V260" s="184" t="str">
        <f>IF(U260="","",IF($I$8="A",(RANK(U260,U$11:U$368)+COUNTIF(U$11:U260,U260)-1),(RANK(U260,U$11:U$368,1)+COUNTIF(U$11:U260,U260)-1)))</f>
        <v/>
      </c>
      <c r="W260" s="185"/>
      <c r="X260" s="38" t="str">
        <f>IF(L260="","",VLOOKUP($L260,classifications!$C:$J,6,FALSE))</f>
        <v/>
      </c>
      <c r="Y260" s="26" t="str">
        <f t="shared" si="78"/>
        <v/>
      </c>
      <c r="Z260" s="34" t="str">
        <f>IF(Y260="","",IF(I$8="A",(RANK(Y260,Y$11:Y$368,1)+COUNTIF(Y$11:Y260,Y260)-1),(RANK(Y260,Y$11:Y$368)+COUNTIF(Y$11:Y260,Y260)-1)))</f>
        <v/>
      </c>
      <c r="AA260" s="188" t="str">
        <f>IF(L260="","",VLOOKUP($L260,classifications!C:I,7,FALSE))</f>
        <v/>
      </c>
      <c r="AB260" s="184" t="str">
        <f t="shared" si="86"/>
        <v/>
      </c>
      <c r="AC260" s="184" t="str">
        <f>IF(AB260="","",IF($I$8="A",(RANK(AB260,AB$11:AB$368)+COUNTIF(AB$11:AB260,AB260)-1),(RANK(AB260,AB$11:AB$368,1)+COUNTIF(AB$11:AB260,AB260)-1)))</f>
        <v/>
      </c>
      <c r="AD260" s="184"/>
      <c r="AE260" s="28" t="str">
        <f t="shared" si="96"/>
        <v/>
      </c>
      <c r="AG260" s="96"/>
      <c r="AH260" s="29"/>
      <c r="AI260" s="38" t="str">
        <f>IF(L260="","",VLOOKUP($L260,classifications!$C:$J,8,FALSE))</f>
        <v/>
      </c>
      <c r="AJ260" s="39" t="str">
        <f t="shared" si="79"/>
        <v/>
      </c>
      <c r="AK260" s="34" t="str">
        <f>IF(AJ260="","",IF(I$8="A",(RANK(AJ260,AJ$11:AJ$368,1)+COUNTIF(AJ$11:AJ260,AJ260)-1),(RANK(AJ260,AJ$11:AJ$368)+COUNTIF(AJ$11:AJ260,AJ260)-1)))</f>
        <v/>
      </c>
      <c r="AL260" s="29" t="str">
        <f t="shared" si="87"/>
        <v/>
      </c>
      <c r="AM260" s="8" t="str">
        <f t="shared" si="80"/>
        <v/>
      </c>
      <c r="AN260" s="8" t="str">
        <f t="shared" si="88"/>
        <v/>
      </c>
      <c r="AP260" s="38" t="str">
        <f>IF(L260="","",VLOOKUP($L260,classifications!$C:$E,3,FALSE))</f>
        <v/>
      </c>
      <c r="AQ260" s="39" t="str">
        <f t="shared" si="89"/>
        <v/>
      </c>
      <c r="AR260" s="34" t="str">
        <f>IF(AQ260="","",IF(I$8="A",(RANK(AQ260,AQ$11:AQ$368,1)+COUNTIF(AQ$11:AQ260,AQ260)-1),(RANK(AQ260,AQ$11:AQ$368)+COUNTIF(AQ$11:AQ260,AQ260)-1)))</f>
        <v/>
      </c>
      <c r="AS260" s="29" t="str">
        <f t="shared" si="90"/>
        <v/>
      </c>
      <c r="AT260" s="34" t="str">
        <f t="shared" si="81"/>
        <v/>
      </c>
      <c r="AU260" s="39" t="str">
        <f t="shared" si="94"/>
        <v/>
      </c>
      <c r="AX260" s="21">
        <f>HLOOKUP($AX$9&amp;$AX$10,Data!$A$1:$ZZ$2000,(MATCH($C260,Data!$A$1:$A$2000,0)),FALSE)</f>
        <v>77.832245065434194</v>
      </c>
      <c r="AY260" s="103"/>
      <c r="AZ260" s="21"/>
    </row>
    <row r="261" spans="1:52">
      <c r="A261" s="56" t="str">
        <f>$D$1&amp;251</f>
        <v>SD251</v>
      </c>
      <c r="B261" s="57">
        <f>IF(ISERROR(VLOOKUP(A261,classifications!A:C,3,FALSE)),0,VLOOKUP(A261,classifications!A:C,3,FALSE))</f>
        <v>0</v>
      </c>
      <c r="C261" s="8" t="s">
        <v>135</v>
      </c>
      <c r="D261" s="26" t="str">
        <f>VLOOKUP($C261,classifications!$C:$J,4,FALSE)</f>
        <v>SD</v>
      </c>
      <c r="E261" s="26" t="str">
        <f>VLOOKUP(C261,classifications!C:K,9,FALSE)</f>
        <v>Sparse</v>
      </c>
      <c r="F261" s="36">
        <f t="shared" si="73"/>
        <v>79.19619175087098</v>
      </c>
      <c r="G261" s="71"/>
      <c r="H261" s="37">
        <f t="shared" si="74"/>
        <v>79.19619175087098</v>
      </c>
      <c r="I261" s="77">
        <f>IF(H261="","",IF($I$8="A",(RANK(H261,H$11:H$368,1)+COUNTIF(H$11:H261,H261)-1),(RANK(H261,H$11:H$368)+COUNTIF(H$11:H261,H261)-1)))</f>
        <v>135</v>
      </c>
      <c r="J261" s="35"/>
      <c r="K261" s="28" t="str">
        <f t="shared" si="82"/>
        <v/>
      </c>
      <c r="L261" s="36" t="str">
        <f t="shared" si="75"/>
        <v/>
      </c>
      <c r="M261" s="102" t="str">
        <f t="shared" si="83"/>
        <v/>
      </c>
      <c r="N261" s="101" t="str">
        <f t="shared" si="84"/>
        <v/>
      </c>
      <c r="O261" s="94" t="str">
        <f t="shared" si="76"/>
        <v/>
      </c>
      <c r="P261" s="94" t="str">
        <f t="shared" si="91"/>
        <v/>
      </c>
      <c r="Q261" s="94" t="str">
        <f t="shared" si="92"/>
        <v/>
      </c>
      <c r="R261" s="90" t="str">
        <f t="shared" si="93"/>
        <v/>
      </c>
      <c r="S261" s="37" t="str">
        <f t="shared" si="85"/>
        <v/>
      </c>
      <c r="T261" s="176" t="str">
        <f>IF(L261="","",VLOOKUP(L261,classifications!C:K,9,FALSE))</f>
        <v/>
      </c>
      <c r="U261" s="183" t="str">
        <f t="shared" si="77"/>
        <v/>
      </c>
      <c r="V261" s="184" t="str">
        <f>IF(U261="","",IF($I$8="A",(RANK(U261,U$11:U$368)+COUNTIF(U$11:U261,U261)-1),(RANK(U261,U$11:U$368,1)+COUNTIF(U$11:U261,U261)-1)))</f>
        <v/>
      </c>
      <c r="W261" s="185"/>
      <c r="X261" s="38" t="str">
        <f>IF(L261="","",VLOOKUP($L261,classifications!$C:$J,6,FALSE))</f>
        <v/>
      </c>
      <c r="Y261" s="26" t="str">
        <f t="shared" si="78"/>
        <v/>
      </c>
      <c r="Z261" s="34" t="str">
        <f>IF(Y261="","",IF(I$8="A",(RANK(Y261,Y$11:Y$368,1)+COUNTIF(Y$11:Y261,Y261)-1),(RANK(Y261,Y$11:Y$368)+COUNTIF(Y$11:Y261,Y261)-1)))</f>
        <v/>
      </c>
      <c r="AA261" s="188" t="str">
        <f>IF(L261="","",VLOOKUP($L261,classifications!C:I,7,FALSE))</f>
        <v/>
      </c>
      <c r="AB261" s="184" t="str">
        <f t="shared" si="86"/>
        <v/>
      </c>
      <c r="AC261" s="184" t="str">
        <f>IF(AB261="","",IF($I$8="A",(RANK(AB261,AB$11:AB$368)+COUNTIF(AB$11:AB261,AB261)-1),(RANK(AB261,AB$11:AB$368,1)+COUNTIF(AB$11:AB261,AB261)-1)))</f>
        <v/>
      </c>
      <c r="AD261" s="184"/>
      <c r="AE261" s="28" t="str">
        <f t="shared" si="96"/>
        <v/>
      </c>
      <c r="AG261" s="96"/>
      <c r="AH261" s="29"/>
      <c r="AI261" s="38" t="str">
        <f>IF(L261="","",VLOOKUP($L261,classifications!$C:$J,8,FALSE))</f>
        <v/>
      </c>
      <c r="AJ261" s="39" t="str">
        <f t="shared" si="79"/>
        <v/>
      </c>
      <c r="AK261" s="34" t="str">
        <f>IF(AJ261="","",IF(I$8="A",(RANK(AJ261,AJ$11:AJ$368,1)+COUNTIF(AJ$11:AJ261,AJ261)-1),(RANK(AJ261,AJ$11:AJ$368)+COUNTIF(AJ$11:AJ261,AJ261)-1)))</f>
        <v/>
      </c>
      <c r="AL261" s="29" t="str">
        <f t="shared" si="87"/>
        <v/>
      </c>
      <c r="AM261" s="8" t="str">
        <f t="shared" si="80"/>
        <v/>
      </c>
      <c r="AN261" s="8" t="str">
        <f t="shared" si="88"/>
        <v/>
      </c>
      <c r="AP261" s="38" t="str">
        <f>IF(L261="","",VLOOKUP($L261,classifications!$C:$E,3,FALSE))</f>
        <v/>
      </c>
      <c r="AQ261" s="39" t="str">
        <f t="shared" si="89"/>
        <v/>
      </c>
      <c r="AR261" s="34" t="str">
        <f>IF(AQ261="","",IF(I$8="A",(RANK(AQ261,AQ$11:AQ$368,1)+COUNTIF(AQ$11:AQ261,AQ261)-1),(RANK(AQ261,AQ$11:AQ$368)+COUNTIF(AQ$11:AQ261,AQ261)-1)))</f>
        <v/>
      </c>
      <c r="AS261" s="29" t="str">
        <f t="shared" si="90"/>
        <v/>
      </c>
      <c r="AT261" s="34" t="str">
        <f t="shared" si="81"/>
        <v/>
      </c>
      <c r="AU261" s="39" t="str">
        <f t="shared" si="94"/>
        <v/>
      </c>
      <c r="AX261" s="21">
        <f>HLOOKUP($AX$9&amp;$AX$10,Data!$A$1:$ZZ$2000,(MATCH($C261,Data!$A$1:$A$2000,0)),FALSE)</f>
        <v>79.19619175087098</v>
      </c>
      <c r="AY261" s="103"/>
      <c r="AZ261" s="21"/>
    </row>
    <row r="262" spans="1:52">
      <c r="A262" s="56" t="str">
        <f>$D$1&amp;252</f>
        <v>SD252</v>
      </c>
      <c r="B262" s="57">
        <f>IF(ISERROR(VLOOKUP(A262,classifications!A:C,3,FALSE)),0,VLOOKUP(A262,classifications!A:C,3,FALSE))</f>
        <v>0</v>
      </c>
      <c r="C262" s="8" t="s">
        <v>136</v>
      </c>
      <c r="D262" s="26" t="str">
        <f>VLOOKUP($C262,classifications!$C:$J,4,FALSE)</f>
        <v>SD</v>
      </c>
      <c r="E262" s="26" t="str">
        <f>VLOOKUP(C262,classifications!C:K,9,FALSE)</f>
        <v>Sparse</v>
      </c>
      <c r="F262" s="36">
        <f t="shared" si="73"/>
        <v>81.11129786496501</v>
      </c>
      <c r="G262" s="71"/>
      <c r="H262" s="37">
        <f t="shared" si="74"/>
        <v>81.11129786496501</v>
      </c>
      <c r="I262" s="77">
        <f>IF(H262="","",IF($I$8="A",(RANK(H262,H$11:H$368,1)+COUNTIF(H$11:H262,H262)-1),(RANK(H262,H$11:H$368)+COUNTIF(H$11:H262,H262)-1)))</f>
        <v>94</v>
      </c>
      <c r="J262" s="35"/>
      <c r="K262" s="28" t="str">
        <f t="shared" si="82"/>
        <v/>
      </c>
      <c r="L262" s="36" t="str">
        <f t="shared" si="75"/>
        <v/>
      </c>
      <c r="M262" s="102" t="str">
        <f t="shared" si="83"/>
        <v/>
      </c>
      <c r="N262" s="101" t="str">
        <f t="shared" si="84"/>
        <v/>
      </c>
      <c r="O262" s="94" t="str">
        <f t="shared" si="76"/>
        <v/>
      </c>
      <c r="P262" s="94" t="str">
        <f t="shared" si="91"/>
        <v/>
      </c>
      <c r="Q262" s="94" t="str">
        <f t="shared" si="92"/>
        <v/>
      </c>
      <c r="R262" s="90" t="str">
        <f t="shared" si="93"/>
        <v/>
      </c>
      <c r="S262" s="37" t="str">
        <f t="shared" si="85"/>
        <v/>
      </c>
      <c r="T262" s="176" t="str">
        <f>IF(L262="","",VLOOKUP(L262,classifications!C:K,9,FALSE))</f>
        <v/>
      </c>
      <c r="U262" s="183" t="str">
        <f t="shared" si="77"/>
        <v/>
      </c>
      <c r="V262" s="184" t="str">
        <f>IF(U262="","",IF($I$8="A",(RANK(U262,U$11:U$368)+COUNTIF(U$11:U262,U262)-1),(RANK(U262,U$11:U$368,1)+COUNTIF(U$11:U262,U262)-1)))</f>
        <v/>
      </c>
      <c r="W262" s="185"/>
      <c r="X262" s="38" t="str">
        <f>IF(L262="","",VLOOKUP($L262,classifications!$C:$J,6,FALSE))</f>
        <v/>
      </c>
      <c r="Y262" s="26" t="str">
        <f t="shared" si="78"/>
        <v/>
      </c>
      <c r="Z262" s="34" t="str">
        <f>IF(Y262="","",IF(I$8="A",(RANK(Y262,Y$11:Y$368,1)+COUNTIF(Y$11:Y262,Y262)-1),(RANK(Y262,Y$11:Y$368)+COUNTIF(Y$11:Y262,Y262)-1)))</f>
        <v/>
      </c>
      <c r="AA262" s="188" t="str">
        <f>IF(L262="","",VLOOKUP($L262,classifications!C:I,7,FALSE))</f>
        <v/>
      </c>
      <c r="AB262" s="184" t="str">
        <f t="shared" si="86"/>
        <v/>
      </c>
      <c r="AC262" s="184" t="str">
        <f>IF(AB262="","",IF($I$8="A",(RANK(AB262,AB$11:AB$368)+COUNTIF(AB$11:AB262,AB262)-1),(RANK(AB262,AB$11:AB$368,1)+COUNTIF(AB$11:AB262,AB262)-1)))</f>
        <v/>
      </c>
      <c r="AD262" s="184"/>
      <c r="AE262" s="28" t="str">
        <f t="shared" si="96"/>
        <v/>
      </c>
      <c r="AG262" s="96"/>
      <c r="AH262" s="29"/>
      <c r="AI262" s="38" t="str">
        <f>IF(L262="","",VLOOKUP($L262,classifications!$C:$J,8,FALSE))</f>
        <v/>
      </c>
      <c r="AJ262" s="39" t="str">
        <f t="shared" si="79"/>
        <v/>
      </c>
      <c r="AK262" s="34" t="str">
        <f>IF(AJ262="","",IF(I$8="A",(RANK(AJ262,AJ$11:AJ$368,1)+COUNTIF(AJ$11:AJ262,AJ262)-1),(RANK(AJ262,AJ$11:AJ$368)+COUNTIF(AJ$11:AJ262,AJ262)-1)))</f>
        <v/>
      </c>
      <c r="AL262" s="29" t="str">
        <f t="shared" si="87"/>
        <v/>
      </c>
      <c r="AM262" s="8" t="str">
        <f t="shared" si="80"/>
        <v/>
      </c>
      <c r="AN262" s="8" t="str">
        <f t="shared" si="88"/>
        <v/>
      </c>
      <c r="AP262" s="38" t="str">
        <f>IF(L262="","",VLOOKUP($L262,classifications!$C:$E,3,FALSE))</f>
        <v/>
      </c>
      <c r="AQ262" s="39" t="str">
        <f t="shared" si="89"/>
        <v/>
      </c>
      <c r="AR262" s="34" t="str">
        <f>IF(AQ262="","",IF(I$8="A",(RANK(AQ262,AQ$11:AQ$368,1)+COUNTIF(AQ$11:AQ262,AQ262)-1),(RANK(AQ262,AQ$11:AQ$368)+COUNTIF(AQ$11:AQ262,AQ262)-1)))</f>
        <v/>
      </c>
      <c r="AS262" s="29" t="str">
        <f t="shared" si="90"/>
        <v/>
      </c>
      <c r="AT262" s="34" t="str">
        <f t="shared" si="81"/>
        <v/>
      </c>
      <c r="AU262" s="39" t="str">
        <f t="shared" si="94"/>
        <v/>
      </c>
      <c r="AX262" s="21">
        <f>HLOOKUP($AX$9&amp;$AX$10,Data!$A$1:$ZZ$2000,(MATCH($C262,Data!$A$1:$A$2000,0)),FALSE)</f>
        <v>81.11129786496501</v>
      </c>
      <c r="AY262" s="103"/>
      <c r="AZ262" s="21"/>
    </row>
    <row r="263" spans="1:52">
      <c r="A263" s="56" t="str">
        <f>$D$1&amp;253</f>
        <v>SD253</v>
      </c>
      <c r="B263" s="57">
        <f>IF(ISERROR(VLOOKUP(A263,classifications!A:C,3,FALSE)),0,VLOOKUP(A263,classifications!A:C,3,FALSE))</f>
        <v>0</v>
      </c>
      <c r="C263" s="8" t="s">
        <v>245</v>
      </c>
      <c r="D263" s="26" t="str">
        <f>VLOOKUP($C263,classifications!$C:$J,4,FALSE)</f>
        <v>MD</v>
      </c>
      <c r="E263" s="26">
        <f>VLOOKUP(C263,classifications!C:K,9,FALSE)</f>
        <v>0</v>
      </c>
      <c r="F263" s="36">
        <f t="shared" si="73"/>
        <v>79.271283161898069</v>
      </c>
      <c r="G263" s="71"/>
      <c r="H263" s="37" t="str">
        <f t="shared" si="74"/>
        <v/>
      </c>
      <c r="I263" s="77" t="str">
        <f>IF(H263="","",IF($I$8="A",(RANK(H263,H$11:H$368,1)+COUNTIF(H$11:H263,H263)-1),(RANK(H263,H$11:H$368)+COUNTIF(H$11:H263,H263)-1)))</f>
        <v/>
      </c>
      <c r="J263" s="35"/>
      <c r="K263" s="28" t="str">
        <f t="shared" si="82"/>
        <v/>
      </c>
      <c r="L263" s="36" t="str">
        <f t="shared" si="75"/>
        <v/>
      </c>
      <c r="M263" s="102" t="str">
        <f t="shared" si="83"/>
        <v/>
      </c>
      <c r="N263" s="101" t="str">
        <f t="shared" si="84"/>
        <v/>
      </c>
      <c r="O263" s="94" t="str">
        <f t="shared" si="76"/>
        <v/>
      </c>
      <c r="P263" s="94" t="str">
        <f t="shared" si="91"/>
        <v/>
      </c>
      <c r="Q263" s="94" t="str">
        <f t="shared" si="92"/>
        <v/>
      </c>
      <c r="R263" s="90" t="str">
        <f t="shared" si="93"/>
        <v/>
      </c>
      <c r="S263" s="37" t="str">
        <f t="shared" si="85"/>
        <v/>
      </c>
      <c r="T263" s="176" t="str">
        <f>IF(L263="","",VLOOKUP(L263,classifications!C:K,9,FALSE))</f>
        <v/>
      </c>
      <c r="U263" s="183" t="str">
        <f t="shared" si="77"/>
        <v/>
      </c>
      <c r="V263" s="184" t="str">
        <f>IF(U263="","",IF($I$8="A",(RANK(U263,U$11:U$368)+COUNTIF(U$11:U263,U263)-1),(RANK(U263,U$11:U$368,1)+COUNTIF(U$11:U263,U263)-1)))</f>
        <v/>
      </c>
      <c r="W263" s="185"/>
      <c r="X263" s="38" t="str">
        <f>IF(L263="","",VLOOKUP($L263,classifications!$C:$J,6,FALSE))</f>
        <v/>
      </c>
      <c r="Y263" s="26" t="str">
        <f t="shared" si="78"/>
        <v/>
      </c>
      <c r="Z263" s="34" t="str">
        <f>IF(Y263="","",IF(I$8="A",(RANK(Y263,Y$11:Y$368,1)+COUNTIF(Y$11:Y263,Y263)-1),(RANK(Y263,Y$11:Y$368)+COUNTIF(Y$11:Y263,Y263)-1)))</f>
        <v/>
      </c>
      <c r="AA263" s="188" t="str">
        <f>IF(L263="","",VLOOKUP($L263,classifications!C:I,7,FALSE))</f>
        <v/>
      </c>
      <c r="AB263" s="184" t="str">
        <f t="shared" si="86"/>
        <v/>
      </c>
      <c r="AC263" s="184" t="str">
        <f>IF(AB263="","",IF($I$8="A",(RANK(AB263,AB$11:AB$368)+COUNTIF(AB$11:AB263,AB263)-1),(RANK(AB263,AB$11:AB$368,1)+COUNTIF(AB$11:AB263,AB263)-1)))</f>
        <v/>
      </c>
      <c r="AD263" s="184"/>
      <c r="AE263" s="28" t="str">
        <f t="shared" si="96"/>
        <v/>
      </c>
      <c r="AG263" s="96"/>
      <c r="AH263" s="29"/>
      <c r="AI263" s="38" t="str">
        <f>IF(L263="","",VLOOKUP($L263,classifications!$C:$J,8,FALSE))</f>
        <v/>
      </c>
      <c r="AJ263" s="39" t="str">
        <f t="shared" si="79"/>
        <v/>
      </c>
      <c r="AK263" s="34" t="str">
        <f>IF(AJ263="","",IF(I$8="A",(RANK(AJ263,AJ$11:AJ$368,1)+COUNTIF(AJ$11:AJ263,AJ263)-1),(RANK(AJ263,AJ$11:AJ$368)+COUNTIF(AJ$11:AJ263,AJ263)-1)))</f>
        <v/>
      </c>
      <c r="AL263" s="29" t="str">
        <f t="shared" si="87"/>
        <v/>
      </c>
      <c r="AM263" s="8" t="str">
        <f t="shared" si="80"/>
        <v/>
      </c>
      <c r="AN263" s="8" t="str">
        <f t="shared" si="88"/>
        <v/>
      </c>
      <c r="AP263" s="38" t="str">
        <f>IF(L263="","",VLOOKUP($L263,classifications!$C:$E,3,FALSE))</f>
        <v/>
      </c>
      <c r="AQ263" s="39" t="str">
        <f t="shared" si="89"/>
        <v/>
      </c>
      <c r="AR263" s="34" t="str">
        <f>IF(AQ263="","",IF(I$8="A",(RANK(AQ263,AQ$11:AQ$368,1)+COUNTIF(AQ$11:AQ263,AQ263)-1),(RANK(AQ263,AQ$11:AQ$368)+COUNTIF(AQ$11:AQ263,AQ263)-1)))</f>
        <v/>
      </c>
      <c r="AS263" s="29" t="str">
        <f t="shared" si="90"/>
        <v/>
      </c>
      <c r="AT263" s="34" t="str">
        <f t="shared" si="81"/>
        <v/>
      </c>
      <c r="AU263" s="39" t="str">
        <f t="shared" si="94"/>
        <v/>
      </c>
      <c r="AX263" s="21">
        <f>HLOOKUP($AX$9&amp;$AX$10,Data!$A$1:$ZZ$2000,(MATCH($C263,Data!$A$1:$A$2000,0)),FALSE)</f>
        <v>79.271283161898069</v>
      </c>
      <c r="AY263" s="103"/>
      <c r="AZ263" s="21"/>
    </row>
    <row r="264" spans="1:52">
      <c r="A264" s="56" t="str">
        <f>$D$1&amp;254</f>
        <v>SD254</v>
      </c>
      <c r="B264" s="57">
        <f>IF(ISERROR(VLOOKUP(A264,classifications!A:C,3,FALSE)),0,VLOOKUP(A264,classifications!A:C,3,FALSE))</f>
        <v>0</v>
      </c>
      <c r="C264" s="8" t="s">
        <v>897</v>
      </c>
      <c r="D264" s="26" t="str">
        <f>VLOOKUP($C264,classifications!$C:$J,4,FALSE)</f>
        <v>SD</v>
      </c>
      <c r="E264" s="26">
        <f>VLOOKUP(C264,classifications!C:K,9,FALSE)</f>
        <v>0</v>
      </c>
      <c r="F264" s="36">
        <f t="shared" si="73"/>
        <v>78.742156783431966</v>
      </c>
      <c r="G264" s="71"/>
      <c r="H264" s="37">
        <f t="shared" si="74"/>
        <v>78.742156783431966</v>
      </c>
      <c r="I264" s="77">
        <f>IF(H264="","",IF($I$8="A",(RANK(H264,H$11:H$368,1)+COUNTIF(H$11:H264,H264)-1),(RANK(H264,H$11:H$368)+COUNTIF(H$11:H264,H264)-1)))</f>
        <v>140</v>
      </c>
      <c r="J264" s="35"/>
      <c r="K264" s="28" t="str">
        <f t="shared" si="82"/>
        <v/>
      </c>
      <c r="L264" s="36" t="str">
        <f t="shared" si="75"/>
        <v/>
      </c>
      <c r="M264" s="102" t="str">
        <f t="shared" si="83"/>
        <v/>
      </c>
      <c r="N264" s="101" t="str">
        <f t="shared" si="84"/>
        <v/>
      </c>
      <c r="O264" s="94" t="str">
        <f t="shared" si="76"/>
        <v/>
      </c>
      <c r="P264" s="94" t="str">
        <f t="shared" si="91"/>
        <v/>
      </c>
      <c r="Q264" s="94" t="str">
        <f t="shared" si="92"/>
        <v/>
      </c>
      <c r="R264" s="90" t="str">
        <f t="shared" si="93"/>
        <v/>
      </c>
      <c r="S264" s="37" t="str">
        <f t="shared" si="85"/>
        <v/>
      </c>
      <c r="T264" s="176" t="str">
        <f>IF(L264="","",VLOOKUP(L264,classifications!C:K,9,FALSE))</f>
        <v/>
      </c>
      <c r="U264" s="183" t="str">
        <f t="shared" si="77"/>
        <v/>
      </c>
      <c r="V264" s="184" t="str">
        <f>IF(U264="","",IF($I$8="A",(RANK(U264,U$11:U$368)+COUNTIF(U$11:U264,U264)-1),(RANK(U264,U$11:U$368,1)+COUNTIF(U$11:U264,U264)-1)))</f>
        <v/>
      </c>
      <c r="W264" s="185"/>
      <c r="X264" s="38" t="str">
        <f>IF(L264="","",VLOOKUP($L264,classifications!$C:$J,6,FALSE))</f>
        <v/>
      </c>
      <c r="Y264" s="26" t="str">
        <f t="shared" si="78"/>
        <v/>
      </c>
      <c r="Z264" s="34" t="str">
        <f>IF(Y264="","",IF(I$8="A",(RANK(Y264,Y$11:Y$368,1)+COUNTIF(Y$11:Y264,Y264)-1),(RANK(Y264,Y$11:Y$368)+COUNTIF(Y$11:Y264,Y264)-1)))</f>
        <v/>
      </c>
      <c r="AA264" s="188" t="str">
        <f>IF(L264="","",VLOOKUP($L264,classifications!C:I,7,FALSE))</f>
        <v/>
      </c>
      <c r="AB264" s="184" t="str">
        <f t="shared" si="86"/>
        <v/>
      </c>
      <c r="AC264" s="184" t="str">
        <f>IF(AB264="","",IF($I$8="A",(RANK(AB264,AB$11:AB$368)+COUNTIF(AB$11:AB264,AB264)-1),(RANK(AB264,AB$11:AB$368,1)+COUNTIF(AB$11:AB264,AB264)-1)))</f>
        <v/>
      </c>
      <c r="AD264" s="184"/>
      <c r="AE264" s="28" t="str">
        <f t="shared" si="96"/>
        <v/>
      </c>
      <c r="AG264" s="96"/>
      <c r="AH264" s="29"/>
      <c r="AI264" s="38" t="str">
        <f>IF(L264="","",VLOOKUP($L264,classifications!$C:$J,8,FALSE))</f>
        <v/>
      </c>
      <c r="AJ264" s="39" t="str">
        <f t="shared" si="79"/>
        <v/>
      </c>
      <c r="AK264" s="34" t="str">
        <f>IF(AJ264="","",IF(I$8="A",(RANK(AJ264,AJ$11:AJ$368,1)+COUNTIF(AJ$11:AJ264,AJ264)-1),(RANK(AJ264,AJ$11:AJ$368)+COUNTIF(AJ$11:AJ264,AJ264)-1)))</f>
        <v/>
      </c>
      <c r="AL264" s="29" t="str">
        <f t="shared" si="87"/>
        <v/>
      </c>
      <c r="AM264" s="8" t="str">
        <f t="shared" si="80"/>
        <v/>
      </c>
      <c r="AN264" s="8" t="str">
        <f t="shared" si="88"/>
        <v/>
      </c>
      <c r="AP264" s="38" t="str">
        <f>IF(L264="","",VLOOKUP($L264,classifications!$C:$E,3,FALSE))</f>
        <v/>
      </c>
      <c r="AQ264" s="39" t="str">
        <f t="shared" si="89"/>
        <v/>
      </c>
      <c r="AR264" s="34" t="str">
        <f>IF(AQ264="","",IF(I$8="A",(RANK(AQ264,AQ$11:AQ$368,1)+COUNTIF(AQ$11:AQ264,AQ264)-1),(RANK(AQ264,AQ$11:AQ$368)+COUNTIF(AQ$11:AQ264,AQ264)-1)))</f>
        <v/>
      </c>
      <c r="AS264" s="29" t="str">
        <f t="shared" si="90"/>
        <v/>
      </c>
      <c r="AT264" s="34" t="str">
        <f t="shared" si="81"/>
        <v/>
      </c>
      <c r="AU264" s="39" t="str">
        <f t="shared" si="94"/>
        <v/>
      </c>
      <c r="AX264" s="21">
        <f>HLOOKUP($AX$9&amp;$AX$10,Data!$A$1:$ZZ$2000,(MATCH($C264,Data!$A$1:$A$2000,0)),FALSE)</f>
        <v>78.742156783431966</v>
      </c>
      <c r="AY264" s="103"/>
      <c r="AZ264" s="21"/>
    </row>
    <row r="265" spans="1:52">
      <c r="A265" s="56" t="str">
        <f>$D$1&amp;255</f>
        <v>SD255</v>
      </c>
      <c r="B265" s="57">
        <f>IF(ISERROR(VLOOKUP(A265,classifications!A:C,3,FALSE)),0,VLOOKUP(A265,classifications!A:C,3,FALSE))</f>
        <v>0</v>
      </c>
      <c r="C265" s="8" t="s">
        <v>325</v>
      </c>
      <c r="D265" s="26" t="str">
        <f>VLOOKUP($C265,classifications!$C:$J,4,FALSE)</f>
        <v>UA</v>
      </c>
      <c r="E265" s="26" t="str">
        <f>VLOOKUP(C265,classifications!C:K,9,FALSE)</f>
        <v>Sparse</v>
      </c>
      <c r="F265" s="36">
        <f t="shared" si="73"/>
        <v>79.580165806239037</v>
      </c>
      <c r="G265" s="71"/>
      <c r="H265" s="37" t="str">
        <f t="shared" si="74"/>
        <v/>
      </c>
      <c r="I265" s="77" t="str">
        <f>IF(H265="","",IF($I$8="A",(RANK(H265,H$11:H$368,1)+COUNTIF(H$11:H265,H265)-1),(RANK(H265,H$11:H$368)+COUNTIF(H$11:H265,H265)-1)))</f>
        <v/>
      </c>
      <c r="J265" s="35"/>
      <c r="K265" s="28" t="str">
        <f t="shared" si="82"/>
        <v/>
      </c>
      <c r="L265" s="36" t="str">
        <f t="shared" si="75"/>
        <v/>
      </c>
      <c r="M265" s="102" t="str">
        <f t="shared" si="83"/>
        <v/>
      </c>
      <c r="N265" s="101" t="str">
        <f t="shared" si="84"/>
        <v/>
      </c>
      <c r="O265" s="94" t="str">
        <f t="shared" si="76"/>
        <v/>
      </c>
      <c r="P265" s="94" t="str">
        <f t="shared" si="91"/>
        <v/>
      </c>
      <c r="Q265" s="94" t="str">
        <f t="shared" si="92"/>
        <v/>
      </c>
      <c r="R265" s="90" t="str">
        <f t="shared" si="93"/>
        <v/>
      </c>
      <c r="S265" s="37" t="str">
        <f t="shared" si="85"/>
        <v/>
      </c>
      <c r="T265" s="176" t="str">
        <f>IF(L265="","",VLOOKUP(L265,classifications!C:K,9,FALSE))</f>
        <v/>
      </c>
      <c r="U265" s="183" t="str">
        <f t="shared" si="77"/>
        <v/>
      </c>
      <c r="V265" s="184" t="str">
        <f>IF(U265="","",IF($I$8="A",(RANK(U265,U$11:U$368)+COUNTIF(U$11:U265,U265)-1),(RANK(U265,U$11:U$368,1)+COUNTIF(U$11:U265,U265)-1)))</f>
        <v/>
      </c>
      <c r="W265" s="185"/>
      <c r="X265" s="38" t="str">
        <f>IF(L265="","",VLOOKUP($L265,classifications!$C:$J,6,FALSE))</f>
        <v/>
      </c>
      <c r="Y265" s="26" t="str">
        <f t="shared" si="78"/>
        <v/>
      </c>
      <c r="Z265" s="34" t="str">
        <f>IF(Y265="","",IF(I$8="A",(RANK(Y265,Y$11:Y$368,1)+COUNTIF(Y$11:Y265,Y265)-1),(RANK(Y265,Y$11:Y$368)+COUNTIF(Y$11:Y265,Y265)-1)))</f>
        <v/>
      </c>
      <c r="AA265" s="188" t="str">
        <f>IF(L265="","",VLOOKUP($L265,classifications!C:I,7,FALSE))</f>
        <v/>
      </c>
      <c r="AB265" s="184" t="str">
        <f t="shared" si="86"/>
        <v/>
      </c>
      <c r="AC265" s="184" t="str">
        <f>IF(AB265="","",IF($I$8="A",(RANK(AB265,AB$11:AB$368)+COUNTIF(AB$11:AB265,AB265)-1),(RANK(AB265,AB$11:AB$368,1)+COUNTIF(AB$11:AB265,AB265)-1)))</f>
        <v/>
      </c>
      <c r="AD265" s="184"/>
      <c r="AE265" s="28" t="str">
        <f t="shared" si="96"/>
        <v/>
      </c>
      <c r="AG265" s="96"/>
      <c r="AH265" s="29"/>
      <c r="AI265" s="38" t="str">
        <f>IF(L265="","",VLOOKUP($L265,classifications!$C:$J,8,FALSE))</f>
        <v/>
      </c>
      <c r="AJ265" s="39" t="str">
        <f t="shared" si="79"/>
        <v/>
      </c>
      <c r="AK265" s="34" t="str">
        <f>IF(AJ265="","",IF(I$8="A",(RANK(AJ265,AJ$11:AJ$368,1)+COUNTIF(AJ$11:AJ265,AJ265)-1),(RANK(AJ265,AJ$11:AJ$368)+COUNTIF(AJ$11:AJ265,AJ265)-1)))</f>
        <v/>
      </c>
      <c r="AL265" s="29" t="str">
        <f t="shared" si="87"/>
        <v/>
      </c>
      <c r="AM265" s="8" t="str">
        <f t="shared" si="80"/>
        <v/>
      </c>
      <c r="AN265" s="8" t="str">
        <f t="shared" si="88"/>
        <v/>
      </c>
      <c r="AP265" s="38" t="str">
        <f>IF(L265="","",VLOOKUP($L265,classifications!$C:$E,3,FALSE))</f>
        <v/>
      </c>
      <c r="AQ265" s="39" t="str">
        <f t="shared" si="89"/>
        <v/>
      </c>
      <c r="AR265" s="34" t="str">
        <f>IF(AQ265="","",IF(I$8="A",(RANK(AQ265,AQ$11:AQ$368,1)+COUNTIF(AQ$11:AQ265,AQ265)-1),(RANK(AQ265,AQ$11:AQ$368)+COUNTIF(AQ$11:AQ265,AQ265)-1)))</f>
        <v/>
      </c>
      <c r="AS265" s="29" t="str">
        <f t="shared" si="90"/>
        <v/>
      </c>
      <c r="AT265" s="34" t="str">
        <f t="shared" si="81"/>
        <v/>
      </c>
      <c r="AU265" s="39" t="str">
        <f t="shared" si="94"/>
        <v/>
      </c>
      <c r="AX265" s="21">
        <f>HLOOKUP($AX$9&amp;$AX$10,Data!$A$1:$ZZ$2000,(MATCH($C265,Data!$A$1:$A$2000,0)),FALSE)</f>
        <v>79.580165806239037</v>
      </c>
      <c r="AY265" s="103"/>
      <c r="AZ265" s="21"/>
    </row>
    <row r="266" spans="1:52">
      <c r="A266" s="56" t="str">
        <f>$D$1&amp;256</f>
        <v>SD256</v>
      </c>
      <c r="B266" s="57">
        <f>IF(ISERROR(VLOOKUP(A266,classifications!A:C,3,FALSE)),0,VLOOKUP(A266,classifications!A:C,3,FALSE))</f>
        <v>0</v>
      </c>
      <c r="C266" s="8" t="s">
        <v>286</v>
      </c>
      <c r="D266" s="26" t="str">
        <f>VLOOKUP($C266,classifications!$C:$J,4,FALSE)</f>
        <v>UA</v>
      </c>
      <c r="E266" s="26">
        <f>VLOOKUP(C266,classifications!C:K,9,FALSE)</f>
        <v>0</v>
      </c>
      <c r="F266" s="36">
        <f t="shared" si="73"/>
        <v>69.067911415132031</v>
      </c>
      <c r="G266" s="71"/>
      <c r="H266" s="37" t="str">
        <f t="shared" si="74"/>
        <v/>
      </c>
      <c r="I266" s="77" t="str">
        <f>IF(H266="","",IF($I$8="A",(RANK(H266,H$11:H$368,1)+COUNTIF(H$11:H266,H266)-1),(RANK(H266,H$11:H$368)+COUNTIF(H$11:H266,H266)-1)))</f>
        <v/>
      </c>
      <c r="J266" s="35"/>
      <c r="K266" s="28" t="str">
        <f t="shared" si="82"/>
        <v/>
      </c>
      <c r="L266" s="36" t="str">
        <f t="shared" si="75"/>
        <v/>
      </c>
      <c r="M266" s="102" t="str">
        <f t="shared" si="83"/>
        <v/>
      </c>
      <c r="N266" s="101" t="str">
        <f t="shared" si="84"/>
        <v/>
      </c>
      <c r="O266" s="94" t="str">
        <f t="shared" si="76"/>
        <v/>
      </c>
      <c r="P266" s="94" t="str">
        <f t="shared" si="91"/>
        <v/>
      </c>
      <c r="Q266" s="94" t="str">
        <f t="shared" si="92"/>
        <v/>
      </c>
      <c r="R266" s="90" t="str">
        <f t="shared" si="93"/>
        <v/>
      </c>
      <c r="S266" s="37" t="str">
        <f t="shared" si="85"/>
        <v/>
      </c>
      <c r="T266" s="176" t="str">
        <f>IF(L266="","",VLOOKUP(L266,classifications!C:K,9,FALSE))</f>
        <v/>
      </c>
      <c r="U266" s="183" t="str">
        <f t="shared" si="77"/>
        <v/>
      </c>
      <c r="V266" s="184" t="str">
        <f>IF(U266="","",IF($I$8="A",(RANK(U266,U$11:U$368)+COUNTIF(U$11:U266,U266)-1),(RANK(U266,U$11:U$368,1)+COUNTIF(U$11:U266,U266)-1)))</f>
        <v/>
      </c>
      <c r="W266" s="185"/>
      <c r="X266" s="38" t="str">
        <f>IF(L266="","",VLOOKUP($L266,classifications!$C:$J,6,FALSE))</f>
        <v/>
      </c>
      <c r="Y266" s="26" t="str">
        <f t="shared" si="78"/>
        <v/>
      </c>
      <c r="Z266" s="34" t="str">
        <f>IF(Y266="","",IF(I$8="A",(RANK(Y266,Y$11:Y$368,1)+COUNTIF(Y$11:Y266,Y266)-1),(RANK(Y266,Y$11:Y$368)+COUNTIF(Y$11:Y266,Y266)-1)))</f>
        <v/>
      </c>
      <c r="AA266" s="188" t="str">
        <f>IF(L266="","",VLOOKUP($L266,classifications!C:I,7,FALSE))</f>
        <v/>
      </c>
      <c r="AB266" s="184" t="str">
        <f t="shared" si="86"/>
        <v/>
      </c>
      <c r="AC266" s="184" t="str">
        <f>IF(AB266="","",IF($I$8="A",(RANK(AB266,AB$11:AB$368)+COUNTIF(AB$11:AB266,AB266)-1),(RANK(AB266,AB$11:AB$368,1)+COUNTIF(AB$11:AB266,AB266)-1)))</f>
        <v/>
      </c>
      <c r="AD266" s="184"/>
      <c r="AE266" s="28" t="str">
        <f t="shared" si="96"/>
        <v/>
      </c>
      <c r="AG266" s="96"/>
      <c r="AH266" s="29"/>
      <c r="AI266" s="38" t="str">
        <f>IF(L266="","",VLOOKUP($L266,classifications!$C:$J,8,FALSE))</f>
        <v/>
      </c>
      <c r="AJ266" s="39" t="str">
        <f t="shared" si="79"/>
        <v/>
      </c>
      <c r="AK266" s="34" t="str">
        <f>IF(AJ266="","",IF(I$8="A",(RANK(AJ266,AJ$11:AJ$368,1)+COUNTIF(AJ$11:AJ266,AJ266)-1),(RANK(AJ266,AJ$11:AJ$368)+COUNTIF(AJ$11:AJ266,AJ266)-1)))</f>
        <v/>
      </c>
      <c r="AL266" s="29" t="str">
        <f t="shared" si="87"/>
        <v/>
      </c>
      <c r="AM266" s="8" t="str">
        <f t="shared" si="80"/>
        <v/>
      </c>
      <c r="AN266" s="8" t="str">
        <f t="shared" si="88"/>
        <v/>
      </c>
      <c r="AP266" s="38" t="str">
        <f>IF(L266="","",VLOOKUP($L266,classifications!$C:$E,3,FALSE))</f>
        <v/>
      </c>
      <c r="AQ266" s="39" t="str">
        <f t="shared" si="89"/>
        <v/>
      </c>
      <c r="AR266" s="34" t="str">
        <f>IF(AQ266="","",IF(I$8="A",(RANK(AQ266,AQ$11:AQ$368,1)+COUNTIF(AQ$11:AQ266,AQ266)-1),(RANK(AQ266,AQ$11:AQ$368)+COUNTIF(AQ$11:AQ266,AQ266)-1)))</f>
        <v/>
      </c>
      <c r="AS266" s="29" t="str">
        <f t="shared" si="90"/>
        <v/>
      </c>
      <c r="AT266" s="34" t="str">
        <f t="shared" si="81"/>
        <v/>
      </c>
      <c r="AU266" s="39" t="str">
        <f t="shared" si="94"/>
        <v/>
      </c>
      <c r="AX266" s="21">
        <f>HLOOKUP($AX$9&amp;$AX$10,Data!$A$1:$ZZ$2000,(MATCH($C266,Data!$A$1:$A$2000,0)),FALSE)</f>
        <v>69.067911415132031</v>
      </c>
      <c r="AY266" s="103"/>
      <c r="AZ266" s="21"/>
    </row>
    <row r="267" spans="1:52">
      <c r="A267" s="56" t="str">
        <f>$D$1&amp;257</f>
        <v>SD257</v>
      </c>
      <c r="B267" s="57">
        <f>IF(ISERROR(VLOOKUP(A267,classifications!A:C,3,FALSE)),0,VLOOKUP(A267,classifications!A:C,3,FALSE))</f>
        <v>0</v>
      </c>
      <c r="C267" s="8" t="s">
        <v>246</v>
      </c>
      <c r="D267" s="26" t="str">
        <f>VLOOKUP($C267,classifications!$C:$J,4,FALSE)</f>
        <v>MD</v>
      </c>
      <c r="E267" s="26">
        <f>VLOOKUP(C267,classifications!C:K,9,FALSE)</f>
        <v>0</v>
      </c>
      <c r="F267" s="36">
        <f t="shared" ref="F267:F330" si="97">HLOOKUP($D$6,AX$10:ZX$368,ROW()-9,FALSE)</f>
        <v>82.248427455829088</v>
      </c>
      <c r="G267" s="71"/>
      <c r="H267" s="37" t="str">
        <f t="shared" ref="H267:H330" si="98">IF(D267=$D$1,HLOOKUP($D$6,$AX$10:$ZZ$368,ROW()-9,FALSE),"")</f>
        <v/>
      </c>
      <c r="I267" s="77" t="str">
        <f>IF(H267="","",IF($I$8="A",(RANK(H267,H$11:H$368,1)+COUNTIF(H$11:H267,H267)-1),(RANK(H267,H$11:H$368)+COUNTIF(H$11:H267,H267)-1)))</f>
        <v/>
      </c>
      <c r="J267" s="35"/>
      <c r="K267" s="28" t="str">
        <f t="shared" si="82"/>
        <v/>
      </c>
      <c r="L267" s="36" t="str">
        <f t="shared" ref="L267:L330" si="99">IF(K267="","",INDEX(C$11:C$368,MATCH(K267,I$11:I$368,0)))</f>
        <v/>
      </c>
      <c r="M267" s="102" t="str">
        <f t="shared" si="83"/>
        <v/>
      </c>
      <c r="N267" s="101" t="str">
        <f t="shared" si="84"/>
        <v/>
      </c>
      <c r="O267" s="94" t="str">
        <f t="shared" ref="O267:O330" si="100">IF(I$8="A",IF(N267&gt;=$P$7,IF(N267&lt;=$O$10,N267,""),""),IF(N267&lt;=$P$7,IF(N267&gt;=$O$10,N267,""),""))</f>
        <v/>
      </c>
      <c r="P267" s="94" t="str">
        <f t="shared" si="91"/>
        <v/>
      </c>
      <c r="Q267" s="94" t="str">
        <f t="shared" si="92"/>
        <v/>
      </c>
      <c r="R267" s="90" t="str">
        <f t="shared" si="93"/>
        <v/>
      </c>
      <c r="S267" s="37" t="str">
        <f t="shared" si="85"/>
        <v/>
      </c>
      <c r="T267" s="176" t="str">
        <f>IF(L267="","",VLOOKUP(L267,classifications!C:K,9,FALSE))</f>
        <v/>
      </c>
      <c r="U267" s="183" t="str">
        <f t="shared" ref="U267:U330" si="101">IF(T267="Sparse",M267,"")</f>
        <v/>
      </c>
      <c r="V267" s="184" t="str">
        <f>IF(U267="","",IF($I$8="A",(RANK(U267,U$11:U$368)+COUNTIF(U$11:U267,U267)-1),(RANK(U267,U$11:U$368,1)+COUNTIF(U$11:U267,U267)-1)))</f>
        <v/>
      </c>
      <c r="W267" s="185"/>
      <c r="X267" s="38" t="str">
        <f>IF(L267="","",VLOOKUP($L267,classifications!$C:$J,6,FALSE))</f>
        <v/>
      </c>
      <c r="Y267" s="26" t="str">
        <f t="shared" ref="Y267:Y330" si="102">IF($D$1="UA",IF(X267="Largely Rural (rural including hub towns 50-79%) ",M267,IF(X267="Mainly Rural (rural including hub towns &gt;=80%) ",M267,IF(X267="Urban with Significant Rural (rural including hub towns 26-49%)",M267,""))),IF($D$1="SD",IF(X267=$H$3,M267,"")))</f>
        <v/>
      </c>
      <c r="Z267" s="34" t="str">
        <f>IF(Y267="","",IF(I$8="A",(RANK(Y267,Y$11:Y$368,1)+COUNTIF(Y$11:Y267,Y267)-1),(RANK(Y267,Y$11:Y$368)+COUNTIF(Y$11:Y267,Y267)-1)))</f>
        <v/>
      </c>
      <c r="AA267" s="188" t="str">
        <f>IF(L267="","",VLOOKUP($L267,classifications!C:I,7,FALSE))</f>
        <v/>
      </c>
      <c r="AB267" s="184" t="str">
        <f t="shared" si="86"/>
        <v/>
      </c>
      <c r="AC267" s="184" t="str">
        <f>IF(AB267="","",IF($I$8="A",(RANK(AB267,AB$11:AB$368)+COUNTIF(AB$11:AB267,AB267)-1),(RANK(AB267,AB$11:AB$368,1)+COUNTIF(AB$11:AB267,AB267)-1)))</f>
        <v/>
      </c>
      <c r="AD267" s="184"/>
      <c r="AE267" s="28" t="str">
        <f t="shared" si="96"/>
        <v/>
      </c>
      <c r="AG267" s="96"/>
      <c r="AH267" s="29"/>
      <c r="AI267" s="38" t="str">
        <f>IF(L267="","",VLOOKUP($L267,classifications!$C:$J,8,FALSE))</f>
        <v/>
      </c>
      <c r="AJ267" s="39" t="str">
        <f t="shared" ref="AJ267:AJ330" si="103">IF(AI267=$I$3,M267,"")</f>
        <v/>
      </c>
      <c r="AK267" s="34" t="str">
        <f>IF(AJ267="","",IF(I$8="A",(RANK(AJ267,AJ$11:AJ$368,1)+COUNTIF(AJ$11:AJ267,AJ267)-1),(RANK(AJ267,AJ$11:AJ$368)+COUNTIF(AJ$11:AJ267,AJ267)-1)))</f>
        <v/>
      </c>
      <c r="AL267" s="29" t="str">
        <f t="shared" si="87"/>
        <v/>
      </c>
      <c r="AM267" s="8" t="str">
        <f t="shared" ref="AM267:AM330" si="104">IF(ISNA(IF(AL267="","",INDEX(L$11:L$368,MATCH(AL267,AK$11:AK$368,0)))),"",(IF(AL267="","",INDEX(L$11:L$368,MATCH(AL267,AK$11:AK$368,0)))))</f>
        <v/>
      </c>
      <c r="AN267" s="8" t="str">
        <f t="shared" si="88"/>
        <v/>
      </c>
      <c r="AP267" s="38" t="str">
        <f>IF(L267="","",VLOOKUP($L267,classifications!$C:$E,3,FALSE))</f>
        <v/>
      </c>
      <c r="AQ267" s="39" t="str">
        <f t="shared" si="89"/>
        <v/>
      </c>
      <c r="AR267" s="34" t="str">
        <f>IF(AQ267="","",IF(I$8="A",(RANK(AQ267,AQ$11:AQ$368,1)+COUNTIF(AQ$11:AQ267,AQ267)-1),(RANK(AQ267,AQ$11:AQ$368)+COUNTIF(AQ$11:AQ267,AQ267)-1)))</f>
        <v/>
      </c>
      <c r="AS267" s="29" t="str">
        <f t="shared" si="90"/>
        <v/>
      </c>
      <c r="AT267" s="34" t="str">
        <f t="shared" ref="AT267:AT330" si="105">IF(AS267="","",INDEX(L$11:L$368,MATCH(AS267,AR$11:AR$368,0)))</f>
        <v/>
      </c>
      <c r="AU267" s="39" t="str">
        <f t="shared" si="94"/>
        <v/>
      </c>
      <c r="AX267" s="21">
        <f>HLOOKUP($AX$9&amp;$AX$10,Data!$A$1:$ZZ$2000,(MATCH($C267,Data!$A$1:$A$2000,0)),FALSE)</f>
        <v>82.248427455829088</v>
      </c>
      <c r="AY267" s="103"/>
      <c r="AZ267" s="21"/>
    </row>
    <row r="268" spans="1:52">
      <c r="A268" s="56" t="str">
        <f>$D$1&amp;258</f>
        <v>SD258</v>
      </c>
      <c r="B268" s="57">
        <f>IF(ISERROR(VLOOKUP(A268,classifications!A:C,3,FALSE)),0,VLOOKUP(A268,classifications!A:C,3,FALSE))</f>
        <v>0</v>
      </c>
      <c r="C268" s="8" t="s">
        <v>326</v>
      </c>
      <c r="D268" s="26" t="str">
        <f>VLOOKUP($C268,classifications!$C:$J,4,FALSE)</f>
        <v>SC</v>
      </c>
      <c r="E268" s="26">
        <f>VLOOKUP(C268,classifications!C:K,9,FALSE)</f>
        <v>0</v>
      </c>
      <c r="F268" s="36">
        <f t="shared" si="97"/>
        <v>81.691457985113715</v>
      </c>
      <c r="G268" s="71"/>
      <c r="H268" s="37" t="str">
        <f t="shared" si="98"/>
        <v/>
      </c>
      <c r="I268" s="77" t="str">
        <f>IF(H268="","",IF($I$8="A",(RANK(H268,H$11:H$368,1)+COUNTIF(H$11:H268,H268)-1),(RANK(H268,H$11:H$368)+COUNTIF(H$11:H268,H268)-1)))</f>
        <v/>
      </c>
      <c r="J268" s="35"/>
      <c r="K268" s="28" t="str">
        <f t="shared" ref="K268:K331" si="106">IF(K267="","",IF(K267+1&gt;(COUNT(H$11:H$368)),"",K267+1))</f>
        <v/>
      </c>
      <c r="L268" s="36" t="str">
        <f t="shared" si="99"/>
        <v/>
      </c>
      <c r="M268" s="102" t="str">
        <f t="shared" ref="M268:M331" si="107">IF(L268="","",IF(VLOOKUP(L268,C:D,2,FALSE)=$F$3,VLOOKUP(L268,C:H,6,FALSE),""))</f>
        <v/>
      </c>
      <c r="N268" s="101" t="str">
        <f t="shared" ref="N268:N331" si="108">IF(L268="","",IF($H$8="%%",M268*100,M268))</f>
        <v/>
      </c>
      <c r="O268" s="94" t="str">
        <f t="shared" si="100"/>
        <v/>
      </c>
      <c r="P268" s="94" t="str">
        <f t="shared" si="91"/>
        <v/>
      </c>
      <c r="Q268" s="94" t="str">
        <f t="shared" si="92"/>
        <v/>
      </c>
      <c r="R268" s="90" t="str">
        <f t="shared" si="93"/>
        <v/>
      </c>
      <c r="S268" s="37" t="str">
        <f t="shared" ref="S268:S331" si="109">IF(L268=D$3,"u","")</f>
        <v/>
      </c>
      <c r="T268" s="176" t="str">
        <f>IF(L268="","",VLOOKUP(L268,classifications!C:K,9,FALSE))</f>
        <v/>
      </c>
      <c r="U268" s="183" t="str">
        <f t="shared" si="101"/>
        <v/>
      </c>
      <c r="V268" s="184" t="str">
        <f>IF(U268="","",IF($I$8="A",(RANK(U268,U$11:U$368)+COUNTIF(U$11:U268,U268)-1),(RANK(U268,U$11:U$368,1)+COUNTIF(U$11:U268,U268)-1)))</f>
        <v/>
      </c>
      <c r="W268" s="185"/>
      <c r="X268" s="38" t="str">
        <f>IF(L268="","",VLOOKUP($L268,classifications!$C:$J,6,FALSE))</f>
        <v/>
      </c>
      <c r="Y268" s="26" t="str">
        <f t="shared" si="102"/>
        <v/>
      </c>
      <c r="Z268" s="34" t="str">
        <f>IF(Y268="","",IF(I$8="A",(RANK(Y268,Y$11:Y$368,1)+COUNTIF(Y$11:Y268,Y268)-1),(RANK(Y268,Y$11:Y$368)+COUNTIF(Y$11:Y268,Y268)-1)))</f>
        <v/>
      </c>
      <c r="AA268" s="188" t="str">
        <f>IF(L268="","",VLOOKUP($L268,classifications!C:I,7,FALSE))</f>
        <v/>
      </c>
      <c r="AB268" s="184" t="str">
        <f t="shared" ref="AB268:AB331" si="110">IF(AA268=$J$3,M268,"")</f>
        <v/>
      </c>
      <c r="AC268" s="184" t="str">
        <f>IF(AB268="","",IF($I$8="A",(RANK(AB268,AB$11:AB$368)+COUNTIF(AB$11:AB268,AB268)-1),(RANK(AB268,AB$11:AB$368,1)+COUNTIF(AB$11:AB268,AB268)-1)))</f>
        <v/>
      </c>
      <c r="AD268" s="184"/>
      <c r="AE268" s="28" t="str">
        <f t="shared" si="96"/>
        <v/>
      </c>
      <c r="AG268" s="96"/>
      <c r="AH268" s="29"/>
      <c r="AI268" s="38" t="str">
        <f>IF(L268="","",VLOOKUP($L268,classifications!$C:$J,8,FALSE))</f>
        <v/>
      </c>
      <c r="AJ268" s="39" t="str">
        <f t="shared" si="103"/>
        <v/>
      </c>
      <c r="AK268" s="34" t="str">
        <f>IF(AJ268="","",IF(I$8="A",(RANK(AJ268,AJ$11:AJ$368,1)+COUNTIF(AJ$11:AJ268,AJ268)-1),(RANK(AJ268,AJ$11:AJ$368)+COUNTIF(AJ$11:AJ268,AJ268)-1)))</f>
        <v/>
      </c>
      <c r="AL268" s="29" t="str">
        <f t="shared" ref="AL268:AL331" si="111">IF(AL267="","",IF(AL267+1&gt;(COUNT(AJ$11:AJ$368)),"",AL267+1))</f>
        <v/>
      </c>
      <c r="AM268" s="8" t="str">
        <f t="shared" si="104"/>
        <v/>
      </c>
      <c r="AN268" s="8" t="str">
        <f t="shared" ref="AN268:AN331" si="112">(VLOOKUP(AM268,L:M,2,FALSE))</f>
        <v/>
      </c>
      <c r="AP268" s="38" t="str">
        <f>IF(L268="","",VLOOKUP($L268,classifications!$C:$E,3,FALSE))</f>
        <v/>
      </c>
      <c r="AQ268" s="39" t="str">
        <f t="shared" ref="AQ268:AQ331" si="113">IF(AP268=$G$3,$M268,"")</f>
        <v/>
      </c>
      <c r="AR268" s="34" t="str">
        <f>IF(AQ268="","",IF(I$8="A",(RANK(AQ268,AQ$11:AQ$368,1)+COUNTIF(AQ$11:AQ268,AQ268)-1),(RANK(AQ268,AQ$11:AQ$368)+COUNTIF(AQ$11:AQ268,AQ268)-1)))</f>
        <v/>
      </c>
      <c r="AS268" s="29" t="str">
        <f t="shared" ref="AS268:AS331" si="114">IF(AS267="","",IF(AS267+1&gt;(COUNT(AQ$11:AQ$368)),"",AS267+1))</f>
        <v/>
      </c>
      <c r="AT268" s="34" t="str">
        <f t="shared" si="105"/>
        <v/>
      </c>
      <c r="AU268" s="39" t="str">
        <f t="shared" si="94"/>
        <v/>
      </c>
      <c r="AX268" s="21">
        <f>HLOOKUP($AX$9&amp;$AX$10,Data!$A$1:$ZZ$2000,(MATCH($C268,Data!$A$1:$A$2000,0)),FALSE)</f>
        <v>81.691457985113715</v>
      </c>
      <c r="AY268" s="103"/>
      <c r="AZ268" s="21"/>
    </row>
    <row r="269" spans="1:52">
      <c r="A269" s="56" t="str">
        <f>$D$1&amp;259</f>
        <v>SD259</v>
      </c>
      <c r="B269" s="57">
        <f>IF(ISERROR(VLOOKUP(A269,classifications!A:C,3,FALSE)),0,VLOOKUP(A269,classifications!A:C,3,FALSE))</f>
        <v>0</v>
      </c>
      <c r="C269" s="8" t="s">
        <v>909</v>
      </c>
      <c r="D269" s="26" t="str">
        <f>VLOOKUP($C269,classifications!$C:$J,4,FALSE)</f>
        <v>SD</v>
      </c>
      <c r="E269" s="26" t="str">
        <f>VLOOKUP(C269,classifications!C:K,9,FALSE)</f>
        <v>Sparse</v>
      </c>
      <c r="F269" s="36">
        <f t="shared" si="97"/>
        <v>81.265007706828655</v>
      </c>
      <c r="G269" s="71"/>
      <c r="H269" s="37">
        <f t="shared" si="98"/>
        <v>81.265007706828655</v>
      </c>
      <c r="I269" s="77">
        <f>IF(H269="","",IF($I$8="A",(RANK(H269,H$11:H$368,1)+COUNTIF(H$11:H269,H269)-1),(RANK(H269,H$11:H$368)+COUNTIF(H$11:H269,H269)-1)))</f>
        <v>91</v>
      </c>
      <c r="J269" s="35"/>
      <c r="K269" s="28" t="str">
        <f t="shared" si="106"/>
        <v/>
      </c>
      <c r="L269" s="36" t="str">
        <f t="shared" si="99"/>
        <v/>
      </c>
      <c r="M269" s="102" t="str">
        <f t="shared" si="107"/>
        <v/>
      </c>
      <c r="N269" s="101" t="str">
        <f t="shared" si="108"/>
        <v/>
      </c>
      <c r="O269" s="94" t="str">
        <f t="shared" si="100"/>
        <v/>
      </c>
      <c r="P269" s="94" t="str">
        <f t="shared" ref="P269:P332" si="115">IF(I$8="A",IF(N269&gt;$O$10,IF(N269&lt;=$P$10,N269,""),""),IF(N269&lt;$O$10,IF(N269&gt;=$P$10,N269,""),""))</f>
        <v/>
      </c>
      <c r="Q269" s="94" t="str">
        <f t="shared" ref="Q269:Q332" si="116">IF(I$8="A",IF(N269&gt;$P$10,IF(N269&lt;=$Q$10,N269,""),""),IF(N269&lt;$P$10,IF(N269&gt;=$Q$10,N269,""),""))</f>
        <v/>
      </c>
      <c r="R269" s="90" t="str">
        <f t="shared" ref="R269:R332" si="117">IF(I$8="A",IF(N269&gt;$Q$10,N269,""),IF(N269&lt;$Q$10,N269,""))</f>
        <v/>
      </c>
      <c r="S269" s="37" t="str">
        <f t="shared" si="109"/>
        <v/>
      </c>
      <c r="T269" s="176" t="str">
        <f>IF(L269="","",VLOOKUP(L269,classifications!C:K,9,FALSE))</f>
        <v/>
      </c>
      <c r="U269" s="183" t="str">
        <f t="shared" si="101"/>
        <v/>
      </c>
      <c r="V269" s="184" t="str">
        <f>IF(U269="","",IF($I$8="A",(RANK(U269,U$11:U$368)+COUNTIF(U$11:U269,U269)-1),(RANK(U269,U$11:U$368,1)+COUNTIF(U$11:U269,U269)-1)))</f>
        <v/>
      </c>
      <c r="W269" s="185"/>
      <c r="X269" s="38" t="str">
        <f>IF(L269="","",VLOOKUP($L269,classifications!$C:$J,6,FALSE))</f>
        <v/>
      </c>
      <c r="Y269" s="26" t="str">
        <f t="shared" si="102"/>
        <v/>
      </c>
      <c r="Z269" s="34" t="str">
        <f>IF(Y269="","",IF(I$8="A",(RANK(Y269,Y$11:Y$368,1)+COUNTIF(Y$11:Y269,Y269)-1),(RANK(Y269,Y$11:Y$368)+COUNTIF(Y$11:Y269,Y269)-1)))</f>
        <v/>
      </c>
      <c r="AA269" s="188" t="str">
        <f>IF(L269="","",VLOOKUP($L269,classifications!C:I,7,FALSE))</f>
        <v/>
      </c>
      <c r="AB269" s="184" t="str">
        <f t="shared" si="110"/>
        <v/>
      </c>
      <c r="AC269" s="184" t="str">
        <f>IF(AB269="","",IF($I$8="A",(RANK(AB269,AB$11:AB$368)+COUNTIF(AB$11:AB269,AB269)-1),(RANK(AB269,AB$11:AB$368,1)+COUNTIF(AB$11:AB269,AB269)-1)))</f>
        <v/>
      </c>
      <c r="AD269" s="184"/>
      <c r="AE269" s="28" t="str">
        <f t="shared" si="96"/>
        <v/>
      </c>
      <c r="AG269" s="96"/>
      <c r="AH269" s="29"/>
      <c r="AI269" s="38" t="str">
        <f>IF(L269="","",VLOOKUP($L269,classifications!$C:$J,8,FALSE))</f>
        <v/>
      </c>
      <c r="AJ269" s="39" t="str">
        <f t="shared" si="103"/>
        <v/>
      </c>
      <c r="AK269" s="34" t="str">
        <f>IF(AJ269="","",IF(I$8="A",(RANK(AJ269,AJ$11:AJ$368,1)+COUNTIF(AJ$11:AJ269,AJ269)-1),(RANK(AJ269,AJ$11:AJ$368)+COUNTIF(AJ$11:AJ269,AJ269)-1)))</f>
        <v/>
      </c>
      <c r="AL269" s="29" t="str">
        <f t="shared" si="111"/>
        <v/>
      </c>
      <c r="AM269" s="8" t="str">
        <f t="shared" si="104"/>
        <v/>
      </c>
      <c r="AN269" s="8" t="str">
        <f t="shared" si="112"/>
        <v/>
      </c>
      <c r="AP269" s="38" t="str">
        <f>IF(L269="","",VLOOKUP($L269,classifications!$C:$E,3,FALSE))</f>
        <v/>
      </c>
      <c r="AQ269" s="39" t="str">
        <f t="shared" si="113"/>
        <v/>
      </c>
      <c r="AR269" s="34" t="str">
        <f>IF(AQ269="","",IF(I$8="A",(RANK(AQ269,AQ$11:AQ$368,1)+COUNTIF(AQ$11:AQ269,AQ269)-1),(RANK(AQ269,AQ$11:AQ$368)+COUNTIF(AQ$11:AQ269,AQ269)-1)))</f>
        <v/>
      </c>
      <c r="AS269" s="29" t="str">
        <f t="shared" si="114"/>
        <v/>
      </c>
      <c r="AT269" s="34" t="str">
        <f t="shared" si="105"/>
        <v/>
      </c>
      <c r="AU269" s="39" t="str">
        <f t="shared" si="94"/>
        <v/>
      </c>
      <c r="AX269" s="21">
        <f>HLOOKUP($AX$9&amp;$AX$10,Data!$A$1:$ZZ$2000,(MATCH($C269,Data!$A$1:$A$2000,0)),FALSE)</f>
        <v>81.265007706828655</v>
      </c>
      <c r="AY269" s="103"/>
      <c r="AZ269" s="21"/>
    </row>
    <row r="270" spans="1:52">
      <c r="A270" s="56" t="str">
        <f>$D$1&amp;260</f>
        <v>SD260</v>
      </c>
      <c r="B270" s="57">
        <f>IF(ISERROR(VLOOKUP(A270,classifications!A:C,3,FALSE)),0,VLOOKUP(A270,classifications!A:C,3,FALSE))</f>
        <v>0</v>
      </c>
      <c r="C270" s="8" t="s">
        <v>137</v>
      </c>
      <c r="D270" s="26" t="str">
        <f>VLOOKUP($C270,classifications!$C:$J,4,FALSE)</f>
        <v>SD</v>
      </c>
      <c r="E270" s="26">
        <f>VLOOKUP(C270,classifications!C:K,9,FALSE)</f>
        <v>0</v>
      </c>
      <c r="F270" s="36">
        <f t="shared" si="97"/>
        <v>79.916617070522307</v>
      </c>
      <c r="G270" s="71"/>
      <c r="H270" s="37">
        <f t="shared" si="98"/>
        <v>79.916617070522307</v>
      </c>
      <c r="I270" s="77">
        <f>IF(H270="","",IF($I$8="A",(RANK(H270,H$11:H$368,1)+COUNTIF(H$11:H270,H270)-1),(RANK(H270,H$11:H$368)+COUNTIF(H$11:H270,H270)-1)))</f>
        <v>118</v>
      </c>
      <c r="J270" s="35"/>
      <c r="K270" s="28" t="str">
        <f t="shared" si="106"/>
        <v/>
      </c>
      <c r="L270" s="36" t="str">
        <f t="shared" si="99"/>
        <v/>
      </c>
      <c r="M270" s="102" t="str">
        <f t="shared" si="107"/>
        <v/>
      </c>
      <c r="N270" s="101" t="str">
        <f t="shared" si="108"/>
        <v/>
      </c>
      <c r="O270" s="94" t="str">
        <f t="shared" si="100"/>
        <v/>
      </c>
      <c r="P270" s="94" t="str">
        <f t="shared" si="115"/>
        <v/>
      </c>
      <c r="Q270" s="94" t="str">
        <f t="shared" si="116"/>
        <v/>
      </c>
      <c r="R270" s="90" t="str">
        <f t="shared" si="117"/>
        <v/>
      </c>
      <c r="S270" s="37" t="str">
        <f t="shared" si="109"/>
        <v/>
      </c>
      <c r="T270" s="176" t="str">
        <f>IF(L270="","",VLOOKUP(L270,classifications!C:K,9,FALSE))</f>
        <v/>
      </c>
      <c r="U270" s="183" t="str">
        <f t="shared" si="101"/>
        <v/>
      </c>
      <c r="V270" s="184" t="str">
        <f>IF(U270="","",IF($I$8="A",(RANK(U270,U$11:U$368)+COUNTIF(U$11:U270,U270)-1),(RANK(U270,U$11:U$368,1)+COUNTIF(U$11:U270,U270)-1)))</f>
        <v/>
      </c>
      <c r="W270" s="185"/>
      <c r="X270" s="38" t="str">
        <f>IF(L270="","",VLOOKUP($L270,classifications!$C:$J,6,FALSE))</f>
        <v/>
      </c>
      <c r="Y270" s="26" t="str">
        <f t="shared" si="102"/>
        <v/>
      </c>
      <c r="Z270" s="34" t="str">
        <f>IF(Y270="","",IF(I$8="A",(RANK(Y270,Y$11:Y$368,1)+COUNTIF(Y$11:Y270,Y270)-1),(RANK(Y270,Y$11:Y$368)+COUNTIF(Y$11:Y270,Y270)-1)))</f>
        <v/>
      </c>
      <c r="AA270" s="188" t="str">
        <f>IF(L270="","",VLOOKUP($L270,classifications!C:I,7,FALSE))</f>
        <v/>
      </c>
      <c r="AB270" s="184" t="str">
        <f t="shared" si="110"/>
        <v/>
      </c>
      <c r="AC270" s="184" t="str">
        <f>IF(AB270="","",IF($I$8="A",(RANK(AB270,AB$11:AB$368)+COUNTIF(AB$11:AB270,AB270)-1),(RANK(AB270,AB$11:AB$368,1)+COUNTIF(AB$11:AB270,AB270)-1)))</f>
        <v/>
      </c>
      <c r="AD270" s="184"/>
      <c r="AE270" s="28" t="str">
        <f t="shared" si="96"/>
        <v/>
      </c>
      <c r="AG270" s="96"/>
      <c r="AH270" s="29"/>
      <c r="AI270" s="38" t="str">
        <f>IF(L270="","",VLOOKUP($L270,classifications!$C:$J,8,FALSE))</f>
        <v/>
      </c>
      <c r="AJ270" s="39" t="str">
        <f t="shared" si="103"/>
        <v/>
      </c>
      <c r="AK270" s="34" t="str">
        <f>IF(AJ270="","",IF(I$8="A",(RANK(AJ270,AJ$11:AJ$368,1)+COUNTIF(AJ$11:AJ270,AJ270)-1),(RANK(AJ270,AJ$11:AJ$368)+COUNTIF(AJ$11:AJ270,AJ270)-1)))</f>
        <v/>
      </c>
      <c r="AL270" s="29" t="str">
        <f t="shared" si="111"/>
        <v/>
      </c>
      <c r="AM270" s="8" t="str">
        <f t="shared" si="104"/>
        <v/>
      </c>
      <c r="AN270" s="8" t="str">
        <f t="shared" si="112"/>
        <v/>
      </c>
      <c r="AP270" s="38" t="str">
        <f>IF(L270="","",VLOOKUP($L270,classifications!$C:$E,3,FALSE))</f>
        <v/>
      </c>
      <c r="AQ270" s="39" t="str">
        <f t="shared" si="113"/>
        <v/>
      </c>
      <c r="AR270" s="34" t="str">
        <f>IF(AQ270="","",IF(I$8="A",(RANK(AQ270,AQ$11:AQ$368,1)+COUNTIF(AQ$11:AQ270,AQ270)-1),(RANK(AQ270,AQ$11:AQ$368)+COUNTIF(AQ$11:AQ270,AQ270)-1)))</f>
        <v/>
      </c>
      <c r="AS270" s="29" t="str">
        <f t="shared" si="114"/>
        <v/>
      </c>
      <c r="AT270" s="34" t="str">
        <f t="shared" si="105"/>
        <v/>
      </c>
      <c r="AU270" s="39" t="str">
        <f t="shared" si="94"/>
        <v/>
      </c>
      <c r="AX270" s="21">
        <f>HLOOKUP($AX$9&amp;$AX$10,Data!$A$1:$ZZ$2000,(MATCH($C270,Data!$A$1:$A$2000,0)),FALSE)</f>
        <v>79.916617070522307</v>
      </c>
      <c r="AY270" s="103"/>
      <c r="AZ270" s="21"/>
    </row>
    <row r="271" spans="1:52">
      <c r="A271" s="56" t="str">
        <f>$D$1&amp;261</f>
        <v>SD261</v>
      </c>
      <c r="B271" s="57">
        <f>IF(ISERROR(VLOOKUP(A271,classifications!A:C,3,FALSE)),0,VLOOKUP(A271,classifications!A:C,3,FALSE))</f>
        <v>0</v>
      </c>
      <c r="C271" s="8" t="s">
        <v>138</v>
      </c>
      <c r="D271" s="26" t="str">
        <f>VLOOKUP($C271,classifications!$C:$J,4,FALSE)</f>
        <v>SD</v>
      </c>
      <c r="E271" s="26" t="str">
        <f>VLOOKUP(C271,classifications!C:K,9,FALSE)</f>
        <v>Sparse</v>
      </c>
      <c r="F271" s="36">
        <f t="shared" si="97"/>
        <v>83.032002727096341</v>
      </c>
      <c r="G271" s="71"/>
      <c r="H271" s="37">
        <f t="shared" si="98"/>
        <v>83.032002727096341</v>
      </c>
      <c r="I271" s="77">
        <f>IF(H271="","",IF($I$8="A",(RANK(H271,H$11:H$368,1)+COUNTIF(H$11:H271,H271)-1),(RANK(H271,H$11:H$368)+COUNTIF(H$11:H271,H271)-1)))</f>
        <v>58</v>
      </c>
      <c r="J271" s="35"/>
      <c r="K271" s="28" t="str">
        <f t="shared" si="106"/>
        <v/>
      </c>
      <c r="L271" s="36" t="str">
        <f t="shared" si="99"/>
        <v/>
      </c>
      <c r="M271" s="102" t="str">
        <f t="shared" si="107"/>
        <v/>
      </c>
      <c r="N271" s="101" t="str">
        <f t="shared" si="108"/>
        <v/>
      </c>
      <c r="O271" s="94" t="str">
        <f t="shared" si="100"/>
        <v/>
      </c>
      <c r="P271" s="94" t="str">
        <f t="shared" si="115"/>
        <v/>
      </c>
      <c r="Q271" s="94" t="str">
        <f t="shared" si="116"/>
        <v/>
      </c>
      <c r="R271" s="90" t="str">
        <f t="shared" si="117"/>
        <v/>
      </c>
      <c r="S271" s="37" t="str">
        <f t="shared" si="109"/>
        <v/>
      </c>
      <c r="T271" s="176" t="str">
        <f>IF(L271="","",VLOOKUP(L271,classifications!C:K,9,FALSE))</f>
        <v/>
      </c>
      <c r="U271" s="183" t="str">
        <f t="shared" si="101"/>
        <v/>
      </c>
      <c r="V271" s="184" t="str">
        <f>IF(U271="","",IF($I$8="A",(RANK(U271,U$11:U$368)+COUNTIF(U$11:U271,U271)-1),(RANK(U271,U$11:U$368,1)+COUNTIF(U$11:U271,U271)-1)))</f>
        <v/>
      </c>
      <c r="W271" s="185"/>
      <c r="X271" s="38" t="str">
        <f>IF(L271="","",VLOOKUP($L271,classifications!$C:$J,6,FALSE))</f>
        <v/>
      </c>
      <c r="Y271" s="26" t="str">
        <f t="shared" si="102"/>
        <v/>
      </c>
      <c r="Z271" s="34" t="str">
        <f>IF(Y271="","",IF(I$8="A",(RANK(Y271,Y$11:Y$368,1)+COUNTIF(Y$11:Y271,Y271)-1),(RANK(Y271,Y$11:Y$368)+COUNTIF(Y$11:Y271,Y271)-1)))</f>
        <v/>
      </c>
      <c r="AA271" s="188" t="str">
        <f>IF(L271="","",VLOOKUP($L271,classifications!C:I,7,FALSE))</f>
        <v/>
      </c>
      <c r="AB271" s="184" t="str">
        <f t="shared" si="110"/>
        <v/>
      </c>
      <c r="AC271" s="184" t="str">
        <f>IF(AB271="","",IF($I$8="A",(RANK(AB271,AB$11:AB$368)+COUNTIF(AB$11:AB271,AB271)-1),(RANK(AB271,AB$11:AB$368,1)+COUNTIF(AB$11:AB271,AB271)-1)))</f>
        <v/>
      </c>
      <c r="AD271" s="184"/>
      <c r="AE271" s="28" t="str">
        <f t="shared" si="96"/>
        <v/>
      </c>
      <c r="AG271" s="96"/>
      <c r="AH271" s="29"/>
      <c r="AI271" s="38" t="str">
        <f>IF(L271="","",VLOOKUP($L271,classifications!$C:$J,8,FALSE))</f>
        <v/>
      </c>
      <c r="AJ271" s="39" t="str">
        <f t="shared" si="103"/>
        <v/>
      </c>
      <c r="AK271" s="34" t="str">
        <f>IF(AJ271="","",IF(I$8="A",(RANK(AJ271,AJ$11:AJ$368,1)+COUNTIF(AJ$11:AJ271,AJ271)-1),(RANK(AJ271,AJ$11:AJ$368)+COUNTIF(AJ$11:AJ271,AJ271)-1)))</f>
        <v/>
      </c>
      <c r="AL271" s="29" t="str">
        <f t="shared" si="111"/>
        <v/>
      </c>
      <c r="AM271" s="8" t="str">
        <f t="shared" si="104"/>
        <v/>
      </c>
      <c r="AN271" s="8" t="str">
        <f t="shared" si="112"/>
        <v/>
      </c>
      <c r="AP271" s="38" t="str">
        <f>IF(L271="","",VLOOKUP($L271,classifications!$C:$E,3,FALSE))</f>
        <v/>
      </c>
      <c r="AQ271" s="39" t="str">
        <f t="shared" si="113"/>
        <v/>
      </c>
      <c r="AR271" s="34" t="str">
        <f>IF(AQ271="","",IF(I$8="A",(RANK(AQ271,AQ$11:AQ$368,1)+COUNTIF(AQ$11:AQ271,AQ271)-1),(RANK(AQ271,AQ$11:AQ$368)+COUNTIF(AQ$11:AQ271,AQ271)-1)))</f>
        <v/>
      </c>
      <c r="AS271" s="29" t="str">
        <f t="shared" si="114"/>
        <v/>
      </c>
      <c r="AT271" s="34" t="str">
        <f t="shared" si="105"/>
        <v/>
      </c>
      <c r="AU271" s="39" t="str">
        <f t="shared" si="94"/>
        <v/>
      </c>
      <c r="AX271" s="21">
        <f>HLOOKUP($AX$9&amp;$AX$10,Data!$A$1:$ZZ$2000,(MATCH($C271,Data!$A$1:$A$2000,0)),FALSE)</f>
        <v>83.032002727096341</v>
      </c>
      <c r="AY271" s="103"/>
      <c r="AZ271" s="21"/>
    </row>
    <row r="272" spans="1:52">
      <c r="A272" s="56" t="str">
        <f>$D$1&amp;262</f>
        <v>SD262</v>
      </c>
      <c r="B272" s="57">
        <f>IF(ISERROR(VLOOKUP(A272,classifications!A:C,3,FALSE)),0,VLOOKUP(A272,classifications!A:C,3,FALSE))</f>
        <v>0</v>
      </c>
      <c r="C272" s="8" t="s">
        <v>139</v>
      </c>
      <c r="D272" s="26" t="str">
        <f>VLOOKUP($C272,classifications!$C:$J,4,FALSE)</f>
        <v>SD</v>
      </c>
      <c r="E272" s="26" t="str">
        <f>VLOOKUP(C272,classifications!C:K,9,FALSE)</f>
        <v>Sparse</v>
      </c>
      <c r="F272" s="36">
        <f t="shared" si="97"/>
        <v>76.131408364441</v>
      </c>
      <c r="G272" s="71"/>
      <c r="H272" s="37">
        <f t="shared" si="98"/>
        <v>76.131408364441</v>
      </c>
      <c r="I272" s="77">
        <f>IF(H272="","",IF($I$8="A",(RANK(H272,H$11:H$368,1)+COUNTIF(H$11:H272,H272)-1),(RANK(H272,H$11:H$368)+COUNTIF(H$11:H272,H272)-1)))</f>
        <v>171</v>
      </c>
      <c r="J272" s="35"/>
      <c r="K272" s="28" t="str">
        <f t="shared" si="106"/>
        <v/>
      </c>
      <c r="L272" s="36" t="str">
        <f t="shared" si="99"/>
        <v/>
      </c>
      <c r="M272" s="102" t="str">
        <f t="shared" si="107"/>
        <v/>
      </c>
      <c r="N272" s="101" t="str">
        <f t="shared" si="108"/>
        <v/>
      </c>
      <c r="O272" s="94" t="str">
        <f t="shared" si="100"/>
        <v/>
      </c>
      <c r="P272" s="94" t="str">
        <f t="shared" si="115"/>
        <v/>
      </c>
      <c r="Q272" s="94" t="str">
        <f t="shared" si="116"/>
        <v/>
      </c>
      <c r="R272" s="90" t="str">
        <f t="shared" si="117"/>
        <v/>
      </c>
      <c r="S272" s="37" t="str">
        <f t="shared" si="109"/>
        <v/>
      </c>
      <c r="T272" s="176" t="str">
        <f>IF(L272="","",VLOOKUP(L272,classifications!C:K,9,FALSE))</f>
        <v/>
      </c>
      <c r="U272" s="183" t="str">
        <f t="shared" si="101"/>
        <v/>
      </c>
      <c r="V272" s="184" t="str">
        <f>IF(U272="","",IF($I$8="A",(RANK(U272,U$11:U$368)+COUNTIF(U$11:U272,U272)-1),(RANK(U272,U$11:U$368,1)+COUNTIF(U$11:U272,U272)-1)))</f>
        <v/>
      </c>
      <c r="W272" s="185"/>
      <c r="X272" s="38" t="str">
        <f>IF(L272="","",VLOOKUP($L272,classifications!$C:$J,6,FALSE))</f>
        <v/>
      </c>
      <c r="Y272" s="26" t="str">
        <f t="shared" si="102"/>
        <v/>
      </c>
      <c r="Z272" s="34" t="str">
        <f>IF(Y272="","",IF(I$8="A",(RANK(Y272,Y$11:Y$368,1)+COUNTIF(Y$11:Y272,Y272)-1),(RANK(Y272,Y$11:Y$368)+COUNTIF(Y$11:Y272,Y272)-1)))</f>
        <v/>
      </c>
      <c r="AA272" s="188" t="str">
        <f>IF(L272="","",VLOOKUP($L272,classifications!C:I,7,FALSE))</f>
        <v/>
      </c>
      <c r="AB272" s="184" t="str">
        <f t="shared" si="110"/>
        <v/>
      </c>
      <c r="AC272" s="184" t="str">
        <f>IF(AB272="","",IF($I$8="A",(RANK(AB272,AB$11:AB$368)+COUNTIF(AB$11:AB272,AB272)-1),(RANK(AB272,AB$11:AB$368,1)+COUNTIF(AB$11:AB272,AB272)-1)))</f>
        <v/>
      </c>
      <c r="AD272" s="184"/>
      <c r="AE272" s="28" t="str">
        <f t="shared" si="96"/>
        <v/>
      </c>
      <c r="AG272" s="96"/>
      <c r="AH272" s="29"/>
      <c r="AI272" s="38" t="str">
        <f>IF(L272="","",VLOOKUP($L272,classifications!$C:$J,8,FALSE))</f>
        <v/>
      </c>
      <c r="AJ272" s="39" t="str">
        <f t="shared" si="103"/>
        <v/>
      </c>
      <c r="AK272" s="34" t="str">
        <f>IF(AJ272="","",IF(I$8="A",(RANK(AJ272,AJ$11:AJ$368,1)+COUNTIF(AJ$11:AJ272,AJ272)-1),(RANK(AJ272,AJ$11:AJ$368)+COUNTIF(AJ$11:AJ272,AJ272)-1)))</f>
        <v/>
      </c>
      <c r="AL272" s="29" t="str">
        <f t="shared" si="111"/>
        <v/>
      </c>
      <c r="AM272" s="8" t="str">
        <f t="shared" si="104"/>
        <v/>
      </c>
      <c r="AN272" s="8" t="str">
        <f t="shared" si="112"/>
        <v/>
      </c>
      <c r="AP272" s="38" t="str">
        <f>IF(L272="","",VLOOKUP($L272,classifications!$C:$E,3,FALSE))</f>
        <v/>
      </c>
      <c r="AQ272" s="39" t="str">
        <f t="shared" si="113"/>
        <v/>
      </c>
      <c r="AR272" s="34" t="str">
        <f>IF(AQ272="","",IF(I$8="A",(RANK(AQ272,AQ$11:AQ$368,1)+COUNTIF(AQ$11:AQ272,AQ272)-1),(RANK(AQ272,AQ$11:AQ$368)+COUNTIF(AQ$11:AQ272,AQ272)-1)))</f>
        <v/>
      </c>
      <c r="AS272" s="29" t="str">
        <f t="shared" si="114"/>
        <v/>
      </c>
      <c r="AT272" s="34" t="str">
        <f t="shared" si="105"/>
        <v/>
      </c>
      <c r="AU272" s="39" t="str">
        <f t="shared" si="94"/>
        <v/>
      </c>
      <c r="AX272" s="21">
        <f>HLOOKUP($AX$9&amp;$AX$10,Data!$A$1:$ZZ$2000,(MATCH($C272,Data!$A$1:$A$2000,0)),FALSE)</f>
        <v>76.131408364441</v>
      </c>
      <c r="AY272" s="103"/>
      <c r="AZ272" s="21"/>
    </row>
    <row r="273" spans="1:52">
      <c r="A273" s="56" t="str">
        <f>$D$1&amp;263</f>
        <v>SD263</v>
      </c>
      <c r="B273" s="57">
        <f>IF(ISERROR(VLOOKUP(A273,classifications!A:C,3,FALSE)),0,VLOOKUP(A273,classifications!A:C,3,FALSE))</f>
        <v>0</v>
      </c>
      <c r="C273" s="8" t="s">
        <v>287</v>
      </c>
      <c r="D273" s="26" t="str">
        <f>VLOOKUP($C273,classifications!$C:$J,4,FALSE)</f>
        <v>UA</v>
      </c>
      <c r="E273" s="26">
        <f>VLOOKUP(C273,classifications!C:K,9,FALSE)</f>
        <v>0</v>
      </c>
      <c r="F273" s="36">
        <f t="shared" si="97"/>
        <v>82.128644560485213</v>
      </c>
      <c r="G273" s="71"/>
      <c r="H273" s="37" t="str">
        <f t="shared" si="98"/>
        <v/>
      </c>
      <c r="I273" s="77" t="str">
        <f>IF(H273="","",IF($I$8="A",(RANK(H273,H$11:H$368,1)+COUNTIF(H$11:H273,H273)-1),(RANK(H273,H$11:H$368)+COUNTIF(H$11:H273,H273)-1)))</f>
        <v/>
      </c>
      <c r="J273" s="35"/>
      <c r="K273" s="28" t="str">
        <f t="shared" si="106"/>
        <v/>
      </c>
      <c r="L273" s="36" t="str">
        <f t="shared" si="99"/>
        <v/>
      </c>
      <c r="M273" s="102" t="str">
        <f t="shared" si="107"/>
        <v/>
      </c>
      <c r="N273" s="101" t="str">
        <f t="shared" si="108"/>
        <v/>
      </c>
      <c r="O273" s="94" t="str">
        <f t="shared" si="100"/>
        <v/>
      </c>
      <c r="P273" s="94" t="str">
        <f t="shared" si="115"/>
        <v/>
      </c>
      <c r="Q273" s="94" t="str">
        <f t="shared" si="116"/>
        <v/>
      </c>
      <c r="R273" s="90" t="str">
        <f t="shared" si="117"/>
        <v/>
      </c>
      <c r="S273" s="37" t="str">
        <f t="shared" si="109"/>
        <v/>
      </c>
      <c r="T273" s="176" t="str">
        <f>IF(L273="","",VLOOKUP(L273,classifications!C:K,9,FALSE))</f>
        <v/>
      </c>
      <c r="U273" s="183" t="str">
        <f t="shared" si="101"/>
        <v/>
      </c>
      <c r="V273" s="184" t="str">
        <f>IF(U273="","",IF($I$8="A",(RANK(U273,U$11:U$368)+COUNTIF(U$11:U273,U273)-1),(RANK(U273,U$11:U$368,1)+COUNTIF(U$11:U273,U273)-1)))</f>
        <v/>
      </c>
      <c r="W273" s="185"/>
      <c r="X273" s="38" t="str">
        <f>IF(L273="","",VLOOKUP($L273,classifications!$C:$J,6,FALSE))</f>
        <v/>
      </c>
      <c r="Y273" s="26" t="str">
        <f t="shared" si="102"/>
        <v/>
      </c>
      <c r="Z273" s="34" t="str">
        <f>IF(Y273="","",IF(I$8="A",(RANK(Y273,Y$11:Y$368,1)+COUNTIF(Y$11:Y273,Y273)-1),(RANK(Y273,Y$11:Y$368)+COUNTIF(Y$11:Y273,Y273)-1)))</f>
        <v/>
      </c>
      <c r="AA273" s="188" t="str">
        <f>IF(L273="","",VLOOKUP($L273,classifications!C:I,7,FALSE))</f>
        <v/>
      </c>
      <c r="AB273" s="184" t="str">
        <f t="shared" si="110"/>
        <v/>
      </c>
      <c r="AC273" s="184" t="str">
        <f>IF(AB273="","",IF($I$8="A",(RANK(AB273,AB$11:AB$368)+COUNTIF(AB$11:AB273,AB273)-1),(RANK(AB273,AB$11:AB$368,1)+COUNTIF(AB$11:AB273,AB273)-1)))</f>
        <v/>
      </c>
      <c r="AD273" s="184"/>
      <c r="AE273" s="28" t="str">
        <f t="shared" si="96"/>
        <v/>
      </c>
      <c r="AG273" s="96"/>
      <c r="AH273" s="29"/>
      <c r="AI273" s="38" t="str">
        <f>IF(L273="","",VLOOKUP($L273,classifications!$C:$J,8,FALSE))</f>
        <v/>
      </c>
      <c r="AJ273" s="39" t="str">
        <f t="shared" si="103"/>
        <v/>
      </c>
      <c r="AK273" s="34" t="str">
        <f>IF(AJ273="","",IF(I$8="A",(RANK(AJ273,AJ$11:AJ$368,1)+COUNTIF(AJ$11:AJ273,AJ273)-1),(RANK(AJ273,AJ$11:AJ$368)+COUNTIF(AJ$11:AJ273,AJ273)-1)))</f>
        <v/>
      </c>
      <c r="AL273" s="29" t="str">
        <f t="shared" si="111"/>
        <v/>
      </c>
      <c r="AM273" s="8" t="str">
        <f t="shared" si="104"/>
        <v/>
      </c>
      <c r="AN273" s="8" t="str">
        <f t="shared" si="112"/>
        <v/>
      </c>
      <c r="AP273" s="38" t="str">
        <f>IF(L273="","",VLOOKUP($L273,classifications!$C:$E,3,FALSE))</f>
        <v/>
      </c>
      <c r="AQ273" s="39" t="str">
        <f t="shared" si="113"/>
        <v/>
      </c>
      <c r="AR273" s="34" t="str">
        <f>IF(AQ273="","",IF(I$8="A",(RANK(AQ273,AQ$11:AQ$368,1)+COUNTIF(AQ$11:AQ273,AQ273)-1),(RANK(AQ273,AQ$11:AQ$368)+COUNTIF(AQ$11:AQ273,AQ273)-1)))</f>
        <v/>
      </c>
      <c r="AS273" s="29" t="str">
        <f t="shared" si="114"/>
        <v/>
      </c>
      <c r="AT273" s="34" t="str">
        <f t="shared" si="105"/>
        <v/>
      </c>
      <c r="AU273" s="39" t="str">
        <f t="shared" si="94"/>
        <v/>
      </c>
      <c r="AX273" s="21">
        <f>HLOOKUP($AX$9&amp;$AX$10,Data!$A$1:$ZZ$2000,(MATCH($C273,Data!$A$1:$A$2000,0)),FALSE)</f>
        <v>82.128644560485213</v>
      </c>
      <c r="AY273" s="103"/>
      <c r="AZ273" s="21"/>
    </row>
    <row r="274" spans="1:52">
      <c r="A274" s="56" t="str">
        <f>$D$1&amp;264</f>
        <v>SD264</v>
      </c>
      <c r="B274" s="57">
        <f>IF(ISERROR(VLOOKUP(A274,classifications!A:C,3,FALSE)),0,VLOOKUP(A274,classifications!A:C,3,FALSE))</f>
        <v>0</v>
      </c>
      <c r="C274" s="8" t="s">
        <v>140</v>
      </c>
      <c r="D274" s="26" t="str">
        <f>VLOOKUP($C274,classifications!$C:$J,4,FALSE)</f>
        <v>SD</v>
      </c>
      <c r="E274" s="26" t="str">
        <f>VLOOKUP(C274,classifications!C:K,9,FALSE)</f>
        <v>Sparse</v>
      </c>
      <c r="F274" s="36">
        <f t="shared" si="97"/>
        <v>87.125749547120805</v>
      </c>
      <c r="G274" s="71"/>
      <c r="H274" s="37">
        <f t="shared" si="98"/>
        <v>87.125749547120805</v>
      </c>
      <c r="I274" s="77">
        <f>IF(H274="","",IF($I$8="A",(RANK(H274,H$11:H$368,1)+COUNTIF(H$11:H274,H274)-1),(RANK(H274,H$11:H$368)+COUNTIF(H$11:H274,H274)-1)))</f>
        <v>5</v>
      </c>
      <c r="J274" s="35"/>
      <c r="K274" s="28" t="str">
        <f t="shared" si="106"/>
        <v/>
      </c>
      <c r="L274" s="36" t="str">
        <f t="shared" si="99"/>
        <v/>
      </c>
      <c r="M274" s="102" t="str">
        <f t="shared" si="107"/>
        <v/>
      </c>
      <c r="N274" s="101" t="str">
        <f t="shared" si="108"/>
        <v/>
      </c>
      <c r="O274" s="94" t="str">
        <f t="shared" si="100"/>
        <v/>
      </c>
      <c r="P274" s="94" t="str">
        <f t="shared" si="115"/>
        <v/>
      </c>
      <c r="Q274" s="94" t="str">
        <f t="shared" si="116"/>
        <v/>
      </c>
      <c r="R274" s="90" t="str">
        <f t="shared" si="117"/>
        <v/>
      </c>
      <c r="S274" s="37" t="str">
        <f t="shared" si="109"/>
        <v/>
      </c>
      <c r="T274" s="176" t="str">
        <f>IF(L274="","",VLOOKUP(L274,classifications!C:K,9,FALSE))</f>
        <v/>
      </c>
      <c r="U274" s="183" t="str">
        <f t="shared" si="101"/>
        <v/>
      </c>
      <c r="V274" s="184" t="str">
        <f>IF(U274="","",IF($I$8="A",(RANK(U274,U$11:U$368)+COUNTIF(U$11:U274,U274)-1),(RANK(U274,U$11:U$368,1)+COUNTIF(U$11:U274,U274)-1)))</f>
        <v/>
      </c>
      <c r="W274" s="185"/>
      <c r="X274" s="38" t="str">
        <f>IF(L274="","",VLOOKUP($L274,classifications!$C:$J,6,FALSE))</f>
        <v/>
      </c>
      <c r="Y274" s="26" t="str">
        <f t="shared" si="102"/>
        <v/>
      </c>
      <c r="Z274" s="34" t="str">
        <f>IF(Y274="","",IF(I$8="A",(RANK(Y274,Y$11:Y$368,1)+COUNTIF(Y$11:Y274,Y274)-1),(RANK(Y274,Y$11:Y$368)+COUNTIF(Y$11:Y274,Y274)-1)))</f>
        <v/>
      </c>
      <c r="AA274" s="188" t="str">
        <f>IF(L274="","",VLOOKUP($L274,classifications!C:I,7,FALSE))</f>
        <v/>
      </c>
      <c r="AB274" s="184" t="str">
        <f t="shared" si="110"/>
        <v/>
      </c>
      <c r="AC274" s="184" t="str">
        <f>IF(AB274="","",IF($I$8="A",(RANK(AB274,AB$11:AB$368)+COUNTIF(AB$11:AB274,AB274)-1),(RANK(AB274,AB$11:AB$368,1)+COUNTIF(AB$11:AB274,AB274)-1)))</f>
        <v/>
      </c>
      <c r="AD274" s="184"/>
      <c r="AE274" s="28" t="str">
        <f t="shared" si="96"/>
        <v/>
      </c>
      <c r="AG274" s="96"/>
      <c r="AH274" s="29"/>
      <c r="AI274" s="38" t="str">
        <f>IF(L274="","",VLOOKUP($L274,classifications!$C:$J,8,FALSE))</f>
        <v/>
      </c>
      <c r="AJ274" s="39" t="str">
        <f t="shared" si="103"/>
        <v/>
      </c>
      <c r="AK274" s="34" t="str">
        <f>IF(AJ274="","",IF(I$8="A",(RANK(AJ274,AJ$11:AJ$368,1)+COUNTIF(AJ$11:AJ274,AJ274)-1),(RANK(AJ274,AJ$11:AJ$368)+COUNTIF(AJ$11:AJ274,AJ274)-1)))</f>
        <v/>
      </c>
      <c r="AL274" s="29" t="str">
        <f t="shared" si="111"/>
        <v/>
      </c>
      <c r="AM274" s="8" t="str">
        <f t="shared" si="104"/>
        <v/>
      </c>
      <c r="AN274" s="8" t="str">
        <f t="shared" si="112"/>
        <v/>
      </c>
      <c r="AP274" s="38" t="str">
        <f>IF(L274="","",VLOOKUP($L274,classifications!$C:$E,3,FALSE))</f>
        <v/>
      </c>
      <c r="AQ274" s="39" t="str">
        <f t="shared" si="113"/>
        <v/>
      </c>
      <c r="AR274" s="34" t="str">
        <f>IF(AQ274="","",IF(I$8="A",(RANK(AQ274,AQ$11:AQ$368,1)+COUNTIF(AQ$11:AQ274,AQ274)-1),(RANK(AQ274,AQ$11:AQ$368)+COUNTIF(AQ$11:AQ274,AQ274)-1)))</f>
        <v/>
      </c>
      <c r="AS274" s="29" t="str">
        <f t="shared" si="114"/>
        <v/>
      </c>
      <c r="AT274" s="34" t="str">
        <f t="shared" si="105"/>
        <v/>
      </c>
      <c r="AU274" s="39" t="str">
        <f t="shared" ref="AU274:AU337" si="118">IF(AT274="","",VLOOKUP(AT274,L:M,2,FALSE))</f>
        <v/>
      </c>
      <c r="AX274" s="21">
        <f>HLOOKUP($AX$9&amp;$AX$10,Data!$A$1:$ZZ$2000,(MATCH($C274,Data!$A$1:$A$2000,0)),FALSE)</f>
        <v>87.125749547120805</v>
      </c>
      <c r="AY274" s="103"/>
      <c r="AZ274" s="21"/>
    </row>
    <row r="275" spans="1:52">
      <c r="A275" s="56" t="str">
        <f>$D$1&amp;265</f>
        <v>SD265</v>
      </c>
      <c r="B275" s="57">
        <f>IF(ISERROR(VLOOKUP(A275,classifications!A:C,3,FALSE)),0,VLOOKUP(A275,classifications!A:C,3,FALSE))</f>
        <v>0</v>
      </c>
      <c r="C275" s="8" t="s">
        <v>141</v>
      </c>
      <c r="D275" s="26" t="str">
        <f>VLOOKUP($C275,classifications!$C:$J,4,FALSE)</f>
        <v>SD</v>
      </c>
      <c r="E275" s="26" t="str">
        <f>VLOOKUP(C275,classifications!C:K,9,FALSE)</f>
        <v>Sparse</v>
      </c>
      <c r="F275" s="36">
        <f t="shared" si="97"/>
        <v>71.690616979243487</v>
      </c>
      <c r="G275" s="71"/>
      <c r="H275" s="37">
        <f t="shared" si="98"/>
        <v>71.690616979243487</v>
      </c>
      <c r="I275" s="77">
        <f>IF(H275="","",IF($I$8="A",(RANK(H275,H$11:H$368,1)+COUNTIF(H$11:H275,H275)-1),(RANK(H275,H$11:H$368)+COUNTIF(H$11:H275,H275)-1)))</f>
        <v>190</v>
      </c>
      <c r="J275" s="35"/>
      <c r="K275" s="28" t="str">
        <f t="shared" si="106"/>
        <v/>
      </c>
      <c r="L275" s="36" t="str">
        <f t="shared" si="99"/>
        <v/>
      </c>
      <c r="M275" s="102" t="str">
        <f t="shared" si="107"/>
        <v/>
      </c>
      <c r="N275" s="101" t="str">
        <f t="shared" si="108"/>
        <v/>
      </c>
      <c r="O275" s="94" t="str">
        <f t="shared" si="100"/>
        <v/>
      </c>
      <c r="P275" s="94" t="str">
        <f t="shared" si="115"/>
        <v/>
      </c>
      <c r="Q275" s="94" t="str">
        <f t="shared" si="116"/>
        <v/>
      </c>
      <c r="R275" s="90" t="str">
        <f t="shared" si="117"/>
        <v/>
      </c>
      <c r="S275" s="37" t="str">
        <f t="shared" si="109"/>
        <v/>
      </c>
      <c r="T275" s="176" t="str">
        <f>IF(L275="","",VLOOKUP(L275,classifications!C:K,9,FALSE))</f>
        <v/>
      </c>
      <c r="U275" s="183" t="str">
        <f t="shared" si="101"/>
        <v/>
      </c>
      <c r="V275" s="184" t="str">
        <f>IF(U275="","",IF($I$8="A",(RANK(U275,U$11:U$368)+COUNTIF(U$11:U275,U275)-1),(RANK(U275,U$11:U$368,1)+COUNTIF(U$11:U275,U275)-1)))</f>
        <v/>
      </c>
      <c r="W275" s="185"/>
      <c r="X275" s="38" t="str">
        <f>IF(L275="","",VLOOKUP($L275,classifications!$C:$J,6,FALSE))</f>
        <v/>
      </c>
      <c r="Y275" s="26" t="str">
        <f t="shared" si="102"/>
        <v/>
      </c>
      <c r="Z275" s="34" t="str">
        <f>IF(Y275="","",IF(I$8="A",(RANK(Y275,Y$11:Y$368,1)+COUNTIF(Y$11:Y275,Y275)-1),(RANK(Y275,Y$11:Y$368)+COUNTIF(Y$11:Y275,Y275)-1)))</f>
        <v/>
      </c>
      <c r="AA275" s="188" t="str">
        <f>IF(L275="","",VLOOKUP($L275,classifications!C:I,7,FALSE))</f>
        <v/>
      </c>
      <c r="AB275" s="184" t="str">
        <f t="shared" si="110"/>
        <v/>
      </c>
      <c r="AC275" s="184" t="str">
        <f>IF(AB275="","",IF($I$8="A",(RANK(AB275,AB$11:AB$368)+COUNTIF(AB$11:AB275,AB275)-1),(RANK(AB275,AB$11:AB$368,1)+COUNTIF(AB$11:AB275,AB275)-1)))</f>
        <v/>
      </c>
      <c r="AD275" s="184"/>
      <c r="AE275" s="28" t="str">
        <f t="shared" si="96"/>
        <v/>
      </c>
      <c r="AG275" s="96"/>
      <c r="AH275" s="29"/>
      <c r="AI275" s="38" t="str">
        <f>IF(L275="","",VLOOKUP($L275,classifications!$C:$J,8,FALSE))</f>
        <v/>
      </c>
      <c r="AJ275" s="39" t="str">
        <f t="shared" si="103"/>
        <v/>
      </c>
      <c r="AK275" s="34" t="str">
        <f>IF(AJ275="","",IF(I$8="A",(RANK(AJ275,AJ$11:AJ$368,1)+COUNTIF(AJ$11:AJ275,AJ275)-1),(RANK(AJ275,AJ$11:AJ$368)+COUNTIF(AJ$11:AJ275,AJ275)-1)))</f>
        <v/>
      </c>
      <c r="AL275" s="29" t="str">
        <f t="shared" si="111"/>
        <v/>
      </c>
      <c r="AM275" s="8" t="str">
        <f t="shared" si="104"/>
        <v/>
      </c>
      <c r="AN275" s="8" t="str">
        <f t="shared" si="112"/>
        <v/>
      </c>
      <c r="AP275" s="38" t="str">
        <f>IF(L275="","",VLOOKUP($L275,classifications!$C:$E,3,FALSE))</f>
        <v/>
      </c>
      <c r="AQ275" s="39" t="str">
        <f t="shared" si="113"/>
        <v/>
      </c>
      <c r="AR275" s="34" t="str">
        <f>IF(AQ275="","",IF(I$8="A",(RANK(AQ275,AQ$11:AQ$368,1)+COUNTIF(AQ$11:AQ275,AQ275)-1),(RANK(AQ275,AQ$11:AQ$368)+COUNTIF(AQ$11:AQ275,AQ275)-1)))</f>
        <v/>
      </c>
      <c r="AS275" s="29" t="str">
        <f t="shared" si="114"/>
        <v/>
      </c>
      <c r="AT275" s="34" t="str">
        <f t="shared" si="105"/>
        <v/>
      </c>
      <c r="AU275" s="39" t="str">
        <f t="shared" si="118"/>
        <v/>
      </c>
      <c r="AX275" s="21">
        <f>HLOOKUP($AX$9&amp;$AX$10,Data!$A$1:$ZZ$2000,(MATCH($C275,Data!$A$1:$A$2000,0)),FALSE)</f>
        <v>71.690616979243487</v>
      </c>
      <c r="AY275" s="103"/>
      <c r="AZ275" s="21"/>
    </row>
    <row r="276" spans="1:52">
      <c r="A276" s="56" t="str">
        <f>$D$1&amp;266</f>
        <v>SD266</v>
      </c>
      <c r="B276" s="57">
        <f>IF(ISERROR(VLOOKUP(A276,classifications!A:C,3,FALSE)),0,VLOOKUP(A276,classifications!A:C,3,FALSE))</f>
        <v>0</v>
      </c>
      <c r="C276" s="8" t="s">
        <v>142</v>
      </c>
      <c r="D276" s="26" t="str">
        <f>VLOOKUP($C276,classifications!$C:$J,4,FALSE)</f>
        <v>SD</v>
      </c>
      <c r="E276" s="26" t="str">
        <f>VLOOKUP(C276,classifications!C:K,9,FALSE)</f>
        <v>Sparse</v>
      </c>
      <c r="F276" s="36">
        <f t="shared" si="97"/>
        <v>75.281586388392768</v>
      </c>
      <c r="G276" s="71"/>
      <c r="H276" s="37">
        <f t="shared" si="98"/>
        <v>75.281586388392768</v>
      </c>
      <c r="I276" s="77">
        <f>IF(H276="","",IF($I$8="A",(RANK(H276,H$11:H$368,1)+COUNTIF(H$11:H276,H276)-1),(RANK(H276,H$11:H$368)+COUNTIF(H$11:H276,H276)-1)))</f>
        <v>174</v>
      </c>
      <c r="J276" s="35"/>
      <c r="K276" s="28" t="str">
        <f t="shared" si="106"/>
        <v/>
      </c>
      <c r="L276" s="36" t="str">
        <f t="shared" si="99"/>
        <v/>
      </c>
      <c r="M276" s="102" t="str">
        <f t="shared" si="107"/>
        <v/>
      </c>
      <c r="N276" s="101" t="str">
        <f t="shared" si="108"/>
        <v/>
      </c>
      <c r="O276" s="94" t="str">
        <f t="shared" si="100"/>
        <v/>
      </c>
      <c r="P276" s="94" t="str">
        <f t="shared" si="115"/>
        <v/>
      </c>
      <c r="Q276" s="94" t="str">
        <f t="shared" si="116"/>
        <v/>
      </c>
      <c r="R276" s="90" t="str">
        <f t="shared" si="117"/>
        <v/>
      </c>
      <c r="S276" s="37" t="str">
        <f t="shared" si="109"/>
        <v/>
      </c>
      <c r="T276" s="176" t="str">
        <f>IF(L276="","",VLOOKUP(L276,classifications!C:K,9,FALSE))</f>
        <v/>
      </c>
      <c r="U276" s="183" t="str">
        <f t="shared" si="101"/>
        <v/>
      </c>
      <c r="V276" s="184" t="str">
        <f>IF(U276="","",IF($I$8="A",(RANK(U276,U$11:U$368)+COUNTIF(U$11:U276,U276)-1),(RANK(U276,U$11:U$368,1)+COUNTIF(U$11:U276,U276)-1)))</f>
        <v/>
      </c>
      <c r="W276" s="185"/>
      <c r="X276" s="38" t="str">
        <f>IF(L276="","",VLOOKUP($L276,classifications!$C:$J,6,FALSE))</f>
        <v/>
      </c>
      <c r="Y276" s="26" t="str">
        <f t="shared" si="102"/>
        <v/>
      </c>
      <c r="Z276" s="34" t="str">
        <f>IF(Y276="","",IF(I$8="A",(RANK(Y276,Y$11:Y$368,1)+COUNTIF(Y$11:Y276,Y276)-1),(RANK(Y276,Y$11:Y$368)+COUNTIF(Y$11:Y276,Y276)-1)))</f>
        <v/>
      </c>
      <c r="AA276" s="188" t="str">
        <f>IF(L276="","",VLOOKUP($L276,classifications!C:I,7,FALSE))</f>
        <v/>
      </c>
      <c r="AB276" s="184" t="str">
        <f t="shared" si="110"/>
        <v/>
      </c>
      <c r="AC276" s="184" t="str">
        <f>IF(AB276="","",IF($I$8="A",(RANK(AB276,AB$11:AB$368)+COUNTIF(AB$11:AB276,AB276)-1),(RANK(AB276,AB$11:AB$368,1)+COUNTIF(AB$11:AB276,AB276)-1)))</f>
        <v/>
      </c>
      <c r="AD276" s="184"/>
      <c r="AE276" s="28" t="str">
        <f t="shared" si="96"/>
        <v/>
      </c>
      <c r="AG276" s="96"/>
      <c r="AH276" s="29"/>
      <c r="AI276" s="38" t="str">
        <f>IF(L276="","",VLOOKUP($L276,classifications!$C:$J,8,FALSE))</f>
        <v/>
      </c>
      <c r="AJ276" s="39" t="str">
        <f t="shared" si="103"/>
        <v/>
      </c>
      <c r="AK276" s="34" t="str">
        <f>IF(AJ276="","",IF(I$8="A",(RANK(AJ276,AJ$11:AJ$368,1)+COUNTIF(AJ$11:AJ276,AJ276)-1),(RANK(AJ276,AJ$11:AJ$368)+COUNTIF(AJ$11:AJ276,AJ276)-1)))</f>
        <v/>
      </c>
      <c r="AL276" s="29" t="str">
        <f t="shared" si="111"/>
        <v/>
      </c>
      <c r="AM276" s="8" t="str">
        <f t="shared" si="104"/>
        <v/>
      </c>
      <c r="AN276" s="8" t="str">
        <f t="shared" si="112"/>
        <v/>
      </c>
      <c r="AP276" s="38" t="str">
        <f>IF(L276="","",VLOOKUP($L276,classifications!$C:$E,3,FALSE))</f>
        <v/>
      </c>
      <c r="AQ276" s="39" t="str">
        <f t="shared" si="113"/>
        <v/>
      </c>
      <c r="AR276" s="34" t="str">
        <f>IF(AQ276="","",IF(I$8="A",(RANK(AQ276,AQ$11:AQ$368,1)+COUNTIF(AQ$11:AQ276,AQ276)-1),(RANK(AQ276,AQ$11:AQ$368)+COUNTIF(AQ$11:AQ276,AQ276)-1)))</f>
        <v/>
      </c>
      <c r="AS276" s="29" t="str">
        <f t="shared" si="114"/>
        <v/>
      </c>
      <c r="AT276" s="34" t="str">
        <f t="shared" si="105"/>
        <v/>
      </c>
      <c r="AU276" s="39" t="str">
        <f t="shared" si="118"/>
        <v/>
      </c>
      <c r="AX276" s="21">
        <f>HLOOKUP($AX$9&amp;$AX$10,Data!$A$1:$ZZ$2000,(MATCH($C276,Data!$A$1:$A$2000,0)),FALSE)</f>
        <v>75.281586388392768</v>
      </c>
      <c r="AY276" s="103"/>
      <c r="AZ276" s="21"/>
    </row>
    <row r="277" spans="1:52">
      <c r="A277" s="56" t="str">
        <f>$D$1&amp;267</f>
        <v>SD267</v>
      </c>
      <c r="B277" s="57">
        <f>IF(ISERROR(VLOOKUP(A277,classifications!A:C,3,FALSE)),0,VLOOKUP(A277,classifications!A:C,3,FALSE))</f>
        <v>0</v>
      </c>
      <c r="C277" s="8" t="s">
        <v>143</v>
      </c>
      <c r="D277" s="26" t="str">
        <f>VLOOKUP($C277,classifications!$C:$J,4,FALSE)</f>
        <v>SD</v>
      </c>
      <c r="E277" s="26" t="str">
        <f>VLOOKUP(C277,classifications!C:K,9,FALSE)</f>
        <v>Sparse</v>
      </c>
      <c r="F277" s="36">
        <f t="shared" si="97"/>
        <v>84.820275705397847</v>
      </c>
      <c r="G277" s="71"/>
      <c r="H277" s="37">
        <f t="shared" si="98"/>
        <v>84.820275705397847</v>
      </c>
      <c r="I277" s="77">
        <f>IF(H277="","",IF($I$8="A",(RANK(H277,H$11:H$368,1)+COUNTIF(H$11:H277,H277)-1),(RANK(H277,H$11:H$368)+COUNTIF(H$11:H277,H277)-1)))</f>
        <v>35</v>
      </c>
      <c r="J277" s="35"/>
      <c r="K277" s="28" t="str">
        <f t="shared" si="106"/>
        <v/>
      </c>
      <c r="L277" s="36" t="str">
        <f t="shared" si="99"/>
        <v/>
      </c>
      <c r="M277" s="102" t="str">
        <f t="shared" si="107"/>
        <v/>
      </c>
      <c r="N277" s="101" t="str">
        <f t="shared" si="108"/>
        <v/>
      </c>
      <c r="O277" s="94" t="str">
        <f t="shared" si="100"/>
        <v/>
      </c>
      <c r="P277" s="94" t="str">
        <f t="shared" si="115"/>
        <v/>
      </c>
      <c r="Q277" s="94" t="str">
        <f t="shared" si="116"/>
        <v/>
      </c>
      <c r="R277" s="90" t="str">
        <f t="shared" si="117"/>
        <v/>
      </c>
      <c r="S277" s="37" t="str">
        <f t="shared" si="109"/>
        <v/>
      </c>
      <c r="T277" s="176" t="str">
        <f>IF(L277="","",VLOOKUP(L277,classifications!C:K,9,FALSE))</f>
        <v/>
      </c>
      <c r="U277" s="183" t="str">
        <f t="shared" si="101"/>
        <v/>
      </c>
      <c r="V277" s="184" t="str">
        <f>IF(U277="","",IF($I$8="A",(RANK(U277,U$11:U$368)+COUNTIF(U$11:U277,U277)-1),(RANK(U277,U$11:U$368,1)+COUNTIF(U$11:U277,U277)-1)))</f>
        <v/>
      </c>
      <c r="W277" s="185"/>
      <c r="X277" s="38" t="str">
        <f>IF(L277="","",VLOOKUP($L277,classifications!$C:$J,6,FALSE))</f>
        <v/>
      </c>
      <c r="Y277" s="26" t="str">
        <f t="shared" si="102"/>
        <v/>
      </c>
      <c r="Z277" s="34" t="str">
        <f>IF(Y277="","",IF(I$8="A",(RANK(Y277,Y$11:Y$368,1)+COUNTIF(Y$11:Y277,Y277)-1),(RANK(Y277,Y$11:Y$368)+COUNTIF(Y$11:Y277,Y277)-1)))</f>
        <v/>
      </c>
      <c r="AA277" s="188" t="str">
        <f>IF(L277="","",VLOOKUP($L277,classifications!C:I,7,FALSE))</f>
        <v/>
      </c>
      <c r="AB277" s="184" t="str">
        <f t="shared" si="110"/>
        <v/>
      </c>
      <c r="AC277" s="184" t="str">
        <f>IF(AB277="","",IF($I$8="A",(RANK(AB277,AB$11:AB$368)+COUNTIF(AB$11:AB277,AB277)-1),(RANK(AB277,AB$11:AB$368,1)+COUNTIF(AB$11:AB277,AB277)-1)))</f>
        <v/>
      </c>
      <c r="AD277" s="184"/>
      <c r="AE277" s="28" t="str">
        <f t="shared" si="96"/>
        <v/>
      </c>
      <c r="AG277" s="96"/>
      <c r="AH277" s="29"/>
      <c r="AI277" s="38" t="str">
        <f>IF(L277="","",VLOOKUP($L277,classifications!$C:$J,8,FALSE))</f>
        <v/>
      </c>
      <c r="AJ277" s="39" t="str">
        <f t="shared" si="103"/>
        <v/>
      </c>
      <c r="AK277" s="34" t="str">
        <f>IF(AJ277="","",IF(I$8="A",(RANK(AJ277,AJ$11:AJ$368,1)+COUNTIF(AJ$11:AJ277,AJ277)-1),(RANK(AJ277,AJ$11:AJ$368)+COUNTIF(AJ$11:AJ277,AJ277)-1)))</f>
        <v/>
      </c>
      <c r="AL277" s="29" t="str">
        <f t="shared" si="111"/>
        <v/>
      </c>
      <c r="AM277" s="8" t="str">
        <f t="shared" si="104"/>
        <v/>
      </c>
      <c r="AN277" s="8" t="str">
        <f t="shared" si="112"/>
        <v/>
      </c>
      <c r="AP277" s="38" t="str">
        <f>IF(L277="","",VLOOKUP($L277,classifications!$C:$E,3,FALSE))</f>
        <v/>
      </c>
      <c r="AQ277" s="39" t="str">
        <f t="shared" si="113"/>
        <v/>
      </c>
      <c r="AR277" s="34" t="str">
        <f>IF(AQ277="","",IF(I$8="A",(RANK(AQ277,AQ$11:AQ$368,1)+COUNTIF(AQ$11:AQ277,AQ277)-1),(RANK(AQ277,AQ$11:AQ$368)+COUNTIF(AQ$11:AQ277,AQ277)-1)))</f>
        <v/>
      </c>
      <c r="AS277" s="29" t="str">
        <f t="shared" si="114"/>
        <v/>
      </c>
      <c r="AT277" s="34" t="str">
        <f t="shared" si="105"/>
        <v/>
      </c>
      <c r="AU277" s="39" t="str">
        <f t="shared" si="118"/>
        <v/>
      </c>
      <c r="AX277" s="21">
        <f>HLOOKUP($AX$9&amp;$AX$10,Data!$A$1:$ZZ$2000,(MATCH($C277,Data!$A$1:$A$2000,0)),FALSE)</f>
        <v>84.820275705397847</v>
      </c>
      <c r="AY277" s="103"/>
      <c r="AZ277" s="21"/>
    </row>
    <row r="278" spans="1:52">
      <c r="A278" s="56" t="str">
        <f>$D$1&amp;268</f>
        <v>SD268</v>
      </c>
      <c r="B278" s="57">
        <f>IF(ISERROR(VLOOKUP(A278,classifications!A:C,3,FALSE)),0,VLOOKUP(A278,classifications!A:C,3,FALSE))</f>
        <v>0</v>
      </c>
      <c r="C278" s="8" t="s">
        <v>144</v>
      </c>
      <c r="D278" s="26" t="str">
        <f>VLOOKUP($C278,classifications!$C:$J,4,FALSE)</f>
        <v>SD</v>
      </c>
      <c r="E278" s="26" t="str">
        <f>VLOOKUP(C278,classifications!C:K,9,FALSE)</f>
        <v>Sparse</v>
      </c>
      <c r="F278" s="36">
        <f t="shared" si="97"/>
        <v>81.740853917601498</v>
      </c>
      <c r="G278" s="71"/>
      <c r="H278" s="37">
        <f t="shared" si="98"/>
        <v>81.740853917601498</v>
      </c>
      <c r="I278" s="77">
        <f>IF(H278="","",IF($I$8="A",(RANK(H278,H$11:H$368,1)+COUNTIF(H$11:H278,H278)-1),(RANK(H278,H$11:H$368)+COUNTIF(H$11:H278,H278)-1)))</f>
        <v>85</v>
      </c>
      <c r="J278" s="35"/>
      <c r="K278" s="28" t="str">
        <f t="shared" si="106"/>
        <v/>
      </c>
      <c r="L278" s="36" t="str">
        <f t="shared" si="99"/>
        <v/>
      </c>
      <c r="M278" s="102" t="str">
        <f t="shared" si="107"/>
        <v/>
      </c>
      <c r="N278" s="101" t="str">
        <f t="shared" si="108"/>
        <v/>
      </c>
      <c r="O278" s="94" t="str">
        <f t="shared" si="100"/>
        <v/>
      </c>
      <c r="P278" s="94" t="str">
        <f t="shared" si="115"/>
        <v/>
      </c>
      <c r="Q278" s="94" t="str">
        <f t="shared" si="116"/>
        <v/>
      </c>
      <c r="R278" s="90" t="str">
        <f t="shared" si="117"/>
        <v/>
      </c>
      <c r="S278" s="37" t="str">
        <f t="shared" si="109"/>
        <v/>
      </c>
      <c r="T278" s="176" t="str">
        <f>IF(L278="","",VLOOKUP(L278,classifications!C:K,9,FALSE))</f>
        <v/>
      </c>
      <c r="U278" s="183" t="str">
        <f t="shared" si="101"/>
        <v/>
      </c>
      <c r="V278" s="184" t="str">
        <f>IF(U278="","",IF($I$8="A",(RANK(U278,U$11:U$368)+COUNTIF(U$11:U278,U278)-1),(RANK(U278,U$11:U$368,1)+COUNTIF(U$11:U278,U278)-1)))</f>
        <v/>
      </c>
      <c r="W278" s="185"/>
      <c r="X278" s="38" t="str">
        <f>IF(L278="","",VLOOKUP($L278,classifications!$C:$J,6,FALSE))</f>
        <v/>
      </c>
      <c r="Y278" s="26" t="str">
        <f t="shared" si="102"/>
        <v/>
      </c>
      <c r="Z278" s="34" t="str">
        <f>IF(Y278="","",IF(I$8="A",(RANK(Y278,Y$11:Y$368,1)+COUNTIF(Y$11:Y278,Y278)-1),(RANK(Y278,Y$11:Y$368)+COUNTIF(Y$11:Y278,Y278)-1)))</f>
        <v/>
      </c>
      <c r="AA278" s="188" t="str">
        <f>IF(L278="","",VLOOKUP($L278,classifications!C:I,7,FALSE))</f>
        <v/>
      </c>
      <c r="AB278" s="184" t="str">
        <f t="shared" si="110"/>
        <v/>
      </c>
      <c r="AC278" s="184" t="str">
        <f>IF(AB278="","",IF($I$8="A",(RANK(AB278,AB$11:AB$368)+COUNTIF(AB$11:AB278,AB278)-1),(RANK(AB278,AB$11:AB$368,1)+COUNTIF(AB$11:AB278,AB278)-1)))</f>
        <v/>
      </c>
      <c r="AD278" s="184"/>
      <c r="AE278" s="28" t="str">
        <f t="shared" si="96"/>
        <v/>
      </c>
      <c r="AG278" s="96"/>
      <c r="AH278" s="29"/>
      <c r="AI278" s="38" t="str">
        <f>IF(L278="","",VLOOKUP($L278,classifications!$C:$J,8,FALSE))</f>
        <v/>
      </c>
      <c r="AJ278" s="39" t="str">
        <f t="shared" si="103"/>
        <v/>
      </c>
      <c r="AK278" s="34" t="str">
        <f>IF(AJ278="","",IF(I$8="A",(RANK(AJ278,AJ$11:AJ$368,1)+COUNTIF(AJ$11:AJ278,AJ278)-1),(RANK(AJ278,AJ$11:AJ$368)+COUNTIF(AJ$11:AJ278,AJ278)-1)))</f>
        <v/>
      </c>
      <c r="AL278" s="29" t="str">
        <f t="shared" si="111"/>
        <v/>
      </c>
      <c r="AM278" s="8" t="str">
        <f t="shared" si="104"/>
        <v/>
      </c>
      <c r="AN278" s="8" t="str">
        <f t="shared" si="112"/>
        <v/>
      </c>
      <c r="AP278" s="38" t="str">
        <f>IF(L278="","",VLOOKUP($L278,classifications!$C:$E,3,FALSE))</f>
        <v/>
      </c>
      <c r="AQ278" s="39" t="str">
        <f t="shared" si="113"/>
        <v/>
      </c>
      <c r="AR278" s="34" t="str">
        <f>IF(AQ278="","",IF(I$8="A",(RANK(AQ278,AQ$11:AQ$368,1)+COUNTIF(AQ$11:AQ278,AQ278)-1),(RANK(AQ278,AQ$11:AQ$368)+COUNTIF(AQ$11:AQ278,AQ278)-1)))</f>
        <v/>
      </c>
      <c r="AS278" s="29" t="str">
        <f t="shared" si="114"/>
        <v/>
      </c>
      <c r="AT278" s="34" t="str">
        <f t="shared" si="105"/>
        <v/>
      </c>
      <c r="AU278" s="39" t="str">
        <f t="shared" si="118"/>
        <v/>
      </c>
      <c r="AX278" s="21">
        <f>HLOOKUP($AX$9&amp;$AX$10,Data!$A$1:$ZZ$2000,(MATCH($C278,Data!$A$1:$A$2000,0)),FALSE)</f>
        <v>81.740853917601498</v>
      </c>
      <c r="AY278" s="103"/>
      <c r="AZ278" s="21"/>
    </row>
    <row r="279" spans="1:52">
      <c r="A279" s="56" t="str">
        <f>$D$1&amp;269</f>
        <v>SD269</v>
      </c>
      <c r="B279" s="57">
        <f>IF(ISERROR(VLOOKUP(A279,classifications!A:C,3,FALSE)),0,VLOOKUP(A279,classifications!A:C,3,FALSE))</f>
        <v>0</v>
      </c>
      <c r="C279" s="8" t="s">
        <v>145</v>
      </c>
      <c r="D279" s="26" t="str">
        <f>VLOOKUP($C279,classifications!$C:$J,4,FALSE)</f>
        <v>SD</v>
      </c>
      <c r="E279" s="26" t="str">
        <f>VLOOKUP(C279,classifications!C:K,9,FALSE)</f>
        <v>Sparse</v>
      </c>
      <c r="F279" s="36">
        <f t="shared" si="97"/>
        <v>83.476919786746151</v>
      </c>
      <c r="G279" s="71"/>
      <c r="H279" s="37">
        <f t="shared" si="98"/>
        <v>83.476919786746151</v>
      </c>
      <c r="I279" s="77">
        <f>IF(H279="","",IF($I$8="A",(RANK(H279,H$11:H$368,1)+COUNTIF(H$11:H279,H279)-1),(RANK(H279,H$11:H$368)+COUNTIF(H$11:H279,H279)-1)))</f>
        <v>50</v>
      </c>
      <c r="J279" s="35"/>
      <c r="K279" s="28" t="str">
        <f t="shared" si="106"/>
        <v/>
      </c>
      <c r="L279" s="36" t="str">
        <f t="shared" si="99"/>
        <v/>
      </c>
      <c r="M279" s="102" t="str">
        <f t="shared" si="107"/>
        <v/>
      </c>
      <c r="N279" s="101" t="str">
        <f t="shared" si="108"/>
        <v/>
      </c>
      <c r="O279" s="94" t="str">
        <f t="shared" si="100"/>
        <v/>
      </c>
      <c r="P279" s="94" t="str">
        <f t="shared" si="115"/>
        <v/>
      </c>
      <c r="Q279" s="94" t="str">
        <f t="shared" si="116"/>
        <v/>
      </c>
      <c r="R279" s="90" t="str">
        <f t="shared" si="117"/>
        <v/>
      </c>
      <c r="S279" s="37" t="str">
        <f t="shared" si="109"/>
        <v/>
      </c>
      <c r="T279" s="176" t="str">
        <f>IF(L279="","",VLOOKUP(L279,classifications!C:K,9,FALSE))</f>
        <v/>
      </c>
      <c r="U279" s="183" t="str">
        <f t="shared" si="101"/>
        <v/>
      </c>
      <c r="V279" s="184" t="str">
        <f>IF(U279="","",IF($I$8="A",(RANK(U279,U$11:U$368)+COUNTIF(U$11:U279,U279)-1),(RANK(U279,U$11:U$368,1)+COUNTIF(U$11:U279,U279)-1)))</f>
        <v/>
      </c>
      <c r="W279" s="185"/>
      <c r="X279" s="38" t="str">
        <f>IF(L279="","",VLOOKUP($L279,classifications!$C:$J,6,FALSE))</f>
        <v/>
      </c>
      <c r="Y279" s="26" t="str">
        <f t="shared" si="102"/>
        <v/>
      </c>
      <c r="Z279" s="34" t="str">
        <f>IF(Y279="","",IF(I$8="A",(RANK(Y279,Y$11:Y$368,1)+COUNTIF(Y$11:Y279,Y279)-1),(RANK(Y279,Y$11:Y$368)+COUNTIF(Y$11:Y279,Y279)-1)))</f>
        <v/>
      </c>
      <c r="AA279" s="188" t="str">
        <f>IF(L279="","",VLOOKUP($L279,classifications!C:I,7,FALSE))</f>
        <v/>
      </c>
      <c r="AB279" s="184" t="str">
        <f t="shared" si="110"/>
        <v/>
      </c>
      <c r="AC279" s="184" t="str">
        <f>IF(AB279="","",IF($I$8="A",(RANK(AB279,AB$11:AB$368)+COUNTIF(AB$11:AB279,AB279)-1),(RANK(AB279,AB$11:AB$368,1)+COUNTIF(AB$11:AB279,AB279)-1)))</f>
        <v/>
      </c>
      <c r="AD279" s="184"/>
      <c r="AE279" s="28" t="str">
        <f t="shared" si="96"/>
        <v/>
      </c>
      <c r="AG279" s="96"/>
      <c r="AH279" s="29"/>
      <c r="AI279" s="38" t="str">
        <f>IF(L279="","",VLOOKUP($L279,classifications!$C:$J,8,FALSE))</f>
        <v/>
      </c>
      <c r="AJ279" s="39" t="str">
        <f t="shared" si="103"/>
        <v/>
      </c>
      <c r="AK279" s="34" t="str">
        <f>IF(AJ279="","",IF(I$8="A",(RANK(AJ279,AJ$11:AJ$368,1)+COUNTIF(AJ$11:AJ279,AJ279)-1),(RANK(AJ279,AJ$11:AJ$368)+COUNTIF(AJ$11:AJ279,AJ279)-1)))</f>
        <v/>
      </c>
      <c r="AL279" s="29" t="str">
        <f t="shared" si="111"/>
        <v/>
      </c>
      <c r="AM279" s="8" t="str">
        <f t="shared" si="104"/>
        <v/>
      </c>
      <c r="AN279" s="8" t="str">
        <f t="shared" si="112"/>
        <v/>
      </c>
      <c r="AP279" s="38" t="str">
        <f>IF(L279="","",VLOOKUP($L279,classifications!$C:$E,3,FALSE))</f>
        <v/>
      </c>
      <c r="AQ279" s="39" t="str">
        <f t="shared" si="113"/>
        <v/>
      </c>
      <c r="AR279" s="34" t="str">
        <f>IF(AQ279="","",IF(I$8="A",(RANK(AQ279,AQ$11:AQ$368,1)+COUNTIF(AQ$11:AQ279,AQ279)-1),(RANK(AQ279,AQ$11:AQ$368)+COUNTIF(AQ$11:AQ279,AQ279)-1)))</f>
        <v/>
      </c>
      <c r="AS279" s="29" t="str">
        <f t="shared" si="114"/>
        <v/>
      </c>
      <c r="AT279" s="34" t="str">
        <f t="shared" si="105"/>
        <v/>
      </c>
      <c r="AU279" s="39" t="str">
        <f t="shared" si="118"/>
        <v/>
      </c>
      <c r="AX279" s="21">
        <f>HLOOKUP($AX$9&amp;$AX$10,Data!$A$1:$ZZ$2000,(MATCH($C279,Data!$A$1:$A$2000,0)),FALSE)</f>
        <v>83.476919786746151</v>
      </c>
      <c r="AY279" s="103"/>
      <c r="AZ279" s="21"/>
    </row>
    <row r="280" spans="1:52">
      <c r="A280" s="56" t="str">
        <f>$D$1&amp;270</f>
        <v>SD270</v>
      </c>
      <c r="B280" s="57">
        <f>IF(ISERROR(VLOOKUP(A280,classifications!A:C,3,FALSE)),0,VLOOKUP(A280,classifications!A:C,3,FALSE))</f>
        <v>0</v>
      </c>
      <c r="C280" s="8" t="s">
        <v>146</v>
      </c>
      <c r="D280" s="26" t="str">
        <f>VLOOKUP($C280,classifications!$C:$J,4,FALSE)</f>
        <v>SD</v>
      </c>
      <c r="E280" s="26" t="str">
        <f>VLOOKUP(C280,classifications!C:K,9,FALSE)</f>
        <v>Sparse</v>
      </c>
      <c r="F280" s="36">
        <f t="shared" si="97"/>
        <v>86.042324820859747</v>
      </c>
      <c r="G280" s="71"/>
      <c r="H280" s="37">
        <f t="shared" si="98"/>
        <v>86.042324820859747</v>
      </c>
      <c r="I280" s="77">
        <f>IF(H280="","",IF($I$8="A",(RANK(H280,H$11:H$368,1)+COUNTIF(H$11:H280,H280)-1),(RANK(H280,H$11:H$368)+COUNTIF(H$11:H280,H280)-1)))</f>
        <v>18</v>
      </c>
      <c r="J280" s="35"/>
      <c r="K280" s="28" t="str">
        <f t="shared" si="106"/>
        <v/>
      </c>
      <c r="L280" s="36" t="str">
        <f t="shared" si="99"/>
        <v/>
      </c>
      <c r="M280" s="102" t="str">
        <f t="shared" si="107"/>
        <v/>
      </c>
      <c r="N280" s="101" t="str">
        <f t="shared" si="108"/>
        <v/>
      </c>
      <c r="O280" s="94" t="str">
        <f t="shared" si="100"/>
        <v/>
      </c>
      <c r="P280" s="94" t="str">
        <f t="shared" si="115"/>
        <v/>
      </c>
      <c r="Q280" s="94" t="str">
        <f t="shared" si="116"/>
        <v/>
      </c>
      <c r="R280" s="90" t="str">
        <f t="shared" si="117"/>
        <v/>
      </c>
      <c r="S280" s="37" t="str">
        <f t="shared" si="109"/>
        <v/>
      </c>
      <c r="T280" s="176" t="str">
        <f>IF(L280="","",VLOOKUP(L280,classifications!C:K,9,FALSE))</f>
        <v/>
      </c>
      <c r="U280" s="183" t="str">
        <f t="shared" si="101"/>
        <v/>
      </c>
      <c r="V280" s="184" t="str">
        <f>IF(U280="","",IF($I$8="A",(RANK(U280,U$11:U$368)+COUNTIF(U$11:U280,U280)-1),(RANK(U280,U$11:U$368,1)+COUNTIF(U$11:U280,U280)-1)))</f>
        <v/>
      </c>
      <c r="W280" s="185"/>
      <c r="X280" s="38" t="str">
        <f>IF(L280="","",VLOOKUP($L280,classifications!$C:$J,6,FALSE))</f>
        <v/>
      </c>
      <c r="Y280" s="26" t="str">
        <f t="shared" si="102"/>
        <v/>
      </c>
      <c r="Z280" s="34" t="str">
        <f>IF(Y280="","",IF(I$8="A",(RANK(Y280,Y$11:Y$368,1)+COUNTIF(Y$11:Y280,Y280)-1),(RANK(Y280,Y$11:Y$368)+COUNTIF(Y$11:Y280,Y280)-1)))</f>
        <v/>
      </c>
      <c r="AA280" s="188" t="str">
        <f>IF(L280="","",VLOOKUP($L280,classifications!C:I,7,FALSE))</f>
        <v/>
      </c>
      <c r="AB280" s="184" t="str">
        <f t="shared" si="110"/>
        <v/>
      </c>
      <c r="AC280" s="184" t="str">
        <f>IF(AB280="","",IF($I$8="A",(RANK(AB280,AB$11:AB$368)+COUNTIF(AB$11:AB280,AB280)-1),(RANK(AB280,AB$11:AB$368,1)+COUNTIF(AB$11:AB280,AB280)-1)))</f>
        <v/>
      </c>
      <c r="AD280" s="184"/>
      <c r="AE280" s="28" t="str">
        <f t="shared" si="96"/>
        <v/>
      </c>
      <c r="AG280" s="96"/>
      <c r="AH280" s="29"/>
      <c r="AI280" s="38" t="str">
        <f>IF(L280="","",VLOOKUP($L280,classifications!$C:$J,8,FALSE))</f>
        <v/>
      </c>
      <c r="AJ280" s="39" t="str">
        <f t="shared" si="103"/>
        <v/>
      </c>
      <c r="AK280" s="34" t="str">
        <f>IF(AJ280="","",IF(I$8="A",(RANK(AJ280,AJ$11:AJ$368,1)+COUNTIF(AJ$11:AJ280,AJ280)-1),(RANK(AJ280,AJ$11:AJ$368)+COUNTIF(AJ$11:AJ280,AJ280)-1)))</f>
        <v/>
      </c>
      <c r="AL280" s="29" t="str">
        <f t="shared" si="111"/>
        <v/>
      </c>
      <c r="AM280" s="8" t="str">
        <f t="shared" si="104"/>
        <v/>
      </c>
      <c r="AN280" s="8" t="str">
        <f t="shared" si="112"/>
        <v/>
      </c>
      <c r="AP280" s="38" t="str">
        <f>IF(L280="","",VLOOKUP($L280,classifications!$C:$E,3,FALSE))</f>
        <v/>
      </c>
      <c r="AQ280" s="39" t="str">
        <f t="shared" si="113"/>
        <v/>
      </c>
      <c r="AR280" s="34" t="str">
        <f>IF(AQ280="","",IF(I$8="A",(RANK(AQ280,AQ$11:AQ$368,1)+COUNTIF(AQ$11:AQ280,AQ280)-1),(RANK(AQ280,AQ$11:AQ$368)+COUNTIF(AQ$11:AQ280,AQ280)-1)))</f>
        <v/>
      </c>
      <c r="AS280" s="29" t="str">
        <f t="shared" si="114"/>
        <v/>
      </c>
      <c r="AT280" s="34" t="str">
        <f t="shared" si="105"/>
        <v/>
      </c>
      <c r="AU280" s="39" t="str">
        <f t="shared" si="118"/>
        <v/>
      </c>
      <c r="AX280" s="21">
        <f>HLOOKUP($AX$9&amp;$AX$10,Data!$A$1:$ZZ$2000,(MATCH($C280,Data!$A$1:$A$2000,0)),FALSE)</f>
        <v>86.042324820859747</v>
      </c>
      <c r="AY280" s="103"/>
      <c r="AZ280" s="21"/>
    </row>
    <row r="281" spans="1:52">
      <c r="A281" s="56" t="str">
        <f>$D$1&amp;271</f>
        <v>SD271</v>
      </c>
      <c r="B281" s="57">
        <f>IF(ISERROR(VLOOKUP(A281,classifications!A:C,3,FALSE)),0,VLOOKUP(A281,classifications!A:C,3,FALSE))</f>
        <v>0</v>
      </c>
      <c r="C281" s="8" t="s">
        <v>147</v>
      </c>
      <c r="D281" s="26" t="str">
        <f>VLOOKUP($C281,classifications!$C:$J,4,FALSE)</f>
        <v>SD</v>
      </c>
      <c r="E281" s="26">
        <f>VLOOKUP(C281,classifications!C:K,9,FALSE)</f>
        <v>0</v>
      </c>
      <c r="F281" s="36">
        <f t="shared" si="97"/>
        <v>81.405018315126512</v>
      </c>
      <c r="G281" s="71"/>
      <c r="H281" s="37">
        <f t="shared" si="98"/>
        <v>81.405018315126512</v>
      </c>
      <c r="I281" s="77">
        <f>IF(H281="","",IF($I$8="A",(RANK(H281,H$11:H$368,1)+COUNTIF(H$11:H281,H281)-1),(RANK(H281,H$11:H$368)+COUNTIF(H$11:H281,H281)-1)))</f>
        <v>89</v>
      </c>
      <c r="J281" s="35"/>
      <c r="K281" s="28" t="str">
        <f t="shared" si="106"/>
        <v/>
      </c>
      <c r="L281" s="36" t="str">
        <f t="shared" si="99"/>
        <v/>
      </c>
      <c r="M281" s="102" t="str">
        <f t="shared" si="107"/>
        <v/>
      </c>
      <c r="N281" s="101" t="str">
        <f t="shared" si="108"/>
        <v/>
      </c>
      <c r="O281" s="94" t="str">
        <f t="shared" si="100"/>
        <v/>
      </c>
      <c r="P281" s="94" t="str">
        <f t="shared" si="115"/>
        <v/>
      </c>
      <c r="Q281" s="94" t="str">
        <f t="shared" si="116"/>
        <v/>
      </c>
      <c r="R281" s="90" t="str">
        <f t="shared" si="117"/>
        <v/>
      </c>
      <c r="S281" s="37" t="str">
        <f t="shared" si="109"/>
        <v/>
      </c>
      <c r="T281" s="176" t="str">
        <f>IF(L281="","",VLOOKUP(L281,classifications!C:K,9,FALSE))</f>
        <v/>
      </c>
      <c r="U281" s="183" t="str">
        <f t="shared" si="101"/>
        <v/>
      </c>
      <c r="V281" s="184" t="str">
        <f>IF(U281="","",IF($I$8="A",(RANK(U281,U$11:U$368)+COUNTIF(U$11:U281,U281)-1),(RANK(U281,U$11:U$368,1)+COUNTIF(U$11:U281,U281)-1)))</f>
        <v/>
      </c>
      <c r="W281" s="185"/>
      <c r="X281" s="38" t="str">
        <f>IF(L281="","",VLOOKUP($L281,classifications!$C:$J,6,FALSE))</f>
        <v/>
      </c>
      <c r="Y281" s="26" t="str">
        <f t="shared" si="102"/>
        <v/>
      </c>
      <c r="Z281" s="34" t="str">
        <f>IF(Y281="","",IF(I$8="A",(RANK(Y281,Y$11:Y$368,1)+COUNTIF(Y$11:Y281,Y281)-1),(RANK(Y281,Y$11:Y$368)+COUNTIF(Y$11:Y281,Y281)-1)))</f>
        <v/>
      </c>
      <c r="AA281" s="188" t="str">
        <f>IF(L281="","",VLOOKUP($L281,classifications!C:I,7,FALSE))</f>
        <v/>
      </c>
      <c r="AB281" s="184" t="str">
        <f t="shared" si="110"/>
        <v/>
      </c>
      <c r="AC281" s="184" t="str">
        <f>IF(AB281="","",IF($I$8="A",(RANK(AB281,AB$11:AB$368)+COUNTIF(AB$11:AB281,AB281)-1),(RANK(AB281,AB$11:AB$368,1)+COUNTIF(AB$11:AB281,AB281)-1)))</f>
        <v/>
      </c>
      <c r="AD281" s="184"/>
      <c r="AE281" s="28" t="str">
        <f t="shared" si="96"/>
        <v/>
      </c>
      <c r="AG281" s="96"/>
      <c r="AH281" s="29"/>
      <c r="AI281" s="38" t="str">
        <f>IF(L281="","",VLOOKUP($L281,classifications!$C:$J,8,FALSE))</f>
        <v/>
      </c>
      <c r="AJ281" s="39" t="str">
        <f t="shared" si="103"/>
        <v/>
      </c>
      <c r="AK281" s="34" t="str">
        <f>IF(AJ281="","",IF(I$8="A",(RANK(AJ281,AJ$11:AJ$368,1)+COUNTIF(AJ$11:AJ281,AJ281)-1),(RANK(AJ281,AJ$11:AJ$368)+COUNTIF(AJ$11:AJ281,AJ281)-1)))</f>
        <v/>
      </c>
      <c r="AL281" s="29" t="str">
        <f t="shared" si="111"/>
        <v/>
      </c>
      <c r="AM281" s="8" t="str">
        <f t="shared" si="104"/>
        <v/>
      </c>
      <c r="AN281" s="8" t="str">
        <f t="shared" si="112"/>
        <v/>
      </c>
      <c r="AP281" s="38" t="str">
        <f>IF(L281="","",VLOOKUP($L281,classifications!$C:$E,3,FALSE))</f>
        <v/>
      </c>
      <c r="AQ281" s="39" t="str">
        <f t="shared" si="113"/>
        <v/>
      </c>
      <c r="AR281" s="34" t="str">
        <f>IF(AQ281="","",IF(I$8="A",(RANK(AQ281,AQ$11:AQ$368,1)+COUNTIF(AQ$11:AQ281,AQ281)-1),(RANK(AQ281,AQ$11:AQ$368)+COUNTIF(AQ$11:AQ281,AQ281)-1)))</f>
        <v/>
      </c>
      <c r="AS281" s="29" t="str">
        <f t="shared" si="114"/>
        <v/>
      </c>
      <c r="AT281" s="34" t="str">
        <f t="shared" si="105"/>
        <v/>
      </c>
      <c r="AU281" s="39" t="str">
        <f t="shared" si="118"/>
        <v/>
      </c>
      <c r="AX281" s="21">
        <f>HLOOKUP($AX$9&amp;$AX$10,Data!$A$1:$ZZ$2000,(MATCH($C281,Data!$A$1:$A$2000,0)),FALSE)</f>
        <v>81.405018315126512</v>
      </c>
      <c r="AY281" s="103"/>
      <c r="AZ281" s="21"/>
    </row>
    <row r="282" spans="1:52">
      <c r="A282" s="56" t="str">
        <f>$D$1&amp;272</f>
        <v>SD272</v>
      </c>
      <c r="B282" s="57">
        <f>IF(ISERROR(VLOOKUP(A282,classifications!A:C,3,FALSE)),0,VLOOKUP(A282,classifications!A:C,3,FALSE))</f>
        <v>0</v>
      </c>
      <c r="C282" s="8" t="s">
        <v>148</v>
      </c>
      <c r="D282" s="26" t="str">
        <f>VLOOKUP($C282,classifications!$C:$J,4,FALSE)</f>
        <v>SD</v>
      </c>
      <c r="E282" s="26" t="str">
        <f>VLOOKUP(C282,classifications!C:K,9,FALSE)</f>
        <v>Sparse</v>
      </c>
      <c r="F282" s="36">
        <f t="shared" si="97"/>
        <v>81.794245862792948</v>
      </c>
      <c r="G282" s="71"/>
      <c r="H282" s="37">
        <f t="shared" si="98"/>
        <v>81.794245862792948</v>
      </c>
      <c r="I282" s="77">
        <f>IF(H282="","",IF($I$8="A",(RANK(H282,H$11:H$368,1)+COUNTIF(H$11:H282,H282)-1),(RANK(H282,H$11:H$368)+COUNTIF(H$11:H282,H282)-1)))</f>
        <v>83</v>
      </c>
      <c r="J282" s="35"/>
      <c r="K282" s="28" t="str">
        <f t="shared" si="106"/>
        <v/>
      </c>
      <c r="L282" s="36" t="str">
        <f t="shared" si="99"/>
        <v/>
      </c>
      <c r="M282" s="102" t="str">
        <f t="shared" si="107"/>
        <v/>
      </c>
      <c r="N282" s="101" t="str">
        <f t="shared" si="108"/>
        <v/>
      </c>
      <c r="O282" s="94" t="str">
        <f t="shared" si="100"/>
        <v/>
      </c>
      <c r="P282" s="94" t="str">
        <f t="shared" si="115"/>
        <v/>
      </c>
      <c r="Q282" s="94" t="str">
        <f t="shared" si="116"/>
        <v/>
      </c>
      <c r="R282" s="90" t="str">
        <f t="shared" si="117"/>
        <v/>
      </c>
      <c r="S282" s="37" t="str">
        <f t="shared" si="109"/>
        <v/>
      </c>
      <c r="T282" s="176" t="str">
        <f>IF(L282="","",VLOOKUP(L282,classifications!C:K,9,FALSE))</f>
        <v/>
      </c>
      <c r="U282" s="183" t="str">
        <f t="shared" si="101"/>
        <v/>
      </c>
      <c r="V282" s="184" t="str">
        <f>IF(U282="","",IF($I$8="A",(RANK(U282,U$11:U$368)+COUNTIF(U$11:U282,U282)-1),(RANK(U282,U$11:U$368,1)+COUNTIF(U$11:U282,U282)-1)))</f>
        <v/>
      </c>
      <c r="W282" s="185"/>
      <c r="X282" s="38" t="str">
        <f>IF(L282="","",VLOOKUP($L282,classifications!$C:$J,6,FALSE))</f>
        <v/>
      </c>
      <c r="Y282" s="26" t="str">
        <f t="shared" si="102"/>
        <v/>
      </c>
      <c r="Z282" s="34" t="str">
        <f>IF(Y282="","",IF(I$8="A",(RANK(Y282,Y$11:Y$368,1)+COUNTIF(Y$11:Y282,Y282)-1),(RANK(Y282,Y$11:Y$368)+COUNTIF(Y$11:Y282,Y282)-1)))</f>
        <v/>
      </c>
      <c r="AA282" s="188" t="str">
        <f>IF(L282="","",VLOOKUP($L282,classifications!C:I,7,FALSE))</f>
        <v/>
      </c>
      <c r="AB282" s="184" t="str">
        <f t="shared" si="110"/>
        <v/>
      </c>
      <c r="AC282" s="184" t="str">
        <f>IF(AB282="","",IF($I$8="A",(RANK(AB282,AB$11:AB$368)+COUNTIF(AB$11:AB282,AB282)-1),(RANK(AB282,AB$11:AB$368,1)+COUNTIF(AB$11:AB282,AB282)-1)))</f>
        <v/>
      </c>
      <c r="AD282" s="184"/>
      <c r="AE282" s="28" t="str">
        <f t="shared" si="96"/>
        <v/>
      </c>
      <c r="AG282" s="96"/>
      <c r="AH282" s="29"/>
      <c r="AI282" s="38" t="str">
        <f>IF(L282="","",VLOOKUP($L282,classifications!$C:$J,8,FALSE))</f>
        <v/>
      </c>
      <c r="AJ282" s="39" t="str">
        <f t="shared" si="103"/>
        <v/>
      </c>
      <c r="AK282" s="34" t="str">
        <f>IF(AJ282="","",IF(I$8="A",(RANK(AJ282,AJ$11:AJ$368,1)+COUNTIF(AJ$11:AJ282,AJ282)-1),(RANK(AJ282,AJ$11:AJ$368)+COUNTIF(AJ$11:AJ282,AJ282)-1)))</f>
        <v/>
      </c>
      <c r="AL282" s="29" t="str">
        <f t="shared" si="111"/>
        <v/>
      </c>
      <c r="AM282" s="8" t="str">
        <f t="shared" si="104"/>
        <v/>
      </c>
      <c r="AN282" s="8" t="str">
        <f t="shared" si="112"/>
        <v/>
      </c>
      <c r="AP282" s="38" t="str">
        <f>IF(L282="","",VLOOKUP($L282,classifications!$C:$E,3,FALSE))</f>
        <v/>
      </c>
      <c r="AQ282" s="39" t="str">
        <f t="shared" si="113"/>
        <v/>
      </c>
      <c r="AR282" s="34" t="str">
        <f>IF(AQ282="","",IF(I$8="A",(RANK(AQ282,AQ$11:AQ$368,1)+COUNTIF(AQ$11:AQ282,AQ282)-1),(RANK(AQ282,AQ$11:AQ$368)+COUNTIF(AQ$11:AQ282,AQ282)-1)))</f>
        <v/>
      </c>
      <c r="AS282" s="29" t="str">
        <f t="shared" si="114"/>
        <v/>
      </c>
      <c r="AT282" s="34" t="str">
        <f t="shared" si="105"/>
        <v/>
      </c>
      <c r="AU282" s="39" t="str">
        <f t="shared" si="118"/>
        <v/>
      </c>
      <c r="AX282" s="21">
        <f>HLOOKUP($AX$9&amp;$AX$10,Data!$A$1:$ZZ$2000,(MATCH($C282,Data!$A$1:$A$2000,0)),FALSE)</f>
        <v>81.794245862792948</v>
      </c>
      <c r="AY282" s="103"/>
      <c r="AZ282" s="21"/>
    </row>
    <row r="283" spans="1:52">
      <c r="A283" s="56" t="str">
        <f>$D$1&amp;273</f>
        <v>SD273</v>
      </c>
      <c r="B283" s="57">
        <f>IF(ISERROR(VLOOKUP(A283,classifications!A:C,3,FALSE)),0,VLOOKUP(A283,classifications!A:C,3,FALSE))</f>
        <v>0</v>
      </c>
      <c r="C283" s="8" t="s">
        <v>149</v>
      </c>
      <c r="D283" s="26" t="str">
        <f>VLOOKUP($C283,classifications!$C:$J,4,FALSE)</f>
        <v>SD</v>
      </c>
      <c r="E283" s="26" t="str">
        <f>VLOOKUP(C283,classifications!C:K,9,FALSE)</f>
        <v>Sparse</v>
      </c>
      <c r="F283" s="36">
        <f t="shared" si="97"/>
        <v>77.648096291680531</v>
      </c>
      <c r="G283" s="71"/>
      <c r="H283" s="37">
        <f t="shared" si="98"/>
        <v>77.648096291680531</v>
      </c>
      <c r="I283" s="77">
        <f>IF(H283="","",IF($I$8="A",(RANK(H283,H$11:H$368,1)+COUNTIF(H$11:H283,H283)-1),(RANK(H283,H$11:H$368)+COUNTIF(H$11:H283,H283)-1)))</f>
        <v>154</v>
      </c>
      <c r="J283" s="35"/>
      <c r="K283" s="28" t="str">
        <f t="shared" si="106"/>
        <v/>
      </c>
      <c r="L283" s="36" t="str">
        <f t="shared" si="99"/>
        <v/>
      </c>
      <c r="M283" s="102" t="str">
        <f t="shared" si="107"/>
        <v/>
      </c>
      <c r="N283" s="101" t="str">
        <f t="shared" si="108"/>
        <v/>
      </c>
      <c r="O283" s="94" t="str">
        <f t="shared" si="100"/>
        <v/>
      </c>
      <c r="P283" s="94" t="str">
        <f t="shared" si="115"/>
        <v/>
      </c>
      <c r="Q283" s="94" t="str">
        <f t="shared" si="116"/>
        <v/>
      </c>
      <c r="R283" s="90" t="str">
        <f t="shared" si="117"/>
        <v/>
      </c>
      <c r="S283" s="37" t="str">
        <f t="shared" si="109"/>
        <v/>
      </c>
      <c r="T283" s="176" t="str">
        <f>IF(L283="","",VLOOKUP(L283,classifications!C:K,9,FALSE))</f>
        <v/>
      </c>
      <c r="U283" s="183" t="str">
        <f t="shared" si="101"/>
        <v/>
      </c>
      <c r="V283" s="184" t="str">
        <f>IF(U283="","",IF($I$8="A",(RANK(U283,U$11:U$368)+COUNTIF(U$11:U283,U283)-1),(RANK(U283,U$11:U$368,1)+COUNTIF(U$11:U283,U283)-1)))</f>
        <v/>
      </c>
      <c r="W283" s="185"/>
      <c r="X283" s="38" t="str">
        <f>IF(L283="","",VLOOKUP($L283,classifications!$C:$J,6,FALSE))</f>
        <v/>
      </c>
      <c r="Y283" s="26" t="str">
        <f t="shared" si="102"/>
        <v/>
      </c>
      <c r="Z283" s="34" t="str">
        <f>IF(Y283="","",IF(I$8="A",(RANK(Y283,Y$11:Y$368,1)+COUNTIF(Y$11:Y283,Y283)-1),(RANK(Y283,Y$11:Y$368)+COUNTIF(Y$11:Y283,Y283)-1)))</f>
        <v/>
      </c>
      <c r="AA283" s="188" t="str">
        <f>IF(L283="","",VLOOKUP($L283,classifications!C:I,7,FALSE))</f>
        <v/>
      </c>
      <c r="AB283" s="184" t="str">
        <f t="shared" si="110"/>
        <v/>
      </c>
      <c r="AC283" s="184" t="str">
        <f>IF(AB283="","",IF($I$8="A",(RANK(AB283,AB$11:AB$368)+COUNTIF(AB$11:AB283,AB283)-1),(RANK(AB283,AB$11:AB$368,1)+COUNTIF(AB$11:AB283,AB283)-1)))</f>
        <v/>
      </c>
      <c r="AD283" s="184"/>
      <c r="AE283" s="28" t="str">
        <f t="shared" si="96"/>
        <v/>
      </c>
      <c r="AG283" s="96"/>
      <c r="AH283" s="29"/>
      <c r="AI283" s="38" t="str">
        <f>IF(L283="","",VLOOKUP($L283,classifications!$C:$J,8,FALSE))</f>
        <v/>
      </c>
      <c r="AJ283" s="39" t="str">
        <f t="shared" si="103"/>
        <v/>
      </c>
      <c r="AK283" s="34" t="str">
        <f>IF(AJ283="","",IF(I$8="A",(RANK(AJ283,AJ$11:AJ$368,1)+COUNTIF(AJ$11:AJ283,AJ283)-1),(RANK(AJ283,AJ$11:AJ$368)+COUNTIF(AJ$11:AJ283,AJ283)-1)))</f>
        <v/>
      </c>
      <c r="AL283" s="29" t="str">
        <f t="shared" si="111"/>
        <v/>
      </c>
      <c r="AM283" s="8" t="str">
        <f t="shared" si="104"/>
        <v/>
      </c>
      <c r="AN283" s="8" t="str">
        <f t="shared" si="112"/>
        <v/>
      </c>
      <c r="AP283" s="38" t="str">
        <f>IF(L283="","",VLOOKUP($L283,classifications!$C:$E,3,FALSE))</f>
        <v/>
      </c>
      <c r="AQ283" s="39" t="str">
        <f t="shared" si="113"/>
        <v/>
      </c>
      <c r="AR283" s="34" t="str">
        <f>IF(AQ283="","",IF(I$8="A",(RANK(AQ283,AQ$11:AQ$368,1)+COUNTIF(AQ$11:AQ283,AQ283)-1),(RANK(AQ283,AQ$11:AQ$368)+COUNTIF(AQ$11:AQ283,AQ283)-1)))</f>
        <v/>
      </c>
      <c r="AS283" s="29" t="str">
        <f t="shared" si="114"/>
        <v/>
      </c>
      <c r="AT283" s="34" t="str">
        <f t="shared" si="105"/>
        <v/>
      </c>
      <c r="AU283" s="39" t="str">
        <f t="shared" si="118"/>
        <v/>
      </c>
      <c r="AX283" s="21">
        <f>HLOOKUP($AX$9&amp;$AX$10,Data!$A$1:$ZZ$2000,(MATCH($C283,Data!$A$1:$A$2000,0)),FALSE)</f>
        <v>77.648096291680531</v>
      </c>
      <c r="AY283" s="103"/>
      <c r="AZ283" s="21"/>
    </row>
    <row r="284" spans="1:52">
      <c r="A284" s="56" t="str">
        <f>$D$1&amp;274</f>
        <v>SD274</v>
      </c>
      <c r="B284" s="57">
        <f>IF(ISERROR(VLOOKUP(A284,classifications!A:C,3,FALSE)),0,VLOOKUP(A284,classifications!A:C,3,FALSE))</f>
        <v>0</v>
      </c>
      <c r="C284" s="8" t="s">
        <v>247</v>
      </c>
      <c r="D284" s="26" t="str">
        <f>VLOOKUP($C284,classifications!$C:$J,4,FALSE)</f>
        <v>MD</v>
      </c>
      <c r="E284" s="26">
        <f>VLOOKUP(C284,classifications!C:K,9,FALSE)</f>
        <v>0</v>
      </c>
      <c r="F284" s="36">
        <f t="shared" si="97"/>
        <v>78.987263305897642</v>
      </c>
      <c r="G284" s="71"/>
      <c r="H284" s="37" t="str">
        <f t="shared" si="98"/>
        <v/>
      </c>
      <c r="I284" s="77" t="str">
        <f>IF(H284="","",IF($I$8="A",(RANK(H284,H$11:H$368,1)+COUNTIF(H$11:H284,H284)-1),(RANK(H284,H$11:H$368)+COUNTIF(H$11:H284,H284)-1)))</f>
        <v/>
      </c>
      <c r="J284" s="35"/>
      <c r="K284" s="28" t="str">
        <f t="shared" si="106"/>
        <v/>
      </c>
      <c r="L284" s="36" t="str">
        <f t="shared" si="99"/>
        <v/>
      </c>
      <c r="M284" s="102" t="str">
        <f t="shared" si="107"/>
        <v/>
      </c>
      <c r="N284" s="101" t="str">
        <f t="shared" si="108"/>
        <v/>
      </c>
      <c r="O284" s="94" t="str">
        <f t="shared" si="100"/>
        <v/>
      </c>
      <c r="P284" s="94" t="str">
        <f t="shared" si="115"/>
        <v/>
      </c>
      <c r="Q284" s="94" t="str">
        <f t="shared" si="116"/>
        <v/>
      </c>
      <c r="R284" s="90" t="str">
        <f t="shared" si="117"/>
        <v/>
      </c>
      <c r="S284" s="37" t="str">
        <f t="shared" si="109"/>
        <v/>
      </c>
      <c r="T284" s="176" t="str">
        <f>IF(L284="","",VLOOKUP(L284,classifications!C:K,9,FALSE))</f>
        <v/>
      </c>
      <c r="U284" s="183" t="str">
        <f t="shared" si="101"/>
        <v/>
      </c>
      <c r="V284" s="184" t="str">
        <f>IF(U284="","",IF($I$8="A",(RANK(U284,U$11:U$368)+COUNTIF(U$11:U284,U284)-1),(RANK(U284,U$11:U$368,1)+COUNTIF(U$11:U284,U284)-1)))</f>
        <v/>
      </c>
      <c r="W284" s="185"/>
      <c r="X284" s="38" t="str">
        <f>IF(L284="","",VLOOKUP($L284,classifications!$C:$J,6,FALSE))</f>
        <v/>
      </c>
      <c r="Y284" s="26" t="str">
        <f t="shared" si="102"/>
        <v/>
      </c>
      <c r="Z284" s="34" t="str">
        <f>IF(Y284="","",IF(I$8="A",(RANK(Y284,Y$11:Y$368,1)+COUNTIF(Y$11:Y284,Y284)-1),(RANK(Y284,Y$11:Y$368)+COUNTIF(Y$11:Y284,Y284)-1)))</f>
        <v/>
      </c>
      <c r="AA284" s="188" t="str">
        <f>IF(L284="","",VLOOKUP($L284,classifications!C:I,7,FALSE))</f>
        <v/>
      </c>
      <c r="AB284" s="184" t="str">
        <f t="shared" si="110"/>
        <v/>
      </c>
      <c r="AC284" s="184" t="str">
        <f>IF(AB284="","",IF($I$8="A",(RANK(AB284,AB$11:AB$368)+COUNTIF(AB$11:AB284,AB284)-1),(RANK(AB284,AB$11:AB$368,1)+COUNTIF(AB$11:AB284,AB284)-1)))</f>
        <v/>
      </c>
      <c r="AD284" s="184"/>
      <c r="AE284" s="28" t="str">
        <f t="shared" si="96"/>
        <v/>
      </c>
      <c r="AG284" s="96"/>
      <c r="AH284" s="29"/>
      <c r="AI284" s="38" t="str">
        <f>IF(L284="","",VLOOKUP($L284,classifications!$C:$J,8,FALSE))</f>
        <v/>
      </c>
      <c r="AJ284" s="39" t="str">
        <f t="shared" si="103"/>
        <v/>
      </c>
      <c r="AK284" s="34" t="str">
        <f>IF(AJ284="","",IF(I$8="A",(RANK(AJ284,AJ$11:AJ$368,1)+COUNTIF(AJ$11:AJ284,AJ284)-1),(RANK(AJ284,AJ$11:AJ$368)+COUNTIF(AJ$11:AJ284,AJ284)-1)))</f>
        <v/>
      </c>
      <c r="AL284" s="29" t="str">
        <f t="shared" si="111"/>
        <v/>
      </c>
      <c r="AM284" s="8" t="str">
        <f t="shared" si="104"/>
        <v/>
      </c>
      <c r="AN284" s="8" t="str">
        <f t="shared" si="112"/>
        <v/>
      </c>
      <c r="AP284" s="38" t="str">
        <f>IF(L284="","",VLOOKUP($L284,classifications!$C:$E,3,FALSE))</f>
        <v/>
      </c>
      <c r="AQ284" s="39" t="str">
        <f t="shared" si="113"/>
        <v/>
      </c>
      <c r="AR284" s="34" t="str">
        <f>IF(AQ284="","",IF(I$8="A",(RANK(AQ284,AQ$11:AQ$368,1)+COUNTIF(AQ$11:AQ284,AQ284)-1),(RANK(AQ284,AQ$11:AQ$368)+COUNTIF(AQ$11:AQ284,AQ284)-1)))</f>
        <v/>
      </c>
      <c r="AS284" s="29" t="str">
        <f t="shared" si="114"/>
        <v/>
      </c>
      <c r="AT284" s="34" t="str">
        <f t="shared" si="105"/>
        <v/>
      </c>
      <c r="AU284" s="39" t="str">
        <f t="shared" si="118"/>
        <v/>
      </c>
      <c r="AX284" s="21">
        <f>HLOOKUP($AX$9&amp;$AX$10,Data!$A$1:$ZZ$2000,(MATCH($C284,Data!$A$1:$A$2000,0)),FALSE)</f>
        <v>78.987263305897642</v>
      </c>
      <c r="AY284" s="103"/>
      <c r="AZ284" s="21"/>
    </row>
    <row r="285" spans="1:52">
      <c r="A285" s="56" t="str">
        <f>$D$1&amp;275</f>
        <v>SD275</v>
      </c>
      <c r="B285" s="57">
        <f>IF(ISERROR(VLOOKUP(A285,classifications!A:C,3,FALSE)),0,VLOOKUP(A285,classifications!A:C,3,FALSE))</f>
        <v>0</v>
      </c>
      <c r="C285" s="8" t="s">
        <v>288</v>
      </c>
      <c r="D285" s="26" t="str">
        <f>VLOOKUP($C285,classifications!$C:$J,4,FALSE)</f>
        <v>UA</v>
      </c>
      <c r="E285" s="26">
        <f>VLOOKUP(C285,classifications!C:K,9,FALSE)</f>
        <v>0</v>
      </c>
      <c r="F285" s="36">
        <f t="shared" si="97"/>
        <v>82.561023589974923</v>
      </c>
      <c r="G285" s="71"/>
      <c r="H285" s="37" t="str">
        <f t="shared" si="98"/>
        <v/>
      </c>
      <c r="I285" s="77" t="str">
        <f>IF(H285="","",IF($I$8="A",(RANK(H285,H$11:H$368,1)+COUNTIF(H$11:H285,H285)-1),(RANK(H285,H$11:H$368)+COUNTIF(H$11:H285,H285)-1)))</f>
        <v/>
      </c>
      <c r="J285" s="35"/>
      <c r="K285" s="28" t="str">
        <f t="shared" si="106"/>
        <v/>
      </c>
      <c r="L285" s="36" t="str">
        <f t="shared" si="99"/>
        <v/>
      </c>
      <c r="M285" s="102" t="str">
        <f t="shared" si="107"/>
        <v/>
      </c>
      <c r="N285" s="101" t="str">
        <f t="shared" si="108"/>
        <v/>
      </c>
      <c r="O285" s="94" t="str">
        <f t="shared" si="100"/>
        <v/>
      </c>
      <c r="P285" s="94" t="str">
        <f t="shared" si="115"/>
        <v/>
      </c>
      <c r="Q285" s="94" t="str">
        <f t="shared" si="116"/>
        <v/>
      </c>
      <c r="R285" s="90" t="str">
        <f t="shared" si="117"/>
        <v/>
      </c>
      <c r="S285" s="37" t="str">
        <f t="shared" si="109"/>
        <v/>
      </c>
      <c r="T285" s="176" t="str">
        <f>IF(L285="","",VLOOKUP(L285,classifications!C:K,9,FALSE))</f>
        <v/>
      </c>
      <c r="U285" s="183" t="str">
        <f t="shared" si="101"/>
        <v/>
      </c>
      <c r="V285" s="184" t="str">
        <f>IF(U285="","",IF($I$8="A",(RANK(U285,U$11:U$368)+COUNTIF(U$11:U285,U285)-1),(RANK(U285,U$11:U$368,1)+COUNTIF(U$11:U285,U285)-1)))</f>
        <v/>
      </c>
      <c r="W285" s="185"/>
      <c r="X285" s="38" t="str">
        <f>IF(L285="","",VLOOKUP($L285,classifications!$C:$J,6,FALSE))</f>
        <v/>
      </c>
      <c r="Y285" s="26" t="str">
        <f t="shared" si="102"/>
        <v/>
      </c>
      <c r="Z285" s="34" t="str">
        <f>IF(Y285="","",IF(I$8="A",(RANK(Y285,Y$11:Y$368,1)+COUNTIF(Y$11:Y285,Y285)-1),(RANK(Y285,Y$11:Y$368)+COUNTIF(Y$11:Y285,Y285)-1)))</f>
        <v/>
      </c>
      <c r="AA285" s="188" t="str">
        <f>IF(L285="","",VLOOKUP($L285,classifications!C:I,7,FALSE))</f>
        <v/>
      </c>
      <c r="AB285" s="184" t="str">
        <f t="shared" si="110"/>
        <v/>
      </c>
      <c r="AC285" s="184" t="str">
        <f>IF(AB285="","",IF($I$8="A",(RANK(AB285,AB$11:AB$368)+COUNTIF(AB$11:AB285,AB285)-1),(RANK(AB285,AB$11:AB$368,1)+COUNTIF(AB$11:AB285,AB285)-1)))</f>
        <v/>
      </c>
      <c r="AD285" s="184"/>
      <c r="AE285" s="28" t="str">
        <f t="shared" si="96"/>
        <v/>
      </c>
      <c r="AG285" s="96"/>
      <c r="AH285" s="29"/>
      <c r="AI285" s="38" t="str">
        <f>IF(L285="","",VLOOKUP($L285,classifications!$C:$J,8,FALSE))</f>
        <v/>
      </c>
      <c r="AJ285" s="39" t="str">
        <f t="shared" si="103"/>
        <v/>
      </c>
      <c r="AK285" s="34" t="str">
        <f>IF(AJ285="","",IF(I$8="A",(RANK(AJ285,AJ$11:AJ$368,1)+COUNTIF(AJ$11:AJ285,AJ285)-1),(RANK(AJ285,AJ$11:AJ$368)+COUNTIF(AJ$11:AJ285,AJ285)-1)))</f>
        <v/>
      </c>
      <c r="AL285" s="29" t="str">
        <f t="shared" si="111"/>
        <v/>
      </c>
      <c r="AM285" s="8" t="str">
        <f t="shared" si="104"/>
        <v/>
      </c>
      <c r="AN285" s="8" t="str">
        <f t="shared" si="112"/>
        <v/>
      </c>
      <c r="AP285" s="38" t="str">
        <f>IF(L285="","",VLOOKUP($L285,classifications!$C:$E,3,FALSE))</f>
        <v/>
      </c>
      <c r="AQ285" s="39" t="str">
        <f t="shared" si="113"/>
        <v/>
      </c>
      <c r="AR285" s="34" t="str">
        <f>IF(AQ285="","",IF(I$8="A",(RANK(AQ285,AQ$11:AQ$368,1)+COUNTIF(AQ$11:AQ285,AQ285)-1),(RANK(AQ285,AQ$11:AQ$368)+COUNTIF(AQ$11:AQ285,AQ285)-1)))</f>
        <v/>
      </c>
      <c r="AS285" s="29" t="str">
        <f t="shared" si="114"/>
        <v/>
      </c>
      <c r="AT285" s="34" t="str">
        <f t="shared" si="105"/>
        <v/>
      </c>
      <c r="AU285" s="39" t="str">
        <f t="shared" si="118"/>
        <v/>
      </c>
      <c r="AX285" s="21">
        <f>HLOOKUP($AX$9&amp;$AX$10,Data!$A$1:$ZZ$2000,(MATCH($C285,Data!$A$1:$A$2000,0)),FALSE)</f>
        <v>82.561023589974923</v>
      </c>
      <c r="AY285" s="103"/>
      <c r="AZ285" s="21"/>
    </row>
    <row r="286" spans="1:52">
      <c r="A286" s="56" t="str">
        <f>$D$1&amp;276</f>
        <v>SD276</v>
      </c>
      <c r="B286" s="57">
        <f>IF(ISERROR(VLOOKUP(A286,classifications!A:C,3,FALSE)),0,VLOOKUP(A286,classifications!A:C,3,FALSE))</f>
        <v>0</v>
      </c>
      <c r="C286" s="8" t="s">
        <v>289</v>
      </c>
      <c r="D286" s="26" t="str">
        <f>VLOOKUP($C286,classifications!$C:$J,4,FALSE)</f>
        <v>UA</v>
      </c>
      <c r="E286" s="26">
        <f>VLOOKUP(C286,classifications!C:K,9,FALSE)</f>
        <v>0</v>
      </c>
      <c r="F286" s="36">
        <f t="shared" si="97"/>
        <v>75.626254570275606</v>
      </c>
      <c r="G286" s="71"/>
      <c r="H286" s="37" t="str">
        <f t="shared" si="98"/>
        <v/>
      </c>
      <c r="I286" s="77" t="str">
        <f>IF(H286="","",IF($I$8="A",(RANK(H286,H$11:H$368,1)+COUNTIF(H$11:H286,H286)-1),(RANK(H286,H$11:H$368)+COUNTIF(H$11:H286,H286)-1)))</f>
        <v/>
      </c>
      <c r="J286" s="35"/>
      <c r="K286" s="28" t="str">
        <f t="shared" si="106"/>
        <v/>
      </c>
      <c r="L286" s="36" t="str">
        <f t="shared" si="99"/>
        <v/>
      </c>
      <c r="M286" s="102" t="str">
        <f t="shared" si="107"/>
        <v/>
      </c>
      <c r="N286" s="101" t="str">
        <f t="shared" si="108"/>
        <v/>
      </c>
      <c r="O286" s="94" t="str">
        <f t="shared" si="100"/>
        <v/>
      </c>
      <c r="P286" s="94" t="str">
        <f t="shared" si="115"/>
        <v/>
      </c>
      <c r="Q286" s="94" t="str">
        <f t="shared" si="116"/>
        <v/>
      </c>
      <c r="R286" s="90" t="str">
        <f t="shared" si="117"/>
        <v/>
      </c>
      <c r="S286" s="37" t="str">
        <f t="shared" si="109"/>
        <v/>
      </c>
      <c r="T286" s="176" t="str">
        <f>IF(L286="","",VLOOKUP(L286,classifications!C:K,9,FALSE))</f>
        <v/>
      </c>
      <c r="U286" s="183" t="str">
        <f t="shared" si="101"/>
        <v/>
      </c>
      <c r="V286" s="184" t="str">
        <f>IF(U286="","",IF($I$8="A",(RANK(U286,U$11:U$368)+COUNTIF(U$11:U286,U286)-1),(RANK(U286,U$11:U$368,1)+COUNTIF(U$11:U286,U286)-1)))</f>
        <v/>
      </c>
      <c r="W286" s="185"/>
      <c r="X286" s="38" t="str">
        <f>IF(L286="","",VLOOKUP($L286,classifications!$C:$J,6,FALSE))</f>
        <v/>
      </c>
      <c r="Y286" s="26" t="str">
        <f t="shared" si="102"/>
        <v/>
      </c>
      <c r="Z286" s="34" t="str">
        <f>IF(Y286="","",IF(I$8="A",(RANK(Y286,Y$11:Y$368,1)+COUNTIF(Y$11:Y286,Y286)-1),(RANK(Y286,Y$11:Y$368)+COUNTIF(Y$11:Y286,Y286)-1)))</f>
        <v/>
      </c>
      <c r="AA286" s="188" t="str">
        <f>IF(L286="","",VLOOKUP($L286,classifications!C:I,7,FALSE))</f>
        <v/>
      </c>
      <c r="AB286" s="184" t="str">
        <f t="shared" si="110"/>
        <v/>
      </c>
      <c r="AC286" s="184" t="str">
        <f>IF(AB286="","",IF($I$8="A",(RANK(AB286,AB$11:AB$368)+COUNTIF(AB$11:AB286,AB286)-1),(RANK(AB286,AB$11:AB$368,1)+COUNTIF(AB$11:AB286,AB286)-1)))</f>
        <v/>
      </c>
      <c r="AD286" s="184"/>
      <c r="AE286" s="28" t="str">
        <f t="shared" si="96"/>
        <v/>
      </c>
      <c r="AG286" s="96"/>
      <c r="AH286" s="29"/>
      <c r="AI286" s="38" t="str">
        <f>IF(L286="","",VLOOKUP($L286,classifications!$C:$J,8,FALSE))</f>
        <v/>
      </c>
      <c r="AJ286" s="39" t="str">
        <f t="shared" si="103"/>
        <v/>
      </c>
      <c r="AK286" s="34" t="str">
        <f>IF(AJ286="","",IF(I$8="A",(RANK(AJ286,AJ$11:AJ$368,1)+COUNTIF(AJ$11:AJ286,AJ286)-1),(RANK(AJ286,AJ$11:AJ$368)+COUNTIF(AJ$11:AJ286,AJ286)-1)))</f>
        <v/>
      </c>
      <c r="AL286" s="29" t="str">
        <f t="shared" si="111"/>
        <v/>
      </c>
      <c r="AM286" s="8" t="str">
        <f t="shared" si="104"/>
        <v/>
      </c>
      <c r="AN286" s="8" t="str">
        <f t="shared" si="112"/>
        <v/>
      </c>
      <c r="AP286" s="38" t="str">
        <f>IF(L286="","",VLOOKUP($L286,classifications!$C:$E,3,FALSE))</f>
        <v/>
      </c>
      <c r="AQ286" s="39" t="str">
        <f t="shared" si="113"/>
        <v/>
      </c>
      <c r="AR286" s="34" t="str">
        <f>IF(AQ286="","",IF(I$8="A",(RANK(AQ286,AQ$11:AQ$368,1)+COUNTIF(AQ$11:AQ286,AQ286)-1),(RANK(AQ286,AQ$11:AQ$368)+COUNTIF(AQ$11:AQ286,AQ286)-1)))</f>
        <v/>
      </c>
      <c r="AS286" s="29" t="str">
        <f t="shared" si="114"/>
        <v/>
      </c>
      <c r="AT286" s="34" t="str">
        <f t="shared" si="105"/>
        <v/>
      </c>
      <c r="AU286" s="39" t="str">
        <f t="shared" si="118"/>
        <v/>
      </c>
      <c r="AX286" s="21">
        <f>HLOOKUP($AX$9&amp;$AX$10,Data!$A$1:$ZZ$2000,(MATCH($C286,Data!$A$1:$A$2000,0)),FALSE)</f>
        <v>75.626254570275606</v>
      </c>
      <c r="AY286" s="103"/>
      <c r="AZ286" s="21"/>
    </row>
    <row r="287" spans="1:52">
      <c r="A287" s="56" t="str">
        <f>$D$1&amp;277</f>
        <v>SD277</v>
      </c>
      <c r="B287" s="57">
        <f>IF(ISERROR(VLOOKUP(A287,classifications!A:C,3,FALSE)),0,VLOOKUP(A287,classifications!A:C,3,FALSE))</f>
        <v>0</v>
      </c>
      <c r="C287" s="8" t="s">
        <v>217</v>
      </c>
      <c r="D287" s="26" t="str">
        <f>VLOOKUP($C287,classifications!$C:$J,4,FALSE)</f>
        <v>L</v>
      </c>
      <c r="E287" s="26">
        <f>VLOOKUP(C287,classifications!C:K,9,FALSE)</f>
        <v>0</v>
      </c>
      <c r="F287" s="36">
        <f t="shared" si="97"/>
        <v>82.71244742049825</v>
      </c>
      <c r="G287" s="71"/>
      <c r="H287" s="37" t="str">
        <f t="shared" si="98"/>
        <v/>
      </c>
      <c r="I287" s="77" t="str">
        <f>IF(H287="","",IF($I$8="A",(RANK(H287,H$11:H$368,1)+COUNTIF(H$11:H287,H287)-1),(RANK(H287,H$11:H$368)+COUNTIF(H$11:H287,H287)-1)))</f>
        <v/>
      </c>
      <c r="J287" s="35"/>
      <c r="K287" s="28" t="str">
        <f t="shared" si="106"/>
        <v/>
      </c>
      <c r="L287" s="36" t="str">
        <f t="shared" si="99"/>
        <v/>
      </c>
      <c r="M287" s="102" t="str">
        <f t="shared" si="107"/>
        <v/>
      </c>
      <c r="N287" s="101" t="str">
        <f t="shared" si="108"/>
        <v/>
      </c>
      <c r="O287" s="94" t="str">
        <f t="shared" si="100"/>
        <v/>
      </c>
      <c r="P287" s="94" t="str">
        <f t="shared" si="115"/>
        <v/>
      </c>
      <c r="Q287" s="94" t="str">
        <f t="shared" si="116"/>
        <v/>
      </c>
      <c r="R287" s="90" t="str">
        <f t="shared" si="117"/>
        <v/>
      </c>
      <c r="S287" s="37" t="str">
        <f t="shared" si="109"/>
        <v/>
      </c>
      <c r="T287" s="176" t="str">
        <f>IF(L287="","",VLOOKUP(L287,classifications!C:K,9,FALSE))</f>
        <v/>
      </c>
      <c r="U287" s="183" t="str">
        <f t="shared" si="101"/>
        <v/>
      </c>
      <c r="V287" s="184" t="str">
        <f>IF(U287="","",IF($I$8="A",(RANK(U287,U$11:U$368)+COUNTIF(U$11:U287,U287)-1),(RANK(U287,U$11:U$368,1)+COUNTIF(U$11:U287,U287)-1)))</f>
        <v/>
      </c>
      <c r="W287" s="185"/>
      <c r="X287" s="38" t="str">
        <f>IF(L287="","",VLOOKUP($L287,classifications!$C:$J,6,FALSE))</f>
        <v/>
      </c>
      <c r="Y287" s="26" t="str">
        <f t="shared" si="102"/>
        <v/>
      </c>
      <c r="Z287" s="34" t="str">
        <f>IF(Y287="","",IF(I$8="A",(RANK(Y287,Y$11:Y$368,1)+COUNTIF(Y$11:Y287,Y287)-1),(RANK(Y287,Y$11:Y$368)+COUNTIF(Y$11:Y287,Y287)-1)))</f>
        <v/>
      </c>
      <c r="AA287" s="188" t="str">
        <f>IF(L287="","",VLOOKUP($L287,classifications!C:I,7,FALSE))</f>
        <v/>
      </c>
      <c r="AB287" s="184" t="str">
        <f t="shared" si="110"/>
        <v/>
      </c>
      <c r="AC287" s="184" t="str">
        <f>IF(AB287="","",IF($I$8="A",(RANK(AB287,AB$11:AB$368)+COUNTIF(AB$11:AB287,AB287)-1),(RANK(AB287,AB$11:AB$368,1)+COUNTIF(AB$11:AB287,AB287)-1)))</f>
        <v/>
      </c>
      <c r="AD287" s="184"/>
      <c r="AE287" s="28" t="str">
        <f t="shared" si="96"/>
        <v/>
      </c>
      <c r="AG287" s="96"/>
      <c r="AH287" s="29"/>
      <c r="AI287" s="38" t="str">
        <f>IF(L287="","",VLOOKUP($L287,classifications!$C:$J,8,FALSE))</f>
        <v/>
      </c>
      <c r="AJ287" s="39" t="str">
        <f t="shared" si="103"/>
        <v/>
      </c>
      <c r="AK287" s="34" t="str">
        <f>IF(AJ287="","",IF(I$8="A",(RANK(AJ287,AJ$11:AJ$368,1)+COUNTIF(AJ$11:AJ287,AJ287)-1),(RANK(AJ287,AJ$11:AJ$368)+COUNTIF(AJ$11:AJ287,AJ287)-1)))</f>
        <v/>
      </c>
      <c r="AL287" s="29" t="str">
        <f t="shared" si="111"/>
        <v/>
      </c>
      <c r="AM287" s="8" t="str">
        <f t="shared" si="104"/>
        <v/>
      </c>
      <c r="AN287" s="8" t="str">
        <f t="shared" si="112"/>
        <v/>
      </c>
      <c r="AP287" s="38" t="str">
        <f>IF(L287="","",VLOOKUP($L287,classifications!$C:$E,3,FALSE))</f>
        <v/>
      </c>
      <c r="AQ287" s="39" t="str">
        <f t="shared" si="113"/>
        <v/>
      </c>
      <c r="AR287" s="34" t="str">
        <f>IF(AQ287="","",IF(I$8="A",(RANK(AQ287,AQ$11:AQ$368,1)+COUNTIF(AQ$11:AQ287,AQ287)-1),(RANK(AQ287,AQ$11:AQ$368)+COUNTIF(AQ$11:AQ287,AQ287)-1)))</f>
        <v/>
      </c>
      <c r="AS287" s="29" t="str">
        <f t="shared" si="114"/>
        <v/>
      </c>
      <c r="AT287" s="34" t="str">
        <f t="shared" si="105"/>
        <v/>
      </c>
      <c r="AU287" s="39" t="str">
        <f t="shared" si="118"/>
        <v/>
      </c>
      <c r="AX287" s="21">
        <f>HLOOKUP($AX$9&amp;$AX$10,Data!$A$1:$ZZ$2000,(MATCH($C287,Data!$A$1:$A$2000,0)),FALSE)</f>
        <v>82.71244742049825</v>
      </c>
      <c r="AY287" s="103"/>
      <c r="AZ287" s="21"/>
    </row>
    <row r="288" spans="1:52">
      <c r="A288" s="56" t="str">
        <f>$D$1&amp;278</f>
        <v>SD278</v>
      </c>
      <c r="B288" s="57">
        <f>IF(ISERROR(VLOOKUP(A288,classifications!A:C,3,FALSE)),0,VLOOKUP(A288,classifications!A:C,3,FALSE))</f>
        <v>0</v>
      </c>
      <c r="C288" s="8" t="s">
        <v>150</v>
      </c>
      <c r="D288" s="26" t="str">
        <f>VLOOKUP($C288,classifications!$C:$J,4,FALSE)</f>
        <v>SD</v>
      </c>
      <c r="E288" s="26">
        <f>VLOOKUP(C288,classifications!C:K,9,FALSE)</f>
        <v>0</v>
      </c>
      <c r="F288" s="36">
        <f t="shared" si="97"/>
        <v>80.548246886857143</v>
      </c>
      <c r="G288" s="71"/>
      <c r="H288" s="37">
        <f t="shared" si="98"/>
        <v>80.548246886857143</v>
      </c>
      <c r="I288" s="77">
        <f>IF(H288="","",IF($I$8="A",(RANK(H288,H$11:H$368,1)+COUNTIF(H$11:H288,H288)-1),(RANK(H288,H$11:H$368)+COUNTIF(H$11:H288,H288)-1)))</f>
        <v>107</v>
      </c>
      <c r="J288" s="35"/>
      <c r="K288" s="28" t="str">
        <f t="shared" si="106"/>
        <v/>
      </c>
      <c r="L288" s="36" t="str">
        <f t="shared" si="99"/>
        <v/>
      </c>
      <c r="M288" s="102" t="str">
        <f t="shared" si="107"/>
        <v/>
      </c>
      <c r="N288" s="101" t="str">
        <f t="shared" si="108"/>
        <v/>
      </c>
      <c r="O288" s="94" t="str">
        <f t="shared" si="100"/>
        <v/>
      </c>
      <c r="P288" s="94" t="str">
        <f t="shared" si="115"/>
        <v/>
      </c>
      <c r="Q288" s="94" t="str">
        <f t="shared" si="116"/>
        <v/>
      </c>
      <c r="R288" s="90" t="str">
        <f t="shared" si="117"/>
        <v/>
      </c>
      <c r="S288" s="37" t="str">
        <f t="shared" si="109"/>
        <v/>
      </c>
      <c r="T288" s="176" t="str">
        <f>IF(L288="","",VLOOKUP(L288,classifications!C:K,9,FALSE))</f>
        <v/>
      </c>
      <c r="U288" s="183" t="str">
        <f t="shared" si="101"/>
        <v/>
      </c>
      <c r="V288" s="184" t="str">
        <f>IF(U288="","",IF($I$8="A",(RANK(U288,U$11:U$368)+COUNTIF(U$11:U288,U288)-1),(RANK(U288,U$11:U$368,1)+COUNTIF(U$11:U288,U288)-1)))</f>
        <v/>
      </c>
      <c r="W288" s="185"/>
      <c r="X288" s="38" t="str">
        <f>IF(L288="","",VLOOKUP($L288,classifications!$C:$J,6,FALSE))</f>
        <v/>
      </c>
      <c r="Y288" s="26" t="str">
        <f t="shared" si="102"/>
        <v/>
      </c>
      <c r="Z288" s="34" t="str">
        <f>IF(Y288="","",IF(I$8="A",(RANK(Y288,Y$11:Y$368,1)+COUNTIF(Y$11:Y288,Y288)-1),(RANK(Y288,Y$11:Y$368)+COUNTIF(Y$11:Y288,Y288)-1)))</f>
        <v/>
      </c>
      <c r="AA288" s="188" t="str">
        <f>IF(L288="","",VLOOKUP($L288,classifications!C:I,7,FALSE))</f>
        <v/>
      </c>
      <c r="AB288" s="184" t="str">
        <f t="shared" si="110"/>
        <v/>
      </c>
      <c r="AC288" s="184" t="str">
        <f>IF(AB288="","",IF($I$8="A",(RANK(AB288,AB$11:AB$368)+COUNTIF(AB$11:AB288,AB288)-1),(RANK(AB288,AB$11:AB$368,1)+COUNTIF(AB$11:AB288,AB288)-1)))</f>
        <v/>
      </c>
      <c r="AD288" s="184"/>
      <c r="AE288" s="28" t="str">
        <f t="shared" si="96"/>
        <v/>
      </c>
      <c r="AG288" s="96"/>
      <c r="AH288" s="29"/>
      <c r="AI288" s="38" t="str">
        <f>IF(L288="","",VLOOKUP($L288,classifications!$C:$J,8,FALSE))</f>
        <v/>
      </c>
      <c r="AJ288" s="39" t="str">
        <f t="shared" si="103"/>
        <v/>
      </c>
      <c r="AK288" s="34" t="str">
        <f>IF(AJ288="","",IF(I$8="A",(RANK(AJ288,AJ$11:AJ$368,1)+COUNTIF(AJ$11:AJ288,AJ288)-1),(RANK(AJ288,AJ$11:AJ$368)+COUNTIF(AJ$11:AJ288,AJ288)-1)))</f>
        <v/>
      </c>
      <c r="AL288" s="29" t="str">
        <f t="shared" si="111"/>
        <v/>
      </c>
      <c r="AM288" s="8" t="str">
        <f t="shared" si="104"/>
        <v/>
      </c>
      <c r="AN288" s="8" t="str">
        <f t="shared" si="112"/>
        <v/>
      </c>
      <c r="AP288" s="38" t="str">
        <f>IF(L288="","",VLOOKUP($L288,classifications!$C:$E,3,FALSE))</f>
        <v/>
      </c>
      <c r="AQ288" s="39" t="str">
        <f t="shared" si="113"/>
        <v/>
      </c>
      <c r="AR288" s="34" t="str">
        <f>IF(AQ288="","",IF(I$8="A",(RANK(AQ288,AQ$11:AQ$368,1)+COUNTIF(AQ$11:AQ288,AQ288)-1),(RANK(AQ288,AQ$11:AQ$368)+COUNTIF(AQ$11:AQ288,AQ288)-1)))</f>
        <v/>
      </c>
      <c r="AS288" s="29" t="str">
        <f t="shared" si="114"/>
        <v/>
      </c>
      <c r="AT288" s="34" t="str">
        <f t="shared" si="105"/>
        <v/>
      </c>
      <c r="AU288" s="39" t="str">
        <f t="shared" si="118"/>
        <v/>
      </c>
      <c r="AX288" s="21">
        <f>HLOOKUP($AX$9&amp;$AX$10,Data!$A$1:$ZZ$2000,(MATCH($C288,Data!$A$1:$A$2000,0)),FALSE)</f>
        <v>80.548246886857143</v>
      </c>
      <c r="AY288" s="103"/>
      <c r="AZ288" s="21"/>
    </row>
    <row r="289" spans="1:52">
      <c r="A289" s="56" t="str">
        <f>$D$1&amp;279</f>
        <v>SD279</v>
      </c>
      <c r="B289" s="57">
        <f>IF(ISERROR(VLOOKUP(A289,classifications!A:C,3,FALSE)),0,VLOOKUP(A289,classifications!A:C,3,FALSE))</f>
        <v>0</v>
      </c>
      <c r="C289" s="8" t="s">
        <v>151</v>
      </c>
      <c r="D289" s="26" t="str">
        <f>VLOOKUP($C289,classifications!$C:$J,4,FALSE)</f>
        <v>SD</v>
      </c>
      <c r="E289" s="26">
        <f>VLOOKUP(C289,classifications!C:K,9,FALSE)</f>
        <v>0</v>
      </c>
      <c r="F289" s="36">
        <f t="shared" si="97"/>
        <v>84.906661624415875</v>
      </c>
      <c r="G289" s="71"/>
      <c r="H289" s="37">
        <f t="shared" si="98"/>
        <v>84.906661624415875</v>
      </c>
      <c r="I289" s="77">
        <f>IF(H289="","",IF($I$8="A",(RANK(H289,H$11:H$368,1)+COUNTIF(H$11:H289,H289)-1),(RANK(H289,H$11:H$368)+COUNTIF(H$11:H289,H289)-1)))</f>
        <v>33</v>
      </c>
      <c r="J289" s="35"/>
      <c r="K289" s="28" t="str">
        <f t="shared" si="106"/>
        <v/>
      </c>
      <c r="L289" s="36" t="str">
        <f t="shared" si="99"/>
        <v/>
      </c>
      <c r="M289" s="102" t="str">
        <f t="shared" si="107"/>
        <v/>
      </c>
      <c r="N289" s="101" t="str">
        <f t="shared" si="108"/>
        <v/>
      </c>
      <c r="O289" s="94" t="str">
        <f t="shared" si="100"/>
        <v/>
      </c>
      <c r="P289" s="94" t="str">
        <f t="shared" si="115"/>
        <v/>
      </c>
      <c r="Q289" s="94" t="str">
        <f t="shared" si="116"/>
        <v/>
      </c>
      <c r="R289" s="90" t="str">
        <f t="shared" si="117"/>
        <v/>
      </c>
      <c r="S289" s="37" t="str">
        <f t="shared" si="109"/>
        <v/>
      </c>
      <c r="T289" s="176" t="str">
        <f>IF(L289="","",VLOOKUP(L289,classifications!C:K,9,FALSE))</f>
        <v/>
      </c>
      <c r="U289" s="183" t="str">
        <f t="shared" si="101"/>
        <v/>
      </c>
      <c r="V289" s="184" t="str">
        <f>IF(U289="","",IF($I$8="A",(RANK(U289,U$11:U$368)+COUNTIF(U$11:U289,U289)-1),(RANK(U289,U$11:U$368,1)+COUNTIF(U$11:U289,U289)-1)))</f>
        <v/>
      </c>
      <c r="W289" s="185"/>
      <c r="X289" s="38" t="str">
        <f>IF(L289="","",VLOOKUP($L289,classifications!$C:$J,6,FALSE))</f>
        <v/>
      </c>
      <c r="Y289" s="26" t="str">
        <f t="shared" si="102"/>
        <v/>
      </c>
      <c r="Z289" s="34" t="str">
        <f>IF(Y289="","",IF(I$8="A",(RANK(Y289,Y$11:Y$368,1)+COUNTIF(Y$11:Y289,Y289)-1),(RANK(Y289,Y$11:Y$368)+COUNTIF(Y$11:Y289,Y289)-1)))</f>
        <v/>
      </c>
      <c r="AA289" s="188" t="str">
        <f>IF(L289="","",VLOOKUP($L289,classifications!C:I,7,FALSE))</f>
        <v/>
      </c>
      <c r="AB289" s="184" t="str">
        <f t="shared" si="110"/>
        <v/>
      </c>
      <c r="AC289" s="184" t="str">
        <f>IF(AB289="","",IF($I$8="A",(RANK(AB289,AB$11:AB$368)+COUNTIF(AB$11:AB289,AB289)-1),(RANK(AB289,AB$11:AB$368,1)+COUNTIF(AB$11:AB289,AB289)-1)))</f>
        <v/>
      </c>
      <c r="AD289" s="184"/>
      <c r="AE289" s="28" t="str">
        <f t="shared" si="96"/>
        <v/>
      </c>
      <c r="AG289" s="96"/>
      <c r="AH289" s="29"/>
      <c r="AI289" s="38" t="str">
        <f>IF(L289="","",VLOOKUP($L289,classifications!$C:$J,8,FALSE))</f>
        <v/>
      </c>
      <c r="AJ289" s="39" t="str">
        <f t="shared" si="103"/>
        <v/>
      </c>
      <c r="AK289" s="34" t="str">
        <f>IF(AJ289="","",IF(I$8="A",(RANK(AJ289,AJ$11:AJ$368,1)+COUNTIF(AJ$11:AJ289,AJ289)-1),(RANK(AJ289,AJ$11:AJ$368)+COUNTIF(AJ$11:AJ289,AJ289)-1)))</f>
        <v/>
      </c>
      <c r="AL289" s="29" t="str">
        <f t="shared" si="111"/>
        <v/>
      </c>
      <c r="AM289" s="8" t="str">
        <f t="shared" si="104"/>
        <v/>
      </c>
      <c r="AN289" s="8" t="str">
        <f t="shared" si="112"/>
        <v/>
      </c>
      <c r="AP289" s="38" t="str">
        <f>IF(L289="","",VLOOKUP($L289,classifications!$C:$E,3,FALSE))</f>
        <v/>
      </c>
      <c r="AQ289" s="39" t="str">
        <f t="shared" si="113"/>
        <v/>
      </c>
      <c r="AR289" s="34" t="str">
        <f>IF(AQ289="","",IF(I$8="A",(RANK(AQ289,AQ$11:AQ$368,1)+COUNTIF(AQ$11:AQ289,AQ289)-1),(RANK(AQ289,AQ$11:AQ$368)+COUNTIF(AQ$11:AQ289,AQ289)-1)))</f>
        <v/>
      </c>
      <c r="AS289" s="29" t="str">
        <f t="shared" si="114"/>
        <v/>
      </c>
      <c r="AT289" s="34" t="str">
        <f t="shared" si="105"/>
        <v/>
      </c>
      <c r="AU289" s="39" t="str">
        <f t="shared" si="118"/>
        <v/>
      </c>
      <c r="AX289" s="21">
        <f>HLOOKUP($AX$9&amp;$AX$10,Data!$A$1:$ZZ$2000,(MATCH($C289,Data!$A$1:$A$2000,0)),FALSE)</f>
        <v>84.906661624415875</v>
      </c>
      <c r="AY289" s="103"/>
      <c r="AZ289" s="21"/>
    </row>
    <row r="290" spans="1:52">
      <c r="A290" s="56" t="str">
        <f>$D$1&amp;280</f>
        <v>SD280</v>
      </c>
      <c r="B290" s="57">
        <f>IF(ISERROR(VLOOKUP(A290,classifications!A:C,3,FALSE)),0,VLOOKUP(A290,classifications!A:C,3,FALSE))</f>
        <v>0</v>
      </c>
      <c r="C290" s="8" t="s">
        <v>152</v>
      </c>
      <c r="D290" s="26" t="str">
        <f>VLOOKUP($C290,classifications!$C:$J,4,FALSE)</f>
        <v>SD</v>
      </c>
      <c r="E290" s="26" t="str">
        <f>VLOOKUP(C290,classifications!C:K,9,FALSE)</f>
        <v>Sparse</v>
      </c>
      <c r="F290" s="36" t="str">
        <f t="shared" si="97"/>
        <v>-</v>
      </c>
      <c r="G290" s="71"/>
      <c r="H290" s="37" t="str">
        <f t="shared" si="98"/>
        <v>-</v>
      </c>
      <c r="I290" s="77" t="e">
        <f>IF(H290="","",IF($I$8="A",(RANK(H290,H$11:H$368,1)+COUNTIF(H$11:H290,H290)-1),(RANK(H290,H$11:H$368)+COUNTIF(H$11:H290,H290)-1)))</f>
        <v>#VALUE!</v>
      </c>
      <c r="J290" s="35"/>
      <c r="K290" s="28" t="str">
        <f t="shared" si="106"/>
        <v/>
      </c>
      <c r="L290" s="36" t="str">
        <f t="shared" si="99"/>
        <v/>
      </c>
      <c r="M290" s="102" t="str">
        <f t="shared" si="107"/>
        <v/>
      </c>
      <c r="N290" s="101" t="str">
        <f t="shared" si="108"/>
        <v/>
      </c>
      <c r="O290" s="94" t="str">
        <f t="shared" si="100"/>
        <v/>
      </c>
      <c r="P290" s="94" t="str">
        <f t="shared" si="115"/>
        <v/>
      </c>
      <c r="Q290" s="94" t="str">
        <f t="shared" si="116"/>
        <v/>
      </c>
      <c r="R290" s="90" t="str">
        <f t="shared" si="117"/>
        <v/>
      </c>
      <c r="S290" s="37" t="str">
        <f t="shared" si="109"/>
        <v/>
      </c>
      <c r="T290" s="176" t="str">
        <f>IF(L290="","",VLOOKUP(L290,classifications!C:K,9,FALSE))</f>
        <v/>
      </c>
      <c r="U290" s="183" t="str">
        <f t="shared" si="101"/>
        <v/>
      </c>
      <c r="V290" s="184" t="str">
        <f>IF(U290="","",IF($I$8="A",(RANK(U290,U$11:U$368)+COUNTIF(U$11:U290,U290)-1),(RANK(U290,U$11:U$368,1)+COUNTIF(U$11:U290,U290)-1)))</f>
        <v/>
      </c>
      <c r="W290" s="185"/>
      <c r="X290" s="38" t="str">
        <f>IF(L290="","",VLOOKUP($L290,classifications!$C:$J,6,FALSE))</f>
        <v/>
      </c>
      <c r="Y290" s="26" t="str">
        <f t="shared" si="102"/>
        <v/>
      </c>
      <c r="Z290" s="34" t="str">
        <f>IF(Y290="","",IF(I$8="A",(RANK(Y290,Y$11:Y$368,1)+COUNTIF(Y$11:Y290,Y290)-1),(RANK(Y290,Y$11:Y$368)+COUNTIF(Y$11:Y290,Y290)-1)))</f>
        <v/>
      </c>
      <c r="AA290" s="188" t="str">
        <f>IF(L290="","",VLOOKUP($L290,classifications!C:I,7,FALSE))</f>
        <v/>
      </c>
      <c r="AB290" s="184" t="str">
        <f t="shared" si="110"/>
        <v/>
      </c>
      <c r="AC290" s="184" t="str">
        <f>IF(AB290="","",IF($I$8="A",(RANK(AB290,AB$11:AB$368)+COUNTIF(AB$11:AB290,AB290)-1),(RANK(AB290,AB$11:AB$368,1)+COUNTIF(AB$11:AB290,AB290)-1)))</f>
        <v/>
      </c>
      <c r="AD290" s="184"/>
      <c r="AE290" s="28" t="str">
        <f t="shared" si="96"/>
        <v/>
      </c>
      <c r="AG290" s="96"/>
      <c r="AH290" s="29"/>
      <c r="AI290" s="38" t="str">
        <f>IF(L290="","",VLOOKUP($L290,classifications!$C:$J,8,FALSE))</f>
        <v/>
      </c>
      <c r="AJ290" s="39" t="str">
        <f t="shared" si="103"/>
        <v/>
      </c>
      <c r="AK290" s="34" t="str">
        <f>IF(AJ290="","",IF(I$8="A",(RANK(AJ290,AJ$11:AJ$368,1)+COUNTIF(AJ$11:AJ290,AJ290)-1),(RANK(AJ290,AJ$11:AJ$368)+COUNTIF(AJ$11:AJ290,AJ290)-1)))</f>
        <v/>
      </c>
      <c r="AL290" s="29" t="str">
        <f t="shared" si="111"/>
        <v/>
      </c>
      <c r="AM290" s="8" t="str">
        <f t="shared" si="104"/>
        <v/>
      </c>
      <c r="AN290" s="8" t="str">
        <f t="shared" si="112"/>
        <v/>
      </c>
      <c r="AP290" s="38" t="str">
        <f>IF(L290="","",VLOOKUP($L290,classifications!$C:$E,3,FALSE))</f>
        <v/>
      </c>
      <c r="AQ290" s="39" t="str">
        <f t="shared" si="113"/>
        <v/>
      </c>
      <c r="AR290" s="34" t="str">
        <f>IF(AQ290="","",IF(I$8="A",(RANK(AQ290,AQ$11:AQ$368,1)+COUNTIF(AQ$11:AQ290,AQ290)-1),(RANK(AQ290,AQ$11:AQ$368)+COUNTIF(AQ$11:AQ290,AQ290)-1)))</f>
        <v/>
      </c>
      <c r="AS290" s="29" t="str">
        <f t="shared" si="114"/>
        <v/>
      </c>
      <c r="AT290" s="34" t="str">
        <f t="shared" si="105"/>
        <v/>
      </c>
      <c r="AU290" s="39" t="str">
        <f t="shared" si="118"/>
        <v/>
      </c>
      <c r="AX290" s="21" t="str">
        <f>HLOOKUP($AX$9&amp;$AX$10,Data!$A$1:$ZZ$2000,(MATCH($C290,Data!$A$1:$A$2000,0)),FALSE)</f>
        <v>-</v>
      </c>
      <c r="AY290" s="103"/>
      <c r="AZ290" s="21"/>
    </row>
    <row r="291" spans="1:52">
      <c r="A291" s="56" t="str">
        <f>$D$1&amp;281</f>
        <v>SD281</v>
      </c>
      <c r="B291" s="57">
        <f>IF(ISERROR(VLOOKUP(A291,classifications!A:C,3,FALSE)),0,VLOOKUP(A291,classifications!A:C,3,FALSE))</f>
        <v>0</v>
      </c>
      <c r="C291" s="8" t="s">
        <v>248</v>
      </c>
      <c r="D291" s="26" t="str">
        <f>VLOOKUP($C291,classifications!$C:$J,4,FALSE)</f>
        <v>MD</v>
      </c>
      <c r="E291" s="26">
        <f>VLOOKUP(C291,classifications!C:K,9,FALSE)</f>
        <v>0</v>
      </c>
      <c r="F291" s="36">
        <f t="shared" si="97"/>
        <v>77.174803116619429</v>
      </c>
      <c r="G291" s="71"/>
      <c r="H291" s="37" t="str">
        <f t="shared" si="98"/>
        <v/>
      </c>
      <c r="I291" s="77" t="str">
        <f>IF(H291="","",IF($I$8="A",(RANK(H291,H$11:H$368,1)+COUNTIF(H$11:H291,H291)-1),(RANK(H291,H$11:H$368)+COUNTIF(H$11:H291,H291)-1)))</f>
        <v/>
      </c>
      <c r="J291" s="35"/>
      <c r="K291" s="28" t="str">
        <f t="shared" si="106"/>
        <v/>
      </c>
      <c r="L291" s="36" t="str">
        <f t="shared" si="99"/>
        <v/>
      </c>
      <c r="M291" s="102" t="str">
        <f t="shared" si="107"/>
        <v/>
      </c>
      <c r="N291" s="101" t="str">
        <f t="shared" si="108"/>
        <v/>
      </c>
      <c r="O291" s="94" t="str">
        <f t="shared" si="100"/>
        <v/>
      </c>
      <c r="P291" s="94" t="str">
        <f t="shared" si="115"/>
        <v/>
      </c>
      <c r="Q291" s="94" t="str">
        <f t="shared" si="116"/>
        <v/>
      </c>
      <c r="R291" s="90" t="str">
        <f t="shared" si="117"/>
        <v/>
      </c>
      <c r="S291" s="37" t="str">
        <f t="shared" si="109"/>
        <v/>
      </c>
      <c r="T291" s="176" t="str">
        <f>IF(L291="","",VLOOKUP(L291,classifications!C:K,9,FALSE))</f>
        <v/>
      </c>
      <c r="U291" s="183" t="str">
        <f t="shared" si="101"/>
        <v/>
      </c>
      <c r="V291" s="184" t="str">
        <f>IF(U291="","",IF($I$8="A",(RANK(U291,U$11:U$368)+COUNTIF(U$11:U291,U291)-1),(RANK(U291,U$11:U$368,1)+COUNTIF(U$11:U291,U291)-1)))</f>
        <v/>
      </c>
      <c r="W291" s="185"/>
      <c r="X291" s="38" t="str">
        <f>IF(L291="","",VLOOKUP($L291,classifications!$C:$J,6,FALSE))</f>
        <v/>
      </c>
      <c r="Y291" s="26" t="str">
        <f t="shared" si="102"/>
        <v/>
      </c>
      <c r="Z291" s="34" t="str">
        <f>IF(Y291="","",IF(I$8="A",(RANK(Y291,Y$11:Y$368,1)+COUNTIF(Y$11:Y291,Y291)-1),(RANK(Y291,Y$11:Y$368)+COUNTIF(Y$11:Y291,Y291)-1)))</f>
        <v/>
      </c>
      <c r="AA291" s="188" t="str">
        <f>IF(L291="","",VLOOKUP($L291,classifications!C:I,7,FALSE))</f>
        <v/>
      </c>
      <c r="AB291" s="184" t="str">
        <f t="shared" si="110"/>
        <v/>
      </c>
      <c r="AC291" s="184" t="str">
        <f>IF(AB291="","",IF($I$8="A",(RANK(AB291,AB$11:AB$368)+COUNTIF(AB$11:AB291,AB291)-1),(RANK(AB291,AB$11:AB$368,1)+COUNTIF(AB$11:AB291,AB291)-1)))</f>
        <v/>
      </c>
      <c r="AD291" s="184"/>
      <c r="AE291" s="28" t="str">
        <f t="shared" ref="AE291:AE354" si="119">IF(AE290="","",IF(AE290+1&gt;(COUNT(AG:AG)),"",AE290+1))</f>
        <v/>
      </c>
      <c r="AG291" s="96"/>
      <c r="AH291" s="29"/>
      <c r="AI291" s="38" t="str">
        <f>IF(L291="","",VLOOKUP($L291,classifications!$C:$J,8,FALSE))</f>
        <v/>
      </c>
      <c r="AJ291" s="39" t="str">
        <f t="shared" si="103"/>
        <v/>
      </c>
      <c r="AK291" s="34" t="str">
        <f>IF(AJ291="","",IF(I$8="A",(RANK(AJ291,AJ$11:AJ$368,1)+COUNTIF(AJ$11:AJ291,AJ291)-1),(RANK(AJ291,AJ$11:AJ$368)+COUNTIF(AJ$11:AJ291,AJ291)-1)))</f>
        <v/>
      </c>
      <c r="AL291" s="29" t="str">
        <f t="shared" si="111"/>
        <v/>
      </c>
      <c r="AM291" s="8" t="str">
        <f t="shared" si="104"/>
        <v/>
      </c>
      <c r="AN291" s="8" t="str">
        <f t="shared" si="112"/>
        <v/>
      </c>
      <c r="AP291" s="38" t="str">
        <f>IF(L291="","",VLOOKUP($L291,classifications!$C:$E,3,FALSE))</f>
        <v/>
      </c>
      <c r="AQ291" s="39" t="str">
        <f t="shared" si="113"/>
        <v/>
      </c>
      <c r="AR291" s="34" t="str">
        <f>IF(AQ291="","",IF(I$8="A",(RANK(AQ291,AQ$11:AQ$368,1)+COUNTIF(AQ$11:AQ291,AQ291)-1),(RANK(AQ291,AQ$11:AQ$368)+COUNTIF(AQ$11:AQ291,AQ291)-1)))</f>
        <v/>
      </c>
      <c r="AS291" s="29" t="str">
        <f t="shared" si="114"/>
        <v/>
      </c>
      <c r="AT291" s="34" t="str">
        <f t="shared" si="105"/>
        <v/>
      </c>
      <c r="AU291" s="39" t="str">
        <f t="shared" si="118"/>
        <v/>
      </c>
      <c r="AX291" s="21">
        <f>HLOOKUP($AX$9&amp;$AX$10,Data!$A$1:$ZZ$2000,(MATCH($C291,Data!$A$1:$A$2000,0)),FALSE)</f>
        <v>77.174803116619429</v>
      </c>
      <c r="AY291" s="103"/>
      <c r="AZ291" s="21"/>
    </row>
    <row r="292" spans="1:52">
      <c r="A292" s="56" t="str">
        <f>$D$1&amp;282</f>
        <v>SD282</v>
      </c>
      <c r="B292" s="57">
        <f>IF(ISERROR(VLOOKUP(A292,classifications!A:C,3,FALSE)),0,VLOOKUP(A292,classifications!A:C,3,FALSE))</f>
        <v>0</v>
      </c>
      <c r="C292" s="8" t="s">
        <v>153</v>
      </c>
      <c r="D292" s="26" t="str">
        <f>VLOOKUP($C292,classifications!$C:$J,4,FALSE)</f>
        <v>SD</v>
      </c>
      <c r="E292" s="26" t="str">
        <f>VLOOKUP(C292,classifications!C:K,9,FALSE)</f>
        <v>Sparse</v>
      </c>
      <c r="F292" s="36">
        <f t="shared" si="97"/>
        <v>79.769579178071908</v>
      </c>
      <c r="G292" s="71"/>
      <c r="H292" s="37">
        <f t="shared" si="98"/>
        <v>79.769579178071908</v>
      </c>
      <c r="I292" s="77">
        <f>IF(H292="","",IF($I$8="A",(RANK(H292,H$11:H$368,1)+COUNTIF(H$11:H292,H292)-1),(RANK(H292,H$11:H$368)+COUNTIF(H$11:H292,H292)-1)))</f>
        <v>122</v>
      </c>
      <c r="J292" s="35"/>
      <c r="K292" s="28" t="str">
        <f t="shared" si="106"/>
        <v/>
      </c>
      <c r="L292" s="36" t="str">
        <f t="shared" si="99"/>
        <v/>
      </c>
      <c r="M292" s="102" t="str">
        <f t="shared" si="107"/>
        <v/>
      </c>
      <c r="N292" s="101" t="str">
        <f t="shared" si="108"/>
        <v/>
      </c>
      <c r="O292" s="94" t="str">
        <f t="shared" si="100"/>
        <v/>
      </c>
      <c r="P292" s="94" t="str">
        <f t="shared" si="115"/>
        <v/>
      </c>
      <c r="Q292" s="94" t="str">
        <f t="shared" si="116"/>
        <v/>
      </c>
      <c r="R292" s="90" t="str">
        <f t="shared" si="117"/>
        <v/>
      </c>
      <c r="S292" s="37" t="str">
        <f t="shared" si="109"/>
        <v/>
      </c>
      <c r="T292" s="176" t="str">
        <f>IF(L292="","",VLOOKUP(L292,classifications!C:K,9,FALSE))</f>
        <v/>
      </c>
      <c r="U292" s="183" t="str">
        <f t="shared" si="101"/>
        <v/>
      </c>
      <c r="V292" s="184" t="str">
        <f>IF(U292="","",IF($I$8="A",(RANK(U292,U$11:U$368)+COUNTIF(U$11:U292,U292)-1),(RANK(U292,U$11:U$368,1)+COUNTIF(U$11:U292,U292)-1)))</f>
        <v/>
      </c>
      <c r="W292" s="185"/>
      <c r="X292" s="38" t="str">
        <f>IF(L292="","",VLOOKUP($L292,classifications!$C:$J,6,FALSE))</f>
        <v/>
      </c>
      <c r="Y292" s="26" t="str">
        <f t="shared" si="102"/>
        <v/>
      </c>
      <c r="Z292" s="34" t="str">
        <f>IF(Y292="","",IF(I$8="A",(RANK(Y292,Y$11:Y$368,1)+COUNTIF(Y$11:Y292,Y292)-1),(RANK(Y292,Y$11:Y$368)+COUNTIF(Y$11:Y292,Y292)-1)))</f>
        <v/>
      </c>
      <c r="AA292" s="188" t="str">
        <f>IF(L292="","",VLOOKUP($L292,classifications!C:I,7,FALSE))</f>
        <v/>
      </c>
      <c r="AB292" s="184" t="str">
        <f t="shared" si="110"/>
        <v/>
      </c>
      <c r="AC292" s="184" t="str">
        <f>IF(AB292="","",IF($I$8="A",(RANK(AB292,AB$11:AB$368)+COUNTIF(AB$11:AB292,AB292)-1),(RANK(AB292,AB$11:AB$368,1)+COUNTIF(AB$11:AB292,AB292)-1)))</f>
        <v/>
      </c>
      <c r="AD292" s="184"/>
      <c r="AE292" s="28" t="str">
        <f t="shared" si="119"/>
        <v/>
      </c>
      <c r="AG292" s="96"/>
      <c r="AH292" s="29"/>
      <c r="AI292" s="38" t="str">
        <f>IF(L292="","",VLOOKUP($L292,classifications!$C:$J,8,FALSE))</f>
        <v/>
      </c>
      <c r="AJ292" s="39" t="str">
        <f t="shared" si="103"/>
        <v/>
      </c>
      <c r="AK292" s="34" t="str">
        <f>IF(AJ292="","",IF(I$8="A",(RANK(AJ292,AJ$11:AJ$368,1)+COUNTIF(AJ$11:AJ292,AJ292)-1),(RANK(AJ292,AJ$11:AJ$368)+COUNTIF(AJ$11:AJ292,AJ292)-1)))</f>
        <v/>
      </c>
      <c r="AL292" s="29" t="str">
        <f t="shared" si="111"/>
        <v/>
      </c>
      <c r="AM292" s="8" t="str">
        <f t="shared" si="104"/>
        <v/>
      </c>
      <c r="AN292" s="8" t="str">
        <f t="shared" si="112"/>
        <v/>
      </c>
      <c r="AP292" s="38" t="str">
        <f>IF(L292="","",VLOOKUP($L292,classifications!$C:$E,3,FALSE))</f>
        <v/>
      </c>
      <c r="AQ292" s="39" t="str">
        <f t="shared" si="113"/>
        <v/>
      </c>
      <c r="AR292" s="34" t="str">
        <f>IF(AQ292="","",IF(I$8="A",(RANK(AQ292,AQ$11:AQ$368,1)+COUNTIF(AQ$11:AQ292,AQ292)-1),(RANK(AQ292,AQ$11:AQ$368)+COUNTIF(AQ$11:AQ292,AQ292)-1)))</f>
        <v/>
      </c>
      <c r="AS292" s="29" t="str">
        <f t="shared" si="114"/>
        <v/>
      </c>
      <c r="AT292" s="34" t="str">
        <f t="shared" si="105"/>
        <v/>
      </c>
      <c r="AU292" s="39" t="str">
        <f t="shared" si="118"/>
        <v/>
      </c>
      <c r="AX292" s="21">
        <f>HLOOKUP($AX$9&amp;$AX$10,Data!$A$1:$ZZ$2000,(MATCH($C292,Data!$A$1:$A$2000,0)),FALSE)</f>
        <v>79.769579178071908</v>
      </c>
      <c r="AY292" s="103"/>
      <c r="AZ292" s="21"/>
    </row>
    <row r="293" spans="1:52">
      <c r="A293" s="56" t="str">
        <f>$D$1&amp;283</f>
        <v>SD283</v>
      </c>
      <c r="B293" s="57">
        <f>IF(ISERROR(VLOOKUP(A293,classifications!A:C,3,FALSE)),0,VLOOKUP(A293,classifications!A:C,3,FALSE))</f>
        <v>0</v>
      </c>
      <c r="C293" s="8" t="s">
        <v>327</v>
      </c>
      <c r="D293" s="26" t="str">
        <f>VLOOKUP($C293,classifications!$C:$J,4,FALSE)</f>
        <v>SC</v>
      </c>
      <c r="E293" s="26" t="str">
        <f>VLOOKUP(C293,classifications!C:K,9,FALSE)</f>
        <v>Sparse</v>
      </c>
      <c r="F293" s="36">
        <f t="shared" si="97"/>
        <v>77.725481027737857</v>
      </c>
      <c r="G293" s="71"/>
      <c r="H293" s="37" t="str">
        <f t="shared" si="98"/>
        <v/>
      </c>
      <c r="I293" s="77" t="str">
        <f>IF(H293="","",IF($I$8="A",(RANK(H293,H$11:H$368,1)+COUNTIF(H$11:H293,H293)-1),(RANK(H293,H$11:H$368)+COUNTIF(H$11:H293,H293)-1)))</f>
        <v/>
      </c>
      <c r="J293" s="35"/>
      <c r="K293" s="28" t="str">
        <f t="shared" si="106"/>
        <v/>
      </c>
      <c r="L293" s="36" t="str">
        <f t="shared" si="99"/>
        <v/>
      </c>
      <c r="M293" s="102" t="str">
        <f t="shared" si="107"/>
        <v/>
      </c>
      <c r="N293" s="101" t="str">
        <f t="shared" si="108"/>
        <v/>
      </c>
      <c r="O293" s="94" t="str">
        <f t="shared" si="100"/>
        <v/>
      </c>
      <c r="P293" s="94" t="str">
        <f t="shared" si="115"/>
        <v/>
      </c>
      <c r="Q293" s="94" t="str">
        <f t="shared" si="116"/>
        <v/>
      </c>
      <c r="R293" s="90" t="str">
        <f t="shared" si="117"/>
        <v/>
      </c>
      <c r="S293" s="37" t="str">
        <f t="shared" si="109"/>
        <v/>
      </c>
      <c r="T293" s="176" t="str">
        <f>IF(L293="","",VLOOKUP(L293,classifications!C:K,9,FALSE))</f>
        <v/>
      </c>
      <c r="U293" s="183" t="str">
        <f t="shared" si="101"/>
        <v/>
      </c>
      <c r="V293" s="184" t="str">
        <f>IF(U293="","",IF($I$8="A",(RANK(U293,U$11:U$368)+COUNTIF(U$11:U293,U293)-1),(RANK(U293,U$11:U$368,1)+COUNTIF(U$11:U293,U293)-1)))</f>
        <v/>
      </c>
      <c r="W293" s="185"/>
      <c r="X293" s="38" t="str">
        <f>IF(L293="","",VLOOKUP($L293,classifications!$C:$J,6,FALSE))</f>
        <v/>
      </c>
      <c r="Y293" s="26" t="str">
        <f t="shared" si="102"/>
        <v/>
      </c>
      <c r="Z293" s="34" t="str">
        <f>IF(Y293="","",IF(I$8="A",(RANK(Y293,Y$11:Y$368,1)+COUNTIF(Y$11:Y293,Y293)-1),(RANK(Y293,Y$11:Y$368)+COUNTIF(Y$11:Y293,Y293)-1)))</f>
        <v/>
      </c>
      <c r="AA293" s="188" t="str">
        <f>IF(L293="","",VLOOKUP($L293,classifications!C:I,7,FALSE))</f>
        <v/>
      </c>
      <c r="AB293" s="184" t="str">
        <f t="shared" si="110"/>
        <v/>
      </c>
      <c r="AC293" s="184" t="str">
        <f>IF(AB293="","",IF($I$8="A",(RANK(AB293,AB$11:AB$368)+COUNTIF(AB$11:AB293,AB293)-1),(RANK(AB293,AB$11:AB$368,1)+COUNTIF(AB$11:AB293,AB293)-1)))</f>
        <v/>
      </c>
      <c r="AD293" s="184"/>
      <c r="AE293" s="28" t="str">
        <f t="shared" si="119"/>
        <v/>
      </c>
      <c r="AG293" s="96"/>
      <c r="AH293" s="29"/>
      <c r="AI293" s="38" t="str">
        <f>IF(L293="","",VLOOKUP($L293,classifications!$C:$J,8,FALSE))</f>
        <v/>
      </c>
      <c r="AJ293" s="39" t="str">
        <f t="shared" si="103"/>
        <v/>
      </c>
      <c r="AK293" s="34" t="str">
        <f>IF(AJ293="","",IF(I$8="A",(RANK(AJ293,AJ$11:AJ$368,1)+COUNTIF(AJ$11:AJ293,AJ293)-1),(RANK(AJ293,AJ$11:AJ$368)+COUNTIF(AJ$11:AJ293,AJ293)-1)))</f>
        <v/>
      </c>
      <c r="AL293" s="29" t="str">
        <f t="shared" si="111"/>
        <v/>
      </c>
      <c r="AM293" s="8" t="str">
        <f t="shared" si="104"/>
        <v/>
      </c>
      <c r="AN293" s="8" t="str">
        <f t="shared" si="112"/>
        <v/>
      </c>
      <c r="AP293" s="38" t="str">
        <f>IF(L293="","",VLOOKUP($L293,classifications!$C:$E,3,FALSE))</f>
        <v/>
      </c>
      <c r="AQ293" s="39" t="str">
        <f t="shared" si="113"/>
        <v/>
      </c>
      <c r="AR293" s="34" t="str">
        <f>IF(AQ293="","",IF(I$8="A",(RANK(AQ293,AQ$11:AQ$368,1)+COUNTIF(AQ$11:AQ293,AQ293)-1),(RANK(AQ293,AQ$11:AQ$368)+COUNTIF(AQ$11:AQ293,AQ293)-1)))</f>
        <v/>
      </c>
      <c r="AS293" s="29" t="str">
        <f t="shared" si="114"/>
        <v/>
      </c>
      <c r="AT293" s="34" t="str">
        <f t="shared" si="105"/>
        <v/>
      </c>
      <c r="AU293" s="39" t="str">
        <f t="shared" si="118"/>
        <v/>
      </c>
      <c r="AX293" s="21">
        <f>HLOOKUP($AX$9&amp;$AX$10,Data!$A$1:$ZZ$2000,(MATCH($C293,Data!$A$1:$A$2000,0)),FALSE)</f>
        <v>77.725481027737857</v>
      </c>
      <c r="AY293" s="103"/>
      <c r="AZ293" s="21"/>
    </row>
    <row r="294" spans="1:52">
      <c r="A294" s="56" t="str">
        <f>$D$1&amp;284</f>
        <v>SD284</v>
      </c>
      <c r="B294" s="57">
        <f>IF(ISERROR(VLOOKUP(A294,classifications!A:C,3,FALSE)),0,VLOOKUP(A294,classifications!A:C,3,FALSE))</f>
        <v>0</v>
      </c>
      <c r="C294" s="8" t="s">
        <v>154</v>
      </c>
      <c r="D294" s="26" t="str">
        <f>VLOOKUP($C294,classifications!$C:$J,4,FALSE)</f>
        <v>SD</v>
      </c>
      <c r="E294" s="26">
        <f>VLOOKUP(C294,classifications!C:K,9,FALSE)</f>
        <v>0</v>
      </c>
      <c r="F294" s="36">
        <f t="shared" si="97"/>
        <v>78.518699438510566</v>
      </c>
      <c r="G294" s="71"/>
      <c r="H294" s="37">
        <f t="shared" si="98"/>
        <v>78.518699438510566</v>
      </c>
      <c r="I294" s="77">
        <f>IF(H294="","",IF($I$8="A",(RANK(H294,H$11:H$368,1)+COUNTIF(H$11:H294,H294)-1),(RANK(H294,H$11:H$368)+COUNTIF(H$11:H294,H294)-1)))</f>
        <v>149</v>
      </c>
      <c r="J294" s="35"/>
      <c r="K294" s="28" t="str">
        <f t="shared" si="106"/>
        <v/>
      </c>
      <c r="L294" s="36" t="str">
        <f t="shared" si="99"/>
        <v/>
      </c>
      <c r="M294" s="102" t="str">
        <f t="shared" si="107"/>
        <v/>
      </c>
      <c r="N294" s="101" t="str">
        <f t="shared" si="108"/>
        <v/>
      </c>
      <c r="O294" s="94" t="str">
        <f t="shared" si="100"/>
        <v/>
      </c>
      <c r="P294" s="94" t="str">
        <f t="shared" si="115"/>
        <v/>
      </c>
      <c r="Q294" s="94" t="str">
        <f t="shared" si="116"/>
        <v/>
      </c>
      <c r="R294" s="90" t="str">
        <f t="shared" si="117"/>
        <v/>
      </c>
      <c r="S294" s="37" t="str">
        <f t="shared" si="109"/>
        <v/>
      </c>
      <c r="T294" s="176" t="str">
        <f>IF(L294="","",VLOOKUP(L294,classifications!C:K,9,FALSE))</f>
        <v/>
      </c>
      <c r="U294" s="183" t="str">
        <f t="shared" si="101"/>
        <v/>
      </c>
      <c r="V294" s="184" t="str">
        <f>IF(U294="","",IF($I$8="A",(RANK(U294,U$11:U$368)+COUNTIF(U$11:U294,U294)-1),(RANK(U294,U$11:U$368,1)+COUNTIF(U$11:U294,U294)-1)))</f>
        <v/>
      </c>
      <c r="W294" s="185"/>
      <c r="X294" s="38" t="str">
        <f>IF(L294="","",VLOOKUP($L294,classifications!$C:$J,6,FALSE))</f>
        <v/>
      </c>
      <c r="Y294" s="26" t="str">
        <f t="shared" si="102"/>
        <v/>
      </c>
      <c r="Z294" s="34" t="str">
        <f>IF(Y294="","",IF(I$8="A",(RANK(Y294,Y$11:Y$368,1)+COUNTIF(Y$11:Y294,Y294)-1),(RANK(Y294,Y$11:Y$368)+COUNTIF(Y$11:Y294,Y294)-1)))</f>
        <v/>
      </c>
      <c r="AA294" s="188" t="str">
        <f>IF(L294="","",VLOOKUP($L294,classifications!C:I,7,FALSE))</f>
        <v/>
      </c>
      <c r="AB294" s="184" t="str">
        <f t="shared" si="110"/>
        <v/>
      </c>
      <c r="AC294" s="184" t="str">
        <f>IF(AB294="","",IF($I$8="A",(RANK(AB294,AB$11:AB$368)+COUNTIF(AB$11:AB294,AB294)-1),(RANK(AB294,AB$11:AB$368,1)+COUNTIF(AB$11:AB294,AB294)-1)))</f>
        <v/>
      </c>
      <c r="AD294" s="184"/>
      <c r="AE294" s="28" t="str">
        <f t="shared" si="119"/>
        <v/>
      </c>
      <c r="AG294" s="96"/>
      <c r="AH294" s="29"/>
      <c r="AI294" s="38" t="str">
        <f>IF(L294="","",VLOOKUP($L294,classifications!$C:$J,8,FALSE))</f>
        <v/>
      </c>
      <c r="AJ294" s="39" t="str">
        <f t="shared" si="103"/>
        <v/>
      </c>
      <c r="AK294" s="34" t="str">
        <f>IF(AJ294="","",IF(I$8="A",(RANK(AJ294,AJ$11:AJ$368,1)+COUNTIF(AJ$11:AJ294,AJ294)-1),(RANK(AJ294,AJ$11:AJ$368)+COUNTIF(AJ$11:AJ294,AJ294)-1)))</f>
        <v/>
      </c>
      <c r="AL294" s="29" t="str">
        <f t="shared" si="111"/>
        <v/>
      </c>
      <c r="AM294" s="8" t="str">
        <f t="shared" si="104"/>
        <v/>
      </c>
      <c r="AN294" s="8" t="str">
        <f t="shared" si="112"/>
        <v/>
      </c>
      <c r="AP294" s="38" t="str">
        <f>IF(L294="","",VLOOKUP($L294,classifications!$C:$E,3,FALSE))</f>
        <v/>
      </c>
      <c r="AQ294" s="39" t="str">
        <f t="shared" si="113"/>
        <v/>
      </c>
      <c r="AR294" s="34" t="str">
        <f>IF(AQ294="","",IF(I$8="A",(RANK(AQ294,AQ$11:AQ$368,1)+COUNTIF(AQ$11:AQ294,AQ294)-1),(RANK(AQ294,AQ$11:AQ$368)+COUNTIF(AQ$11:AQ294,AQ294)-1)))</f>
        <v/>
      </c>
      <c r="AS294" s="29" t="str">
        <f t="shared" si="114"/>
        <v/>
      </c>
      <c r="AT294" s="34" t="str">
        <f t="shared" si="105"/>
        <v/>
      </c>
      <c r="AU294" s="39" t="str">
        <f t="shared" si="118"/>
        <v/>
      </c>
      <c r="AX294" s="21">
        <f>HLOOKUP($AX$9&amp;$AX$10,Data!$A$1:$ZZ$2000,(MATCH($C294,Data!$A$1:$A$2000,0)),FALSE)</f>
        <v>78.518699438510566</v>
      </c>
      <c r="AY294" s="103"/>
      <c r="AZ294" s="21"/>
    </row>
    <row r="295" spans="1:52">
      <c r="A295" s="56" t="str">
        <f>$D$1&amp;285</f>
        <v>SD285</v>
      </c>
      <c r="B295" s="57">
        <f>IF(ISERROR(VLOOKUP(A295,classifications!A:C,3,FALSE)),0,VLOOKUP(A295,classifications!A:C,3,FALSE))</f>
        <v>0</v>
      </c>
      <c r="C295" s="8" t="s">
        <v>155</v>
      </c>
      <c r="D295" s="26" t="str">
        <f>VLOOKUP($C295,classifications!$C:$J,4,FALSE)</f>
        <v>SD</v>
      </c>
      <c r="E295" s="26">
        <f>VLOOKUP(C295,classifications!C:K,9,FALSE)</f>
        <v>0</v>
      </c>
      <c r="F295" s="36">
        <f t="shared" si="97"/>
        <v>77.517422619143645</v>
      </c>
      <c r="G295" s="71"/>
      <c r="H295" s="37">
        <f t="shared" si="98"/>
        <v>77.517422619143645</v>
      </c>
      <c r="I295" s="77">
        <f>IF(H295="","",IF($I$8="A",(RANK(H295,H$11:H$368,1)+COUNTIF(H$11:H295,H295)-1),(RANK(H295,H$11:H$368)+COUNTIF(H$11:H295,H295)-1)))</f>
        <v>157</v>
      </c>
      <c r="J295" s="35"/>
      <c r="K295" s="28" t="str">
        <f t="shared" si="106"/>
        <v/>
      </c>
      <c r="L295" s="36" t="str">
        <f t="shared" si="99"/>
        <v/>
      </c>
      <c r="M295" s="102" t="str">
        <f t="shared" si="107"/>
        <v/>
      </c>
      <c r="N295" s="101" t="str">
        <f t="shared" si="108"/>
        <v/>
      </c>
      <c r="O295" s="94" t="str">
        <f t="shared" si="100"/>
        <v/>
      </c>
      <c r="P295" s="94" t="str">
        <f t="shared" si="115"/>
        <v/>
      </c>
      <c r="Q295" s="94" t="str">
        <f t="shared" si="116"/>
        <v/>
      </c>
      <c r="R295" s="90" t="str">
        <f t="shared" si="117"/>
        <v/>
      </c>
      <c r="S295" s="37" t="str">
        <f t="shared" si="109"/>
        <v/>
      </c>
      <c r="T295" s="176" t="str">
        <f>IF(L295="","",VLOOKUP(L295,classifications!C:K,9,FALSE))</f>
        <v/>
      </c>
      <c r="U295" s="183" t="str">
        <f t="shared" si="101"/>
        <v/>
      </c>
      <c r="V295" s="184" t="str">
        <f>IF(U295="","",IF($I$8="A",(RANK(U295,U$11:U$368)+COUNTIF(U$11:U295,U295)-1),(RANK(U295,U$11:U$368,1)+COUNTIF(U$11:U295,U295)-1)))</f>
        <v/>
      </c>
      <c r="W295" s="185"/>
      <c r="X295" s="38" t="str">
        <f>IF(L295="","",VLOOKUP($L295,classifications!$C:$J,6,FALSE))</f>
        <v/>
      </c>
      <c r="Y295" s="26" t="str">
        <f t="shared" si="102"/>
        <v/>
      </c>
      <c r="Z295" s="34" t="str">
        <f>IF(Y295="","",IF(I$8="A",(RANK(Y295,Y$11:Y$368,1)+COUNTIF(Y$11:Y295,Y295)-1),(RANK(Y295,Y$11:Y$368)+COUNTIF(Y$11:Y295,Y295)-1)))</f>
        <v/>
      </c>
      <c r="AA295" s="188" t="str">
        <f>IF(L295="","",VLOOKUP($L295,classifications!C:I,7,FALSE))</f>
        <v/>
      </c>
      <c r="AB295" s="184" t="str">
        <f t="shared" si="110"/>
        <v/>
      </c>
      <c r="AC295" s="184" t="str">
        <f>IF(AB295="","",IF($I$8="A",(RANK(AB295,AB$11:AB$368)+COUNTIF(AB$11:AB295,AB295)-1),(RANK(AB295,AB$11:AB$368,1)+COUNTIF(AB$11:AB295,AB295)-1)))</f>
        <v/>
      </c>
      <c r="AD295" s="184"/>
      <c r="AE295" s="28" t="str">
        <f t="shared" si="119"/>
        <v/>
      </c>
      <c r="AG295" s="96"/>
      <c r="AH295" s="29"/>
      <c r="AI295" s="38" t="str">
        <f>IF(L295="","",VLOOKUP($L295,classifications!$C:$J,8,FALSE))</f>
        <v/>
      </c>
      <c r="AJ295" s="39" t="str">
        <f t="shared" si="103"/>
        <v/>
      </c>
      <c r="AK295" s="34" t="str">
        <f>IF(AJ295="","",IF(I$8="A",(RANK(AJ295,AJ$11:AJ$368,1)+COUNTIF(AJ$11:AJ295,AJ295)-1),(RANK(AJ295,AJ$11:AJ$368)+COUNTIF(AJ$11:AJ295,AJ295)-1)))</f>
        <v/>
      </c>
      <c r="AL295" s="29" t="str">
        <f t="shared" si="111"/>
        <v/>
      </c>
      <c r="AM295" s="8" t="str">
        <f t="shared" si="104"/>
        <v/>
      </c>
      <c r="AN295" s="8" t="str">
        <f t="shared" si="112"/>
        <v/>
      </c>
      <c r="AP295" s="38" t="str">
        <f>IF(L295="","",VLOOKUP($L295,classifications!$C:$E,3,FALSE))</f>
        <v/>
      </c>
      <c r="AQ295" s="39" t="str">
        <f t="shared" si="113"/>
        <v/>
      </c>
      <c r="AR295" s="34" t="str">
        <f>IF(AQ295="","",IF(I$8="A",(RANK(AQ295,AQ$11:AQ$368,1)+COUNTIF(AQ$11:AQ295,AQ295)-1),(RANK(AQ295,AQ$11:AQ$368)+COUNTIF(AQ$11:AQ295,AQ295)-1)))</f>
        <v/>
      </c>
      <c r="AS295" s="29" t="str">
        <f t="shared" si="114"/>
        <v/>
      </c>
      <c r="AT295" s="34" t="str">
        <f t="shared" si="105"/>
        <v/>
      </c>
      <c r="AU295" s="39" t="str">
        <f t="shared" si="118"/>
        <v/>
      </c>
      <c r="AX295" s="21">
        <f>HLOOKUP($AX$9&amp;$AX$10,Data!$A$1:$ZZ$2000,(MATCH($C295,Data!$A$1:$A$2000,0)),FALSE)</f>
        <v>77.517422619143645</v>
      </c>
      <c r="AY295" s="103"/>
      <c r="AZ295" s="21"/>
    </row>
    <row r="296" spans="1:52">
      <c r="A296" s="56" t="str">
        <f>$D$1&amp;286</f>
        <v>SD286</v>
      </c>
      <c r="B296" s="57">
        <f>IF(ISERROR(VLOOKUP(A296,classifications!A:C,3,FALSE)),0,VLOOKUP(A296,classifications!A:C,3,FALSE))</f>
        <v>0</v>
      </c>
      <c r="C296" s="8" t="s">
        <v>249</v>
      </c>
      <c r="D296" s="26" t="str">
        <f>VLOOKUP($C296,classifications!$C:$J,4,FALSE)</f>
        <v>MD</v>
      </c>
      <c r="E296" s="26">
        <f>VLOOKUP(C296,classifications!C:K,9,FALSE)</f>
        <v>0</v>
      </c>
      <c r="F296" s="36">
        <f t="shared" si="97"/>
        <v>77.865084105190064</v>
      </c>
      <c r="G296" s="71"/>
      <c r="H296" s="37" t="str">
        <f t="shared" si="98"/>
        <v/>
      </c>
      <c r="I296" s="77" t="str">
        <f>IF(H296="","",IF($I$8="A",(RANK(H296,H$11:H$368,1)+COUNTIF(H$11:H296,H296)-1),(RANK(H296,H$11:H$368)+COUNTIF(H$11:H296,H296)-1)))</f>
        <v/>
      </c>
      <c r="J296" s="35"/>
      <c r="K296" s="28" t="str">
        <f t="shared" si="106"/>
        <v/>
      </c>
      <c r="L296" s="36" t="str">
        <f t="shared" si="99"/>
        <v/>
      </c>
      <c r="M296" s="102" t="str">
        <f t="shared" si="107"/>
        <v/>
      </c>
      <c r="N296" s="101" t="str">
        <f t="shared" si="108"/>
        <v/>
      </c>
      <c r="O296" s="94" t="str">
        <f t="shared" si="100"/>
        <v/>
      </c>
      <c r="P296" s="94" t="str">
        <f t="shared" si="115"/>
        <v/>
      </c>
      <c r="Q296" s="94" t="str">
        <f t="shared" si="116"/>
        <v/>
      </c>
      <c r="R296" s="90" t="str">
        <f t="shared" si="117"/>
        <v/>
      </c>
      <c r="S296" s="37" t="str">
        <f t="shared" si="109"/>
        <v/>
      </c>
      <c r="T296" s="176" t="str">
        <f>IF(L296="","",VLOOKUP(L296,classifications!C:K,9,FALSE))</f>
        <v/>
      </c>
      <c r="U296" s="183" t="str">
        <f t="shared" si="101"/>
        <v/>
      </c>
      <c r="V296" s="184" t="str">
        <f>IF(U296="","",IF($I$8="A",(RANK(U296,U$11:U$368)+COUNTIF(U$11:U296,U296)-1),(RANK(U296,U$11:U$368,1)+COUNTIF(U$11:U296,U296)-1)))</f>
        <v/>
      </c>
      <c r="W296" s="185"/>
      <c r="X296" s="38" t="str">
        <f>IF(L296="","",VLOOKUP($L296,classifications!$C:$J,6,FALSE))</f>
        <v/>
      </c>
      <c r="Y296" s="26" t="str">
        <f t="shared" si="102"/>
        <v/>
      </c>
      <c r="Z296" s="34" t="str">
        <f>IF(Y296="","",IF(I$8="A",(RANK(Y296,Y$11:Y$368,1)+COUNTIF(Y$11:Y296,Y296)-1),(RANK(Y296,Y$11:Y$368)+COUNTIF(Y$11:Y296,Y296)-1)))</f>
        <v/>
      </c>
      <c r="AA296" s="188" t="str">
        <f>IF(L296="","",VLOOKUP($L296,classifications!C:I,7,FALSE))</f>
        <v/>
      </c>
      <c r="AB296" s="184" t="str">
        <f t="shared" si="110"/>
        <v/>
      </c>
      <c r="AC296" s="184" t="str">
        <f>IF(AB296="","",IF($I$8="A",(RANK(AB296,AB$11:AB$368)+COUNTIF(AB$11:AB296,AB296)-1),(RANK(AB296,AB$11:AB$368,1)+COUNTIF(AB$11:AB296,AB296)-1)))</f>
        <v/>
      </c>
      <c r="AD296" s="184"/>
      <c r="AE296" s="28" t="str">
        <f t="shared" si="119"/>
        <v/>
      </c>
      <c r="AG296" s="96"/>
      <c r="AH296" s="29"/>
      <c r="AI296" s="38" t="str">
        <f>IF(L296="","",VLOOKUP($L296,classifications!$C:$J,8,FALSE))</f>
        <v/>
      </c>
      <c r="AJ296" s="39" t="str">
        <f t="shared" si="103"/>
        <v/>
      </c>
      <c r="AK296" s="34" t="str">
        <f>IF(AJ296="","",IF(I$8="A",(RANK(AJ296,AJ$11:AJ$368,1)+COUNTIF(AJ$11:AJ296,AJ296)-1),(RANK(AJ296,AJ$11:AJ$368)+COUNTIF(AJ$11:AJ296,AJ296)-1)))</f>
        <v/>
      </c>
      <c r="AL296" s="29" t="str">
        <f t="shared" si="111"/>
        <v/>
      </c>
      <c r="AM296" s="8" t="str">
        <f t="shared" si="104"/>
        <v/>
      </c>
      <c r="AN296" s="8" t="str">
        <f t="shared" si="112"/>
        <v/>
      </c>
      <c r="AP296" s="38" t="str">
        <f>IF(L296="","",VLOOKUP($L296,classifications!$C:$E,3,FALSE))</f>
        <v/>
      </c>
      <c r="AQ296" s="39" t="str">
        <f t="shared" si="113"/>
        <v/>
      </c>
      <c r="AR296" s="34" t="str">
        <f>IF(AQ296="","",IF(I$8="A",(RANK(AQ296,AQ$11:AQ$368,1)+COUNTIF(AQ$11:AQ296,AQ296)-1),(RANK(AQ296,AQ$11:AQ$368)+COUNTIF(AQ$11:AQ296,AQ296)-1)))</f>
        <v/>
      </c>
      <c r="AS296" s="29" t="str">
        <f t="shared" si="114"/>
        <v/>
      </c>
      <c r="AT296" s="34" t="str">
        <f t="shared" si="105"/>
        <v/>
      </c>
      <c r="AU296" s="39" t="str">
        <f t="shared" si="118"/>
        <v/>
      </c>
      <c r="AX296" s="21">
        <f>HLOOKUP($AX$9&amp;$AX$10,Data!$A$1:$ZZ$2000,(MATCH($C296,Data!$A$1:$A$2000,0)),FALSE)</f>
        <v>77.865084105190064</v>
      </c>
      <c r="AY296" s="103"/>
      <c r="AZ296" s="21"/>
    </row>
    <row r="297" spans="1:52">
      <c r="A297" s="56" t="str">
        <f>$D$1&amp;287</f>
        <v>SD287</v>
      </c>
      <c r="B297" s="57">
        <f>IF(ISERROR(VLOOKUP(A297,classifications!A:C,3,FALSE)),0,VLOOKUP(A297,classifications!A:C,3,FALSE))</f>
        <v>0</v>
      </c>
      <c r="C297" s="8" t="s">
        <v>290</v>
      </c>
      <c r="D297" s="26" t="str">
        <f>VLOOKUP($C297,classifications!$C:$J,4,FALSE)</f>
        <v>UA</v>
      </c>
      <c r="E297" s="26">
        <f>VLOOKUP(C297,classifications!C:K,9,FALSE)</f>
        <v>0</v>
      </c>
      <c r="F297" s="36">
        <f t="shared" si="97"/>
        <v>77.424321472031551</v>
      </c>
      <c r="G297" s="71"/>
      <c r="H297" s="37" t="str">
        <f t="shared" si="98"/>
        <v/>
      </c>
      <c r="I297" s="77" t="str">
        <f>IF(H297="","",IF($I$8="A",(RANK(H297,H$11:H$368,1)+COUNTIF(H$11:H297,H297)-1),(RANK(H297,H$11:H$368)+COUNTIF(H$11:H297,H297)-1)))</f>
        <v/>
      </c>
      <c r="J297" s="35"/>
      <c r="K297" s="28" t="str">
        <f t="shared" si="106"/>
        <v/>
      </c>
      <c r="L297" s="36" t="str">
        <f t="shared" si="99"/>
        <v/>
      </c>
      <c r="M297" s="102" t="str">
        <f t="shared" si="107"/>
        <v/>
      </c>
      <c r="N297" s="101" t="str">
        <f t="shared" si="108"/>
        <v/>
      </c>
      <c r="O297" s="94" t="str">
        <f t="shared" si="100"/>
        <v/>
      </c>
      <c r="P297" s="94" t="str">
        <f t="shared" si="115"/>
        <v/>
      </c>
      <c r="Q297" s="94" t="str">
        <f t="shared" si="116"/>
        <v/>
      </c>
      <c r="R297" s="90" t="str">
        <f t="shared" si="117"/>
        <v/>
      </c>
      <c r="S297" s="37" t="str">
        <f t="shared" si="109"/>
        <v/>
      </c>
      <c r="T297" s="176" t="str">
        <f>IF(L297="","",VLOOKUP(L297,classifications!C:K,9,FALSE))</f>
        <v/>
      </c>
      <c r="U297" s="183" t="str">
        <f t="shared" si="101"/>
        <v/>
      </c>
      <c r="V297" s="184" t="str">
        <f>IF(U297="","",IF($I$8="A",(RANK(U297,U$11:U$368)+COUNTIF(U$11:U297,U297)-1),(RANK(U297,U$11:U$368,1)+COUNTIF(U$11:U297,U297)-1)))</f>
        <v/>
      </c>
      <c r="W297" s="185"/>
      <c r="X297" s="38" t="str">
        <f>IF(L297="","",VLOOKUP($L297,classifications!$C:$J,6,FALSE))</f>
        <v/>
      </c>
      <c r="Y297" s="26" t="str">
        <f t="shared" si="102"/>
        <v/>
      </c>
      <c r="Z297" s="34" t="str">
        <f>IF(Y297="","",IF(I$8="A",(RANK(Y297,Y$11:Y$368,1)+COUNTIF(Y$11:Y297,Y297)-1),(RANK(Y297,Y$11:Y$368)+COUNTIF(Y$11:Y297,Y297)-1)))</f>
        <v/>
      </c>
      <c r="AA297" s="188" t="str">
        <f>IF(L297="","",VLOOKUP($L297,classifications!C:I,7,FALSE))</f>
        <v/>
      </c>
      <c r="AB297" s="184" t="str">
        <f t="shared" si="110"/>
        <v/>
      </c>
      <c r="AC297" s="184" t="str">
        <f>IF(AB297="","",IF($I$8="A",(RANK(AB297,AB$11:AB$368)+COUNTIF(AB$11:AB297,AB297)-1),(RANK(AB297,AB$11:AB$368,1)+COUNTIF(AB$11:AB297,AB297)-1)))</f>
        <v/>
      </c>
      <c r="AD297" s="184"/>
      <c r="AE297" s="28" t="str">
        <f t="shared" si="119"/>
        <v/>
      </c>
      <c r="AG297" s="96"/>
      <c r="AH297" s="29"/>
      <c r="AI297" s="38" t="str">
        <f>IF(L297="","",VLOOKUP($L297,classifications!$C:$J,8,FALSE))</f>
        <v/>
      </c>
      <c r="AJ297" s="39" t="str">
        <f t="shared" si="103"/>
        <v/>
      </c>
      <c r="AK297" s="34" t="str">
        <f>IF(AJ297="","",IF(I$8="A",(RANK(AJ297,AJ$11:AJ$368,1)+COUNTIF(AJ$11:AJ297,AJ297)-1),(RANK(AJ297,AJ$11:AJ$368)+COUNTIF(AJ$11:AJ297,AJ297)-1)))</f>
        <v/>
      </c>
      <c r="AL297" s="29" t="str">
        <f t="shared" si="111"/>
        <v/>
      </c>
      <c r="AM297" s="8" t="str">
        <f t="shared" si="104"/>
        <v/>
      </c>
      <c r="AN297" s="8" t="str">
        <f t="shared" si="112"/>
        <v/>
      </c>
      <c r="AP297" s="38" t="str">
        <f>IF(L297="","",VLOOKUP($L297,classifications!$C:$E,3,FALSE))</f>
        <v/>
      </c>
      <c r="AQ297" s="39" t="str">
        <f t="shared" si="113"/>
        <v/>
      </c>
      <c r="AR297" s="34" t="str">
        <f>IF(AQ297="","",IF(I$8="A",(RANK(AQ297,AQ$11:AQ$368,1)+COUNTIF(AQ$11:AQ297,AQ297)-1),(RANK(AQ297,AQ$11:AQ$368)+COUNTIF(AQ$11:AQ297,AQ297)-1)))</f>
        <v/>
      </c>
      <c r="AS297" s="29" t="str">
        <f t="shared" si="114"/>
        <v/>
      </c>
      <c r="AT297" s="34" t="str">
        <f t="shared" si="105"/>
        <v/>
      </c>
      <c r="AU297" s="39" t="str">
        <f t="shared" si="118"/>
        <v/>
      </c>
      <c r="AX297" s="21">
        <f>HLOOKUP($AX$9&amp;$AX$10,Data!$A$1:$ZZ$2000,(MATCH($C297,Data!$A$1:$A$2000,0)),FALSE)</f>
        <v>77.424321472031551</v>
      </c>
      <c r="AY297" s="103"/>
      <c r="AZ297" s="21"/>
    </row>
    <row r="298" spans="1:52">
      <c r="A298" s="56" t="str">
        <f>$D$1&amp;288</f>
        <v>SD288</v>
      </c>
      <c r="B298" s="57">
        <f>IF(ISERROR(VLOOKUP(A298,classifications!A:C,3,FALSE)),0,VLOOKUP(A298,classifications!A:C,3,FALSE))</f>
        <v>0</v>
      </c>
      <c r="C298" s="8" t="s">
        <v>291</v>
      </c>
      <c r="D298" s="26" t="str">
        <f>VLOOKUP($C298,classifications!$C:$J,4,FALSE)</f>
        <v>UA</v>
      </c>
      <c r="E298" s="26">
        <f>VLOOKUP(C298,classifications!C:K,9,FALSE)</f>
        <v>0</v>
      </c>
      <c r="F298" s="36">
        <f t="shared" si="97"/>
        <v>69.749934511900051</v>
      </c>
      <c r="G298" s="71"/>
      <c r="H298" s="37" t="str">
        <f t="shared" si="98"/>
        <v/>
      </c>
      <c r="I298" s="77" t="str">
        <f>IF(H298="","",IF($I$8="A",(RANK(H298,H$11:H$368,1)+COUNTIF(H$11:H298,H298)-1),(RANK(H298,H$11:H$368)+COUNTIF(H$11:H298,H298)-1)))</f>
        <v/>
      </c>
      <c r="J298" s="35"/>
      <c r="K298" s="28" t="str">
        <f t="shared" si="106"/>
        <v/>
      </c>
      <c r="L298" s="36" t="str">
        <f t="shared" si="99"/>
        <v/>
      </c>
      <c r="M298" s="102" t="str">
        <f t="shared" si="107"/>
        <v/>
      </c>
      <c r="N298" s="101" t="str">
        <f t="shared" si="108"/>
        <v/>
      </c>
      <c r="O298" s="94" t="str">
        <f t="shared" si="100"/>
        <v/>
      </c>
      <c r="P298" s="94" t="str">
        <f t="shared" si="115"/>
        <v/>
      </c>
      <c r="Q298" s="94" t="str">
        <f t="shared" si="116"/>
        <v/>
      </c>
      <c r="R298" s="90" t="str">
        <f t="shared" si="117"/>
        <v/>
      </c>
      <c r="S298" s="37" t="str">
        <f t="shared" si="109"/>
        <v/>
      </c>
      <c r="T298" s="176" t="str">
        <f>IF(L298="","",VLOOKUP(L298,classifications!C:K,9,FALSE))</f>
        <v/>
      </c>
      <c r="U298" s="183" t="str">
        <f t="shared" si="101"/>
        <v/>
      </c>
      <c r="V298" s="184" t="str">
        <f>IF(U298="","",IF($I$8="A",(RANK(U298,U$11:U$368)+COUNTIF(U$11:U298,U298)-1),(RANK(U298,U$11:U$368,1)+COUNTIF(U$11:U298,U298)-1)))</f>
        <v/>
      </c>
      <c r="W298" s="185"/>
      <c r="X298" s="38" t="str">
        <f>IF(L298="","",VLOOKUP($L298,classifications!$C:$J,6,FALSE))</f>
        <v/>
      </c>
      <c r="Y298" s="26" t="str">
        <f t="shared" si="102"/>
        <v/>
      </c>
      <c r="Z298" s="34" t="str">
        <f>IF(Y298="","",IF(I$8="A",(RANK(Y298,Y$11:Y$368,1)+COUNTIF(Y$11:Y298,Y298)-1),(RANK(Y298,Y$11:Y$368)+COUNTIF(Y$11:Y298,Y298)-1)))</f>
        <v/>
      </c>
      <c r="AA298" s="188" t="str">
        <f>IF(L298="","",VLOOKUP($L298,classifications!C:I,7,FALSE))</f>
        <v/>
      </c>
      <c r="AB298" s="184" t="str">
        <f t="shared" si="110"/>
        <v/>
      </c>
      <c r="AC298" s="184" t="str">
        <f>IF(AB298="","",IF($I$8="A",(RANK(AB298,AB$11:AB$368)+COUNTIF(AB$11:AB298,AB298)-1),(RANK(AB298,AB$11:AB$368,1)+COUNTIF(AB$11:AB298,AB298)-1)))</f>
        <v/>
      </c>
      <c r="AD298" s="184"/>
      <c r="AE298" s="28" t="str">
        <f t="shared" si="119"/>
        <v/>
      </c>
      <c r="AG298" s="96"/>
      <c r="AH298" s="29"/>
      <c r="AI298" s="38" t="str">
        <f>IF(L298="","",VLOOKUP($L298,classifications!$C:$J,8,FALSE))</f>
        <v/>
      </c>
      <c r="AJ298" s="39" t="str">
        <f t="shared" si="103"/>
        <v/>
      </c>
      <c r="AK298" s="34" t="str">
        <f>IF(AJ298="","",IF(I$8="A",(RANK(AJ298,AJ$11:AJ$368,1)+COUNTIF(AJ$11:AJ298,AJ298)-1),(RANK(AJ298,AJ$11:AJ$368)+COUNTIF(AJ$11:AJ298,AJ298)-1)))</f>
        <v/>
      </c>
      <c r="AL298" s="29" t="str">
        <f t="shared" si="111"/>
        <v/>
      </c>
      <c r="AM298" s="8" t="str">
        <f t="shared" si="104"/>
        <v/>
      </c>
      <c r="AN298" s="8" t="str">
        <f t="shared" si="112"/>
        <v/>
      </c>
      <c r="AP298" s="38" t="str">
        <f>IF(L298="","",VLOOKUP($L298,classifications!$C:$E,3,FALSE))</f>
        <v/>
      </c>
      <c r="AQ298" s="39" t="str">
        <f t="shared" si="113"/>
        <v/>
      </c>
      <c r="AR298" s="34" t="str">
        <f>IF(AQ298="","",IF(I$8="A",(RANK(AQ298,AQ$11:AQ$368,1)+COUNTIF(AQ$11:AQ298,AQ298)-1),(RANK(AQ298,AQ$11:AQ$368)+COUNTIF(AQ$11:AQ298,AQ298)-1)))</f>
        <v/>
      </c>
      <c r="AS298" s="29" t="str">
        <f t="shared" si="114"/>
        <v/>
      </c>
      <c r="AT298" s="34" t="str">
        <f t="shared" si="105"/>
        <v/>
      </c>
      <c r="AU298" s="39" t="str">
        <f t="shared" si="118"/>
        <v/>
      </c>
      <c r="AX298" s="21">
        <f>HLOOKUP($AX$9&amp;$AX$10,Data!$A$1:$ZZ$2000,(MATCH($C298,Data!$A$1:$A$2000,0)),FALSE)</f>
        <v>69.749934511900051</v>
      </c>
      <c r="AY298" s="103"/>
      <c r="AZ298" s="21"/>
    </row>
    <row r="299" spans="1:52">
      <c r="A299" s="56" t="str">
        <f>$D$1&amp;289</f>
        <v>SD289</v>
      </c>
      <c r="B299" s="57">
        <f>IF(ISERROR(VLOOKUP(A299,classifications!A:C,3,FALSE)),0,VLOOKUP(A299,classifications!A:C,3,FALSE))</f>
        <v>0</v>
      </c>
      <c r="C299" s="8" t="s">
        <v>156</v>
      </c>
      <c r="D299" s="26" t="str">
        <f>VLOOKUP($C299,classifications!$C:$J,4,FALSE)</f>
        <v>SD</v>
      </c>
      <c r="E299" s="26" t="str">
        <f>VLOOKUP(C299,classifications!C:K,9,FALSE)</f>
        <v>Sparse</v>
      </c>
      <c r="F299" s="36">
        <f t="shared" si="97"/>
        <v>79.476376362365343</v>
      </c>
      <c r="G299" s="71"/>
      <c r="H299" s="37">
        <f t="shared" si="98"/>
        <v>79.476376362365343</v>
      </c>
      <c r="I299" s="77">
        <f>IF(H299="","",IF($I$8="A",(RANK(H299,H$11:H$368,1)+COUNTIF(H$11:H299,H299)-1),(RANK(H299,H$11:H$368)+COUNTIF(H$11:H299,H299)-1)))</f>
        <v>127</v>
      </c>
      <c r="J299" s="35"/>
      <c r="K299" s="28" t="str">
        <f t="shared" si="106"/>
        <v/>
      </c>
      <c r="L299" s="36" t="str">
        <f t="shared" si="99"/>
        <v/>
      </c>
      <c r="M299" s="102" t="str">
        <f t="shared" si="107"/>
        <v/>
      </c>
      <c r="N299" s="101" t="str">
        <f t="shared" si="108"/>
        <v/>
      </c>
      <c r="O299" s="94" t="str">
        <f t="shared" si="100"/>
        <v/>
      </c>
      <c r="P299" s="94" t="str">
        <f t="shared" si="115"/>
        <v/>
      </c>
      <c r="Q299" s="94" t="str">
        <f t="shared" si="116"/>
        <v/>
      </c>
      <c r="R299" s="90" t="str">
        <f t="shared" si="117"/>
        <v/>
      </c>
      <c r="S299" s="37" t="str">
        <f t="shared" si="109"/>
        <v/>
      </c>
      <c r="T299" s="176" t="str">
        <f>IF(L299="","",VLOOKUP(L299,classifications!C:K,9,FALSE))</f>
        <v/>
      </c>
      <c r="U299" s="183" t="str">
        <f t="shared" si="101"/>
        <v/>
      </c>
      <c r="V299" s="184" t="str">
        <f>IF(U299="","",IF($I$8="A",(RANK(U299,U$11:U$368)+COUNTIF(U$11:U299,U299)-1),(RANK(U299,U$11:U$368,1)+COUNTIF(U$11:U299,U299)-1)))</f>
        <v/>
      </c>
      <c r="W299" s="185"/>
      <c r="X299" s="38" t="str">
        <f>IF(L299="","",VLOOKUP($L299,classifications!$C:$J,6,FALSE))</f>
        <v/>
      </c>
      <c r="Y299" s="26" t="str">
        <f t="shared" si="102"/>
        <v/>
      </c>
      <c r="Z299" s="34" t="str">
        <f>IF(Y299="","",IF(I$8="A",(RANK(Y299,Y$11:Y$368,1)+COUNTIF(Y$11:Y299,Y299)-1),(RANK(Y299,Y$11:Y$368)+COUNTIF(Y$11:Y299,Y299)-1)))</f>
        <v/>
      </c>
      <c r="AA299" s="188" t="str">
        <f>IF(L299="","",VLOOKUP($L299,classifications!C:I,7,FALSE))</f>
        <v/>
      </c>
      <c r="AB299" s="184" t="str">
        <f t="shared" si="110"/>
        <v/>
      </c>
      <c r="AC299" s="184" t="str">
        <f>IF(AB299="","",IF($I$8="A",(RANK(AB299,AB$11:AB$368)+COUNTIF(AB$11:AB299,AB299)-1),(RANK(AB299,AB$11:AB$368,1)+COUNTIF(AB$11:AB299,AB299)-1)))</f>
        <v/>
      </c>
      <c r="AD299" s="184"/>
      <c r="AE299" s="28" t="str">
        <f t="shared" si="119"/>
        <v/>
      </c>
      <c r="AG299" s="96"/>
      <c r="AH299" s="29"/>
      <c r="AI299" s="38" t="str">
        <f>IF(L299="","",VLOOKUP($L299,classifications!$C:$J,8,FALSE))</f>
        <v/>
      </c>
      <c r="AJ299" s="39" t="str">
        <f t="shared" si="103"/>
        <v/>
      </c>
      <c r="AK299" s="34" t="str">
        <f>IF(AJ299="","",IF(I$8="A",(RANK(AJ299,AJ$11:AJ$368,1)+COUNTIF(AJ$11:AJ299,AJ299)-1),(RANK(AJ299,AJ$11:AJ$368)+COUNTIF(AJ$11:AJ299,AJ299)-1)))</f>
        <v/>
      </c>
      <c r="AL299" s="29" t="str">
        <f t="shared" si="111"/>
        <v/>
      </c>
      <c r="AM299" s="8" t="str">
        <f t="shared" si="104"/>
        <v/>
      </c>
      <c r="AN299" s="8" t="str">
        <f t="shared" si="112"/>
        <v/>
      </c>
      <c r="AP299" s="38" t="str">
        <f>IF(L299="","",VLOOKUP($L299,classifications!$C:$E,3,FALSE))</f>
        <v/>
      </c>
      <c r="AQ299" s="39" t="str">
        <f t="shared" si="113"/>
        <v/>
      </c>
      <c r="AR299" s="34" t="str">
        <f>IF(AQ299="","",IF(I$8="A",(RANK(AQ299,AQ$11:AQ$368,1)+COUNTIF(AQ$11:AQ299,AQ299)-1),(RANK(AQ299,AQ$11:AQ$368)+COUNTIF(AQ$11:AQ299,AQ299)-1)))</f>
        <v/>
      </c>
      <c r="AS299" s="29" t="str">
        <f t="shared" si="114"/>
        <v/>
      </c>
      <c r="AT299" s="34" t="str">
        <f t="shared" si="105"/>
        <v/>
      </c>
      <c r="AU299" s="39" t="str">
        <f t="shared" si="118"/>
        <v/>
      </c>
      <c r="AX299" s="21">
        <f>HLOOKUP($AX$9&amp;$AX$10,Data!$A$1:$ZZ$2000,(MATCH($C299,Data!$A$1:$A$2000,0)),FALSE)</f>
        <v>79.476376362365343</v>
      </c>
      <c r="AY299" s="103"/>
      <c r="AZ299" s="21"/>
    </row>
    <row r="300" spans="1:52">
      <c r="A300" s="56" t="str">
        <f>$D$1&amp;290</f>
        <v>SD290</v>
      </c>
      <c r="B300" s="57">
        <f>IF(ISERROR(VLOOKUP(A300,classifications!A:C,3,FALSE)),0,VLOOKUP(A300,classifications!A:C,3,FALSE))</f>
        <v>0</v>
      </c>
      <c r="C300" s="8" t="s">
        <v>157</v>
      </c>
      <c r="D300" s="26" t="str">
        <f>VLOOKUP($C300,classifications!$C:$J,4,FALSE)</f>
        <v>SD</v>
      </c>
      <c r="E300" s="26" t="str">
        <f>VLOOKUP(C300,classifications!C:K,9,FALSE)</f>
        <v>Sparse</v>
      </c>
      <c r="F300" s="36">
        <f t="shared" si="97"/>
        <v>86.265798297340964</v>
      </c>
      <c r="G300" s="71"/>
      <c r="H300" s="37">
        <f t="shared" si="98"/>
        <v>86.265798297340964</v>
      </c>
      <c r="I300" s="77">
        <f>IF(H300="","",IF($I$8="A",(RANK(H300,H$11:H$368,1)+COUNTIF(H$11:H300,H300)-1),(RANK(H300,H$11:H$368)+COUNTIF(H$11:H300,H300)-1)))</f>
        <v>16</v>
      </c>
      <c r="J300" s="35"/>
      <c r="K300" s="28" t="str">
        <f t="shared" si="106"/>
        <v/>
      </c>
      <c r="L300" s="36" t="str">
        <f t="shared" si="99"/>
        <v/>
      </c>
      <c r="M300" s="102" t="str">
        <f t="shared" si="107"/>
        <v/>
      </c>
      <c r="N300" s="101" t="str">
        <f t="shared" si="108"/>
        <v/>
      </c>
      <c r="O300" s="94" t="str">
        <f t="shared" si="100"/>
        <v/>
      </c>
      <c r="P300" s="94" t="str">
        <f t="shared" si="115"/>
        <v/>
      </c>
      <c r="Q300" s="94" t="str">
        <f t="shared" si="116"/>
        <v/>
      </c>
      <c r="R300" s="90" t="str">
        <f t="shared" si="117"/>
        <v/>
      </c>
      <c r="S300" s="37" t="str">
        <f t="shared" si="109"/>
        <v/>
      </c>
      <c r="T300" s="176" t="str">
        <f>IF(L300="","",VLOOKUP(L300,classifications!C:K,9,FALSE))</f>
        <v/>
      </c>
      <c r="U300" s="183" t="str">
        <f t="shared" si="101"/>
        <v/>
      </c>
      <c r="V300" s="184" t="str">
        <f>IF(U300="","",IF($I$8="A",(RANK(U300,U$11:U$368)+COUNTIF(U$11:U300,U300)-1),(RANK(U300,U$11:U$368,1)+COUNTIF(U$11:U300,U300)-1)))</f>
        <v/>
      </c>
      <c r="W300" s="185"/>
      <c r="X300" s="38" t="str">
        <f>IF(L300="","",VLOOKUP($L300,classifications!$C:$J,6,FALSE))</f>
        <v/>
      </c>
      <c r="Y300" s="26" t="str">
        <f t="shared" si="102"/>
        <v/>
      </c>
      <c r="Z300" s="34" t="str">
        <f>IF(Y300="","",IF(I$8="A",(RANK(Y300,Y$11:Y$368,1)+COUNTIF(Y$11:Y300,Y300)-1),(RANK(Y300,Y$11:Y$368)+COUNTIF(Y$11:Y300,Y300)-1)))</f>
        <v/>
      </c>
      <c r="AA300" s="188" t="str">
        <f>IF(L300="","",VLOOKUP($L300,classifications!C:I,7,FALSE))</f>
        <v/>
      </c>
      <c r="AB300" s="184" t="str">
        <f t="shared" si="110"/>
        <v/>
      </c>
      <c r="AC300" s="184" t="str">
        <f>IF(AB300="","",IF($I$8="A",(RANK(AB300,AB$11:AB$368)+COUNTIF(AB$11:AB300,AB300)-1),(RANK(AB300,AB$11:AB$368,1)+COUNTIF(AB$11:AB300,AB300)-1)))</f>
        <v/>
      </c>
      <c r="AD300" s="184"/>
      <c r="AE300" s="28" t="str">
        <f t="shared" si="119"/>
        <v/>
      </c>
      <c r="AG300" s="96"/>
      <c r="AH300" s="29"/>
      <c r="AI300" s="38" t="str">
        <f>IF(L300="","",VLOOKUP($L300,classifications!$C:$J,8,FALSE))</f>
        <v/>
      </c>
      <c r="AJ300" s="39" t="str">
        <f t="shared" si="103"/>
        <v/>
      </c>
      <c r="AK300" s="34" t="str">
        <f>IF(AJ300="","",IF(I$8="A",(RANK(AJ300,AJ$11:AJ$368,1)+COUNTIF(AJ$11:AJ300,AJ300)-1),(RANK(AJ300,AJ$11:AJ$368)+COUNTIF(AJ$11:AJ300,AJ300)-1)))</f>
        <v/>
      </c>
      <c r="AL300" s="29" t="str">
        <f t="shared" si="111"/>
        <v/>
      </c>
      <c r="AM300" s="8" t="str">
        <f t="shared" si="104"/>
        <v/>
      </c>
      <c r="AN300" s="8" t="str">
        <f t="shared" si="112"/>
        <v/>
      </c>
      <c r="AP300" s="38" t="str">
        <f>IF(L300="","",VLOOKUP($L300,classifications!$C:$E,3,FALSE))</f>
        <v/>
      </c>
      <c r="AQ300" s="39" t="str">
        <f t="shared" si="113"/>
        <v/>
      </c>
      <c r="AR300" s="34" t="str">
        <f>IF(AQ300="","",IF(I$8="A",(RANK(AQ300,AQ$11:AQ$368,1)+COUNTIF(AQ$11:AQ300,AQ300)-1),(RANK(AQ300,AQ$11:AQ$368)+COUNTIF(AQ$11:AQ300,AQ300)-1)))</f>
        <v/>
      </c>
      <c r="AS300" s="29" t="str">
        <f t="shared" si="114"/>
        <v/>
      </c>
      <c r="AT300" s="34" t="str">
        <f t="shared" si="105"/>
        <v/>
      </c>
      <c r="AU300" s="39" t="str">
        <f t="shared" si="118"/>
        <v/>
      </c>
      <c r="AX300" s="21">
        <f>HLOOKUP($AX$9&amp;$AX$10,Data!$A$1:$ZZ$2000,(MATCH($C300,Data!$A$1:$A$2000,0)),FALSE)</f>
        <v>86.265798297340964</v>
      </c>
      <c r="AY300" s="103"/>
      <c r="AZ300" s="21"/>
    </row>
    <row r="301" spans="1:52">
      <c r="A301" s="56" t="str">
        <f>$D$1&amp;291</f>
        <v>SD291</v>
      </c>
      <c r="B301" s="57">
        <f>IF(ISERROR(VLOOKUP(A301,classifications!A:C,3,FALSE)),0,VLOOKUP(A301,classifications!A:C,3,FALSE))</f>
        <v>0</v>
      </c>
      <c r="C301" s="8" t="s">
        <v>328</v>
      </c>
      <c r="D301" s="26" t="str">
        <f>VLOOKUP($C301,classifications!$C:$J,4,FALSE)</f>
        <v>SC</v>
      </c>
      <c r="E301" s="26" t="str">
        <f>VLOOKUP(C301,classifications!C:K,9,FALSE)</f>
        <v>Sparse</v>
      </c>
      <c r="F301" s="36">
        <f t="shared" si="97"/>
        <v>80.475746430526911</v>
      </c>
      <c r="G301" s="71"/>
      <c r="H301" s="37" t="str">
        <f t="shared" si="98"/>
        <v/>
      </c>
      <c r="I301" s="77" t="str">
        <f>IF(H301="","",IF($I$8="A",(RANK(H301,H$11:H$368,1)+COUNTIF(H$11:H301,H301)-1),(RANK(H301,H$11:H$368)+COUNTIF(H$11:H301,H301)-1)))</f>
        <v/>
      </c>
      <c r="J301" s="35"/>
      <c r="K301" s="28" t="str">
        <f t="shared" si="106"/>
        <v/>
      </c>
      <c r="L301" s="36" t="str">
        <f t="shared" si="99"/>
        <v/>
      </c>
      <c r="M301" s="102" t="str">
        <f t="shared" si="107"/>
        <v/>
      </c>
      <c r="N301" s="101" t="str">
        <f t="shared" si="108"/>
        <v/>
      </c>
      <c r="O301" s="94" t="str">
        <f t="shared" si="100"/>
        <v/>
      </c>
      <c r="P301" s="94" t="str">
        <f t="shared" si="115"/>
        <v/>
      </c>
      <c r="Q301" s="94" t="str">
        <f t="shared" si="116"/>
        <v/>
      </c>
      <c r="R301" s="90" t="str">
        <f t="shared" si="117"/>
        <v/>
      </c>
      <c r="S301" s="37" t="str">
        <f t="shared" si="109"/>
        <v/>
      </c>
      <c r="T301" s="176" t="str">
        <f>IF(L301="","",VLOOKUP(L301,classifications!C:K,9,FALSE))</f>
        <v/>
      </c>
      <c r="U301" s="183" t="str">
        <f t="shared" si="101"/>
        <v/>
      </c>
      <c r="V301" s="184" t="str">
        <f>IF(U301="","",IF($I$8="A",(RANK(U301,U$11:U$368)+COUNTIF(U$11:U301,U301)-1),(RANK(U301,U$11:U$368,1)+COUNTIF(U$11:U301,U301)-1)))</f>
        <v/>
      </c>
      <c r="W301" s="185"/>
      <c r="X301" s="38" t="str">
        <f>IF(L301="","",VLOOKUP($L301,classifications!$C:$J,6,FALSE))</f>
        <v/>
      </c>
      <c r="Y301" s="26" t="str">
        <f t="shared" si="102"/>
        <v/>
      </c>
      <c r="Z301" s="34" t="str">
        <f>IF(Y301="","",IF(I$8="A",(RANK(Y301,Y$11:Y$368,1)+COUNTIF(Y$11:Y301,Y301)-1),(RANK(Y301,Y$11:Y$368)+COUNTIF(Y$11:Y301,Y301)-1)))</f>
        <v/>
      </c>
      <c r="AA301" s="188" t="str">
        <f>IF(L301="","",VLOOKUP($L301,classifications!C:I,7,FALSE))</f>
        <v/>
      </c>
      <c r="AB301" s="184" t="str">
        <f t="shared" si="110"/>
        <v/>
      </c>
      <c r="AC301" s="184" t="str">
        <f>IF(AB301="","",IF($I$8="A",(RANK(AB301,AB$11:AB$368)+COUNTIF(AB$11:AB301,AB301)-1),(RANK(AB301,AB$11:AB$368,1)+COUNTIF(AB$11:AB301,AB301)-1)))</f>
        <v/>
      </c>
      <c r="AD301" s="184"/>
      <c r="AE301" s="28" t="str">
        <f t="shared" si="119"/>
        <v/>
      </c>
      <c r="AG301" s="96"/>
      <c r="AH301" s="29"/>
      <c r="AI301" s="38" t="str">
        <f>IF(L301="","",VLOOKUP($L301,classifications!$C:$J,8,FALSE))</f>
        <v/>
      </c>
      <c r="AJ301" s="39" t="str">
        <f t="shared" si="103"/>
        <v/>
      </c>
      <c r="AK301" s="34" t="str">
        <f>IF(AJ301="","",IF(I$8="A",(RANK(AJ301,AJ$11:AJ$368,1)+COUNTIF(AJ$11:AJ301,AJ301)-1),(RANK(AJ301,AJ$11:AJ$368)+COUNTIF(AJ$11:AJ301,AJ301)-1)))</f>
        <v/>
      </c>
      <c r="AL301" s="29" t="str">
        <f t="shared" si="111"/>
        <v/>
      </c>
      <c r="AM301" s="8" t="str">
        <f t="shared" si="104"/>
        <v/>
      </c>
      <c r="AN301" s="8" t="str">
        <f t="shared" si="112"/>
        <v/>
      </c>
      <c r="AP301" s="38" t="str">
        <f>IF(L301="","",VLOOKUP($L301,classifications!$C:$E,3,FALSE))</f>
        <v/>
      </c>
      <c r="AQ301" s="39" t="str">
        <f t="shared" si="113"/>
        <v/>
      </c>
      <c r="AR301" s="34" t="str">
        <f>IF(AQ301="","",IF(I$8="A",(RANK(AQ301,AQ$11:AQ$368,1)+COUNTIF(AQ$11:AQ301,AQ301)-1),(RANK(AQ301,AQ$11:AQ$368)+COUNTIF(AQ$11:AQ301,AQ301)-1)))</f>
        <v/>
      </c>
      <c r="AS301" s="29" t="str">
        <f t="shared" si="114"/>
        <v/>
      </c>
      <c r="AT301" s="34" t="str">
        <f t="shared" si="105"/>
        <v/>
      </c>
      <c r="AU301" s="39" t="str">
        <f t="shared" si="118"/>
        <v/>
      </c>
      <c r="AX301" s="21">
        <f>HLOOKUP($AX$9&amp;$AX$10,Data!$A$1:$ZZ$2000,(MATCH($C301,Data!$A$1:$A$2000,0)),FALSE)</f>
        <v>80.475746430526911</v>
      </c>
      <c r="AY301" s="103"/>
      <c r="AZ301" s="21"/>
    </row>
    <row r="302" spans="1:52">
      <c r="A302" s="56" t="str">
        <f>$D$1&amp;292</f>
        <v>SD292</v>
      </c>
      <c r="B302" s="57">
        <f>IF(ISERROR(VLOOKUP(A302,classifications!A:C,3,FALSE)),0,VLOOKUP(A302,classifications!A:C,3,FALSE))</f>
        <v>0</v>
      </c>
      <c r="C302" s="8" t="s">
        <v>158</v>
      </c>
      <c r="D302" s="26" t="str">
        <f>VLOOKUP($C302,classifications!$C:$J,4,FALSE)</f>
        <v>SD</v>
      </c>
      <c r="E302" s="26" t="str">
        <f>VLOOKUP(C302,classifications!C:K,9,FALSE)</f>
        <v>Sparse</v>
      </c>
      <c r="F302" s="36" t="str">
        <f t="shared" si="97"/>
        <v>-</v>
      </c>
      <c r="G302" s="71"/>
      <c r="H302" s="37" t="str">
        <f t="shared" si="98"/>
        <v>-</v>
      </c>
      <c r="I302" s="77" t="e">
        <f>IF(H302="","",IF($I$8="A",(RANK(H302,H$11:H$368,1)+COUNTIF(H$11:H302,H302)-1),(RANK(H302,H$11:H$368)+COUNTIF(H$11:H302,H302)-1)))</f>
        <v>#VALUE!</v>
      </c>
      <c r="J302" s="35"/>
      <c r="K302" s="28" t="str">
        <f t="shared" si="106"/>
        <v/>
      </c>
      <c r="L302" s="36" t="str">
        <f t="shared" si="99"/>
        <v/>
      </c>
      <c r="M302" s="102" t="str">
        <f t="shared" si="107"/>
        <v/>
      </c>
      <c r="N302" s="101" t="str">
        <f t="shared" si="108"/>
        <v/>
      </c>
      <c r="O302" s="94" t="str">
        <f t="shared" si="100"/>
        <v/>
      </c>
      <c r="P302" s="94" t="str">
        <f t="shared" si="115"/>
        <v/>
      </c>
      <c r="Q302" s="94" t="str">
        <f t="shared" si="116"/>
        <v/>
      </c>
      <c r="R302" s="90" t="str">
        <f t="shared" si="117"/>
        <v/>
      </c>
      <c r="S302" s="37" t="str">
        <f t="shared" si="109"/>
        <v/>
      </c>
      <c r="T302" s="176" t="str">
        <f>IF(L302="","",VLOOKUP(L302,classifications!C:K,9,FALSE))</f>
        <v/>
      </c>
      <c r="U302" s="183" t="str">
        <f t="shared" si="101"/>
        <v/>
      </c>
      <c r="V302" s="184" t="str">
        <f>IF(U302="","",IF($I$8="A",(RANK(U302,U$11:U$368)+COUNTIF(U$11:U302,U302)-1),(RANK(U302,U$11:U$368,1)+COUNTIF(U$11:U302,U302)-1)))</f>
        <v/>
      </c>
      <c r="W302" s="185"/>
      <c r="X302" s="38" t="str">
        <f>IF(L302="","",VLOOKUP($L302,classifications!$C:$J,6,FALSE))</f>
        <v/>
      </c>
      <c r="Y302" s="26" t="str">
        <f t="shared" si="102"/>
        <v/>
      </c>
      <c r="Z302" s="34" t="str">
        <f>IF(Y302="","",IF(I$8="A",(RANK(Y302,Y$11:Y$368,1)+COUNTIF(Y$11:Y302,Y302)-1),(RANK(Y302,Y$11:Y$368)+COUNTIF(Y$11:Y302,Y302)-1)))</f>
        <v/>
      </c>
      <c r="AA302" s="188" t="str">
        <f>IF(L302="","",VLOOKUP($L302,classifications!C:I,7,FALSE))</f>
        <v/>
      </c>
      <c r="AB302" s="184" t="str">
        <f t="shared" si="110"/>
        <v/>
      </c>
      <c r="AC302" s="184" t="str">
        <f>IF(AB302="","",IF($I$8="A",(RANK(AB302,AB$11:AB$368)+COUNTIF(AB$11:AB302,AB302)-1),(RANK(AB302,AB$11:AB$368,1)+COUNTIF(AB$11:AB302,AB302)-1)))</f>
        <v/>
      </c>
      <c r="AD302" s="184"/>
      <c r="AE302" s="28" t="str">
        <f t="shared" si="119"/>
        <v/>
      </c>
      <c r="AG302" s="96"/>
      <c r="AH302" s="29"/>
      <c r="AI302" s="38" t="str">
        <f>IF(L302="","",VLOOKUP($L302,classifications!$C:$J,8,FALSE))</f>
        <v/>
      </c>
      <c r="AJ302" s="39" t="str">
        <f t="shared" si="103"/>
        <v/>
      </c>
      <c r="AK302" s="34" t="str">
        <f>IF(AJ302="","",IF(I$8="A",(RANK(AJ302,AJ$11:AJ$368,1)+COUNTIF(AJ$11:AJ302,AJ302)-1),(RANK(AJ302,AJ$11:AJ$368)+COUNTIF(AJ$11:AJ302,AJ302)-1)))</f>
        <v/>
      </c>
      <c r="AL302" s="29" t="str">
        <f t="shared" si="111"/>
        <v/>
      </c>
      <c r="AM302" s="8" t="str">
        <f t="shared" si="104"/>
        <v/>
      </c>
      <c r="AN302" s="8" t="str">
        <f t="shared" si="112"/>
        <v/>
      </c>
      <c r="AP302" s="38" t="str">
        <f>IF(L302="","",VLOOKUP($L302,classifications!$C:$E,3,FALSE))</f>
        <v/>
      </c>
      <c r="AQ302" s="39" t="str">
        <f t="shared" si="113"/>
        <v/>
      </c>
      <c r="AR302" s="34" t="str">
        <f>IF(AQ302="","",IF(I$8="A",(RANK(AQ302,AQ$11:AQ$368,1)+COUNTIF(AQ$11:AQ302,AQ302)-1),(RANK(AQ302,AQ$11:AQ$368)+COUNTIF(AQ$11:AQ302,AQ302)-1)))</f>
        <v/>
      </c>
      <c r="AS302" s="29" t="str">
        <f t="shared" si="114"/>
        <v/>
      </c>
      <c r="AT302" s="34" t="str">
        <f t="shared" si="105"/>
        <v/>
      </c>
      <c r="AU302" s="39" t="str">
        <f t="shared" si="118"/>
        <v/>
      </c>
      <c r="AX302" s="21" t="str">
        <f>HLOOKUP($AX$9&amp;$AX$10,Data!$A$1:$ZZ$2000,(MATCH($C302,Data!$A$1:$A$2000,0)),FALSE)</f>
        <v>-</v>
      </c>
      <c r="AY302" s="103"/>
      <c r="AZ302" s="21"/>
    </row>
    <row r="303" spans="1:52">
      <c r="A303" s="56" t="str">
        <f>$D$1&amp;293</f>
        <v>SD293</v>
      </c>
      <c r="B303" s="57">
        <f>IF(ISERROR(VLOOKUP(A303,classifications!A:C,3,FALSE)),0,VLOOKUP(A303,classifications!A:C,3,FALSE))</f>
        <v>0</v>
      </c>
      <c r="C303" s="8" t="s">
        <v>250</v>
      </c>
      <c r="D303" s="26" t="str">
        <f>VLOOKUP($C303,classifications!$C:$J,4,FALSE)</f>
        <v>MD</v>
      </c>
      <c r="E303" s="26">
        <f>VLOOKUP(C303,classifications!C:K,9,FALSE)</f>
        <v>0</v>
      </c>
      <c r="F303" s="36">
        <f t="shared" si="97"/>
        <v>71.711990221838604</v>
      </c>
      <c r="G303" s="71"/>
      <c r="H303" s="37" t="str">
        <f t="shared" si="98"/>
        <v/>
      </c>
      <c r="I303" s="77" t="str">
        <f>IF(H303="","",IF($I$8="A",(RANK(H303,H$11:H$368,1)+COUNTIF(H$11:H303,H303)-1),(RANK(H303,H$11:H$368)+COUNTIF(H$11:H303,H303)-1)))</f>
        <v/>
      </c>
      <c r="J303" s="35"/>
      <c r="K303" s="28" t="str">
        <f t="shared" si="106"/>
        <v/>
      </c>
      <c r="L303" s="36" t="str">
        <f t="shared" si="99"/>
        <v/>
      </c>
      <c r="M303" s="102" t="str">
        <f t="shared" si="107"/>
        <v/>
      </c>
      <c r="N303" s="101" t="str">
        <f t="shared" si="108"/>
        <v/>
      </c>
      <c r="O303" s="94" t="str">
        <f t="shared" si="100"/>
        <v/>
      </c>
      <c r="P303" s="94" t="str">
        <f t="shared" si="115"/>
        <v/>
      </c>
      <c r="Q303" s="94" t="str">
        <f t="shared" si="116"/>
        <v/>
      </c>
      <c r="R303" s="90" t="str">
        <f t="shared" si="117"/>
        <v/>
      </c>
      <c r="S303" s="37" t="str">
        <f t="shared" si="109"/>
        <v/>
      </c>
      <c r="T303" s="176" t="str">
        <f>IF(L303="","",VLOOKUP(L303,classifications!C:K,9,FALSE))</f>
        <v/>
      </c>
      <c r="U303" s="183" t="str">
        <f t="shared" si="101"/>
        <v/>
      </c>
      <c r="V303" s="184" t="str">
        <f>IF(U303="","",IF($I$8="A",(RANK(U303,U$11:U$368)+COUNTIF(U$11:U303,U303)-1),(RANK(U303,U$11:U$368,1)+COUNTIF(U$11:U303,U303)-1)))</f>
        <v/>
      </c>
      <c r="W303" s="185"/>
      <c r="X303" s="38" t="str">
        <f>IF(L303="","",VLOOKUP($L303,classifications!$C:$J,6,FALSE))</f>
        <v/>
      </c>
      <c r="Y303" s="26" t="str">
        <f t="shared" si="102"/>
        <v/>
      </c>
      <c r="Z303" s="34" t="str">
        <f>IF(Y303="","",IF(I$8="A",(RANK(Y303,Y$11:Y$368,1)+COUNTIF(Y$11:Y303,Y303)-1),(RANK(Y303,Y$11:Y$368)+COUNTIF(Y$11:Y303,Y303)-1)))</f>
        <v/>
      </c>
      <c r="AA303" s="188" t="str">
        <f>IF(L303="","",VLOOKUP($L303,classifications!C:I,7,FALSE))</f>
        <v/>
      </c>
      <c r="AB303" s="184" t="str">
        <f t="shared" si="110"/>
        <v/>
      </c>
      <c r="AC303" s="184" t="str">
        <f>IF(AB303="","",IF($I$8="A",(RANK(AB303,AB$11:AB$368)+COUNTIF(AB$11:AB303,AB303)-1),(RANK(AB303,AB$11:AB$368,1)+COUNTIF(AB$11:AB303,AB303)-1)))</f>
        <v/>
      </c>
      <c r="AD303" s="184"/>
      <c r="AE303" s="28" t="str">
        <f t="shared" si="119"/>
        <v/>
      </c>
      <c r="AG303" s="96"/>
      <c r="AH303" s="29"/>
      <c r="AI303" s="38" t="str">
        <f>IF(L303="","",VLOOKUP($L303,classifications!$C:$J,8,FALSE))</f>
        <v/>
      </c>
      <c r="AJ303" s="39" t="str">
        <f t="shared" si="103"/>
        <v/>
      </c>
      <c r="AK303" s="34" t="str">
        <f>IF(AJ303="","",IF(I$8="A",(RANK(AJ303,AJ$11:AJ$368,1)+COUNTIF(AJ$11:AJ303,AJ303)-1),(RANK(AJ303,AJ$11:AJ$368)+COUNTIF(AJ$11:AJ303,AJ303)-1)))</f>
        <v/>
      </c>
      <c r="AL303" s="29" t="str">
        <f t="shared" si="111"/>
        <v/>
      </c>
      <c r="AM303" s="8" t="str">
        <f t="shared" si="104"/>
        <v/>
      </c>
      <c r="AN303" s="8" t="str">
        <f t="shared" si="112"/>
        <v/>
      </c>
      <c r="AP303" s="38" t="str">
        <f>IF(L303="","",VLOOKUP($L303,classifications!$C:$E,3,FALSE))</f>
        <v/>
      </c>
      <c r="AQ303" s="39" t="str">
        <f t="shared" si="113"/>
        <v/>
      </c>
      <c r="AR303" s="34" t="str">
        <f>IF(AQ303="","",IF(I$8="A",(RANK(AQ303,AQ$11:AQ$368,1)+COUNTIF(AQ$11:AQ303,AQ303)-1),(RANK(AQ303,AQ$11:AQ$368)+COUNTIF(AQ$11:AQ303,AQ303)-1)))</f>
        <v/>
      </c>
      <c r="AS303" s="29" t="str">
        <f t="shared" si="114"/>
        <v/>
      </c>
      <c r="AT303" s="34" t="str">
        <f t="shared" si="105"/>
        <v/>
      </c>
      <c r="AU303" s="39" t="str">
        <f t="shared" si="118"/>
        <v/>
      </c>
      <c r="AX303" s="21">
        <f>HLOOKUP($AX$9&amp;$AX$10,Data!$A$1:$ZZ$2000,(MATCH($C303,Data!$A$1:$A$2000,0)),FALSE)</f>
        <v>71.711990221838604</v>
      </c>
      <c r="AY303" s="103"/>
      <c r="AZ303" s="21"/>
    </row>
    <row r="304" spans="1:52">
      <c r="A304" s="56" t="str">
        <f>$D$1&amp;294</f>
        <v>SD294</v>
      </c>
      <c r="B304" s="57">
        <f>IF(ISERROR(VLOOKUP(A304,classifications!A:C,3,FALSE)),0,VLOOKUP(A304,classifications!A:C,3,FALSE))</f>
        <v>0</v>
      </c>
      <c r="C304" s="8" t="s">
        <v>329</v>
      </c>
      <c r="D304" s="26" t="str">
        <f>VLOOKUP($C304,classifications!$C:$J,4,FALSE)</f>
        <v>SC</v>
      </c>
      <c r="E304" s="26">
        <f>VLOOKUP(C304,classifications!C:K,9,FALSE)</f>
        <v>0</v>
      </c>
      <c r="F304" s="36">
        <f t="shared" si="97"/>
        <v>83.164768287150054</v>
      </c>
      <c r="G304" s="71"/>
      <c r="H304" s="37" t="str">
        <f t="shared" si="98"/>
        <v/>
      </c>
      <c r="I304" s="77" t="str">
        <f>IF(H304="","",IF($I$8="A",(RANK(H304,H$11:H$368,1)+COUNTIF(H$11:H304,H304)-1),(RANK(H304,H$11:H$368)+COUNTIF(H$11:H304,H304)-1)))</f>
        <v/>
      </c>
      <c r="J304" s="35"/>
      <c r="K304" s="28" t="str">
        <f t="shared" si="106"/>
        <v/>
      </c>
      <c r="L304" s="36" t="str">
        <f t="shared" si="99"/>
        <v/>
      </c>
      <c r="M304" s="102" t="str">
        <f t="shared" si="107"/>
        <v/>
      </c>
      <c r="N304" s="101" t="str">
        <f t="shared" si="108"/>
        <v/>
      </c>
      <c r="O304" s="94" t="str">
        <f t="shared" si="100"/>
        <v/>
      </c>
      <c r="P304" s="94" t="str">
        <f t="shared" si="115"/>
        <v/>
      </c>
      <c r="Q304" s="94" t="str">
        <f t="shared" si="116"/>
        <v/>
      </c>
      <c r="R304" s="90" t="str">
        <f t="shared" si="117"/>
        <v/>
      </c>
      <c r="S304" s="37" t="str">
        <f t="shared" si="109"/>
        <v/>
      </c>
      <c r="T304" s="176" t="str">
        <f>IF(L304="","",VLOOKUP(L304,classifications!C:K,9,FALSE))</f>
        <v/>
      </c>
      <c r="U304" s="183" t="str">
        <f t="shared" si="101"/>
        <v/>
      </c>
      <c r="V304" s="184" t="str">
        <f>IF(U304="","",IF($I$8="A",(RANK(U304,U$11:U$368)+COUNTIF(U$11:U304,U304)-1),(RANK(U304,U$11:U$368,1)+COUNTIF(U$11:U304,U304)-1)))</f>
        <v/>
      </c>
      <c r="W304" s="185"/>
      <c r="X304" s="38" t="str">
        <f>IF(L304="","",VLOOKUP($L304,classifications!$C:$J,6,FALSE))</f>
        <v/>
      </c>
      <c r="Y304" s="26" t="str">
        <f t="shared" si="102"/>
        <v/>
      </c>
      <c r="Z304" s="34" t="str">
        <f>IF(Y304="","",IF(I$8="A",(RANK(Y304,Y$11:Y$368,1)+COUNTIF(Y$11:Y304,Y304)-1),(RANK(Y304,Y$11:Y$368)+COUNTIF(Y$11:Y304,Y304)-1)))</f>
        <v/>
      </c>
      <c r="AA304" s="188" t="str">
        <f>IF(L304="","",VLOOKUP($L304,classifications!C:I,7,FALSE))</f>
        <v/>
      </c>
      <c r="AB304" s="184" t="str">
        <f t="shared" si="110"/>
        <v/>
      </c>
      <c r="AC304" s="184" t="str">
        <f>IF(AB304="","",IF($I$8="A",(RANK(AB304,AB$11:AB$368)+COUNTIF(AB$11:AB304,AB304)-1),(RANK(AB304,AB$11:AB$368,1)+COUNTIF(AB$11:AB304,AB304)-1)))</f>
        <v/>
      </c>
      <c r="AD304" s="184"/>
      <c r="AE304" s="28" t="str">
        <f t="shared" si="119"/>
        <v/>
      </c>
      <c r="AG304" s="96"/>
      <c r="AH304" s="29"/>
      <c r="AI304" s="38" t="str">
        <f>IF(L304="","",VLOOKUP($L304,classifications!$C:$J,8,FALSE))</f>
        <v/>
      </c>
      <c r="AJ304" s="39" t="str">
        <f t="shared" si="103"/>
        <v/>
      </c>
      <c r="AK304" s="34" t="str">
        <f>IF(AJ304="","",IF(I$8="A",(RANK(AJ304,AJ$11:AJ$368,1)+COUNTIF(AJ$11:AJ304,AJ304)-1),(RANK(AJ304,AJ$11:AJ$368)+COUNTIF(AJ$11:AJ304,AJ304)-1)))</f>
        <v/>
      </c>
      <c r="AL304" s="29" t="str">
        <f t="shared" si="111"/>
        <v/>
      </c>
      <c r="AM304" s="8" t="str">
        <f t="shared" si="104"/>
        <v/>
      </c>
      <c r="AN304" s="8" t="str">
        <f t="shared" si="112"/>
        <v/>
      </c>
      <c r="AP304" s="38" t="str">
        <f>IF(L304="","",VLOOKUP($L304,classifications!$C:$E,3,FALSE))</f>
        <v/>
      </c>
      <c r="AQ304" s="39" t="str">
        <f t="shared" si="113"/>
        <v/>
      </c>
      <c r="AR304" s="34" t="str">
        <f>IF(AQ304="","",IF(I$8="A",(RANK(AQ304,AQ$11:AQ$368,1)+COUNTIF(AQ$11:AQ304,AQ304)-1),(RANK(AQ304,AQ$11:AQ$368)+COUNTIF(AQ$11:AQ304,AQ304)-1)))</f>
        <v/>
      </c>
      <c r="AS304" s="29" t="str">
        <f t="shared" si="114"/>
        <v/>
      </c>
      <c r="AT304" s="34" t="str">
        <f t="shared" si="105"/>
        <v/>
      </c>
      <c r="AU304" s="39" t="str">
        <f t="shared" si="118"/>
        <v/>
      </c>
      <c r="AX304" s="21">
        <f>HLOOKUP($AX$9&amp;$AX$10,Data!$A$1:$ZZ$2000,(MATCH($C304,Data!$A$1:$A$2000,0)),FALSE)</f>
        <v>83.164768287150054</v>
      </c>
      <c r="AY304" s="103"/>
      <c r="AZ304" s="21"/>
    </row>
    <row r="305" spans="1:52">
      <c r="A305" s="56" t="str">
        <f>$D$1&amp;295</f>
        <v>SD295</v>
      </c>
      <c r="B305" s="57">
        <f>IF(ISERROR(VLOOKUP(A305,classifications!A:C,3,FALSE)),0,VLOOKUP(A305,classifications!A:C,3,FALSE))</f>
        <v>0</v>
      </c>
      <c r="C305" s="8" t="s">
        <v>159</v>
      </c>
      <c r="D305" s="26" t="str">
        <f>VLOOKUP($C305,classifications!$C:$J,4,FALSE)</f>
        <v>SD</v>
      </c>
      <c r="E305" s="26">
        <f>VLOOKUP(C305,classifications!C:K,9,FALSE)</f>
        <v>0</v>
      </c>
      <c r="F305" s="36">
        <f t="shared" si="97"/>
        <v>81.746156529307754</v>
      </c>
      <c r="G305" s="71"/>
      <c r="H305" s="37">
        <f t="shared" si="98"/>
        <v>81.746156529307754</v>
      </c>
      <c r="I305" s="77">
        <f>IF(H305="","",IF($I$8="A",(RANK(H305,H$11:H$368,1)+COUNTIF(H$11:H305,H305)-1),(RANK(H305,H$11:H$368)+COUNTIF(H$11:H305,H305)-1)))</f>
        <v>84</v>
      </c>
      <c r="J305" s="35"/>
      <c r="K305" s="28" t="str">
        <f t="shared" si="106"/>
        <v/>
      </c>
      <c r="L305" s="36" t="str">
        <f t="shared" si="99"/>
        <v/>
      </c>
      <c r="M305" s="102" t="str">
        <f t="shared" si="107"/>
        <v/>
      </c>
      <c r="N305" s="101" t="str">
        <f t="shared" si="108"/>
        <v/>
      </c>
      <c r="O305" s="94" t="str">
        <f t="shared" si="100"/>
        <v/>
      </c>
      <c r="P305" s="94" t="str">
        <f t="shared" si="115"/>
        <v/>
      </c>
      <c r="Q305" s="94" t="str">
        <f t="shared" si="116"/>
        <v/>
      </c>
      <c r="R305" s="90" t="str">
        <f t="shared" si="117"/>
        <v/>
      </c>
      <c r="S305" s="37" t="str">
        <f t="shared" si="109"/>
        <v/>
      </c>
      <c r="T305" s="176" t="str">
        <f>IF(L305="","",VLOOKUP(L305,classifications!C:K,9,FALSE))</f>
        <v/>
      </c>
      <c r="U305" s="183" t="str">
        <f t="shared" si="101"/>
        <v/>
      </c>
      <c r="V305" s="184" t="str">
        <f>IF(U305="","",IF($I$8="A",(RANK(U305,U$11:U$368)+COUNTIF(U$11:U305,U305)-1),(RANK(U305,U$11:U$368,1)+COUNTIF(U$11:U305,U305)-1)))</f>
        <v/>
      </c>
      <c r="W305" s="185"/>
      <c r="X305" s="38" t="str">
        <f>IF(L305="","",VLOOKUP($L305,classifications!$C:$J,6,FALSE))</f>
        <v/>
      </c>
      <c r="Y305" s="26" t="str">
        <f t="shared" si="102"/>
        <v/>
      </c>
      <c r="Z305" s="34" t="str">
        <f>IF(Y305="","",IF(I$8="A",(RANK(Y305,Y$11:Y$368,1)+COUNTIF(Y$11:Y305,Y305)-1),(RANK(Y305,Y$11:Y$368)+COUNTIF(Y$11:Y305,Y305)-1)))</f>
        <v/>
      </c>
      <c r="AA305" s="188" t="str">
        <f>IF(L305="","",VLOOKUP($L305,classifications!C:I,7,FALSE))</f>
        <v/>
      </c>
      <c r="AB305" s="184" t="str">
        <f t="shared" si="110"/>
        <v/>
      </c>
      <c r="AC305" s="184" t="str">
        <f>IF(AB305="","",IF($I$8="A",(RANK(AB305,AB$11:AB$368)+COUNTIF(AB$11:AB305,AB305)-1),(RANK(AB305,AB$11:AB$368,1)+COUNTIF(AB$11:AB305,AB305)-1)))</f>
        <v/>
      </c>
      <c r="AD305" s="184"/>
      <c r="AE305" s="28" t="str">
        <f t="shared" si="119"/>
        <v/>
      </c>
      <c r="AG305" s="96"/>
      <c r="AH305" s="29"/>
      <c r="AI305" s="38" t="str">
        <f>IF(L305="","",VLOOKUP($L305,classifications!$C:$J,8,FALSE))</f>
        <v/>
      </c>
      <c r="AJ305" s="39" t="str">
        <f t="shared" si="103"/>
        <v/>
      </c>
      <c r="AK305" s="34" t="str">
        <f>IF(AJ305="","",IF(I$8="A",(RANK(AJ305,AJ$11:AJ$368,1)+COUNTIF(AJ$11:AJ305,AJ305)-1),(RANK(AJ305,AJ$11:AJ$368)+COUNTIF(AJ$11:AJ305,AJ305)-1)))</f>
        <v/>
      </c>
      <c r="AL305" s="29" t="str">
        <f t="shared" si="111"/>
        <v/>
      </c>
      <c r="AM305" s="8" t="str">
        <f t="shared" si="104"/>
        <v/>
      </c>
      <c r="AN305" s="8" t="str">
        <f t="shared" si="112"/>
        <v/>
      </c>
      <c r="AP305" s="38" t="str">
        <f>IF(L305="","",VLOOKUP($L305,classifications!$C:$E,3,FALSE))</f>
        <v/>
      </c>
      <c r="AQ305" s="39" t="str">
        <f t="shared" si="113"/>
        <v/>
      </c>
      <c r="AR305" s="34" t="str">
        <f>IF(AQ305="","",IF(I$8="A",(RANK(AQ305,AQ$11:AQ$368,1)+COUNTIF(AQ$11:AQ305,AQ305)-1),(RANK(AQ305,AQ$11:AQ$368)+COUNTIF(AQ$11:AQ305,AQ305)-1)))</f>
        <v/>
      </c>
      <c r="AS305" s="29" t="str">
        <f t="shared" si="114"/>
        <v/>
      </c>
      <c r="AT305" s="34" t="str">
        <f t="shared" si="105"/>
        <v/>
      </c>
      <c r="AU305" s="39" t="str">
        <f t="shared" si="118"/>
        <v/>
      </c>
      <c r="AX305" s="21">
        <f>HLOOKUP($AX$9&amp;$AX$10,Data!$A$1:$ZZ$2000,(MATCH($C305,Data!$A$1:$A$2000,0)),FALSE)</f>
        <v>81.746156529307754</v>
      </c>
      <c r="AY305" s="103"/>
      <c r="AZ305" s="21"/>
    </row>
    <row r="306" spans="1:52">
      <c r="A306" s="56" t="str">
        <f>$D$1&amp;296</f>
        <v>SD296</v>
      </c>
      <c r="B306" s="57">
        <f>IF(ISERROR(VLOOKUP(A306,classifications!A:C,3,FALSE)),0,VLOOKUP(A306,classifications!A:C,3,FALSE))</f>
        <v>0</v>
      </c>
      <c r="C306" s="8" t="s">
        <v>218</v>
      </c>
      <c r="D306" s="26" t="str">
        <f>VLOOKUP($C306,classifications!$C:$J,4,FALSE)</f>
        <v>L</v>
      </c>
      <c r="E306" s="26">
        <f>VLOOKUP(C306,classifications!C:K,9,FALSE)</f>
        <v>0</v>
      </c>
      <c r="F306" s="36">
        <f t="shared" si="97"/>
        <v>80.803108829982449</v>
      </c>
      <c r="G306" s="71"/>
      <c r="H306" s="37" t="str">
        <f t="shared" si="98"/>
        <v/>
      </c>
      <c r="I306" s="77" t="str">
        <f>IF(H306="","",IF($I$8="A",(RANK(H306,H$11:H$368,1)+COUNTIF(H$11:H306,H306)-1),(RANK(H306,H$11:H$368)+COUNTIF(H$11:H306,H306)-1)))</f>
        <v/>
      </c>
      <c r="J306" s="35"/>
      <c r="K306" s="28" t="str">
        <f t="shared" si="106"/>
        <v/>
      </c>
      <c r="L306" s="36" t="str">
        <f t="shared" si="99"/>
        <v/>
      </c>
      <c r="M306" s="102" t="str">
        <f t="shared" si="107"/>
        <v/>
      </c>
      <c r="N306" s="101" t="str">
        <f t="shared" si="108"/>
        <v/>
      </c>
      <c r="O306" s="94" t="str">
        <f t="shared" si="100"/>
        <v/>
      </c>
      <c r="P306" s="94" t="str">
        <f t="shared" si="115"/>
        <v/>
      </c>
      <c r="Q306" s="94" t="str">
        <f t="shared" si="116"/>
        <v/>
      </c>
      <c r="R306" s="90" t="str">
        <f t="shared" si="117"/>
        <v/>
      </c>
      <c r="S306" s="37" t="str">
        <f t="shared" si="109"/>
        <v/>
      </c>
      <c r="T306" s="176" t="str">
        <f>IF(L306="","",VLOOKUP(L306,classifications!C:K,9,FALSE))</f>
        <v/>
      </c>
      <c r="U306" s="183" t="str">
        <f t="shared" si="101"/>
        <v/>
      </c>
      <c r="V306" s="184" t="str">
        <f>IF(U306="","",IF($I$8="A",(RANK(U306,U$11:U$368)+COUNTIF(U$11:U306,U306)-1),(RANK(U306,U$11:U$368,1)+COUNTIF(U$11:U306,U306)-1)))</f>
        <v/>
      </c>
      <c r="W306" s="185"/>
      <c r="X306" s="38" t="str">
        <f>IF(L306="","",VLOOKUP($L306,classifications!$C:$J,6,FALSE))</f>
        <v/>
      </c>
      <c r="Y306" s="26" t="str">
        <f t="shared" si="102"/>
        <v/>
      </c>
      <c r="Z306" s="34" t="str">
        <f>IF(Y306="","",IF(I$8="A",(RANK(Y306,Y$11:Y$368,1)+COUNTIF(Y$11:Y306,Y306)-1),(RANK(Y306,Y$11:Y$368)+COUNTIF(Y$11:Y306,Y306)-1)))</f>
        <v/>
      </c>
      <c r="AA306" s="188" t="str">
        <f>IF(L306="","",VLOOKUP($L306,classifications!C:I,7,FALSE))</f>
        <v/>
      </c>
      <c r="AB306" s="184" t="str">
        <f t="shared" si="110"/>
        <v/>
      </c>
      <c r="AC306" s="184" t="str">
        <f>IF(AB306="","",IF($I$8="A",(RANK(AB306,AB$11:AB$368)+COUNTIF(AB$11:AB306,AB306)-1),(RANK(AB306,AB$11:AB$368,1)+COUNTIF(AB$11:AB306,AB306)-1)))</f>
        <v/>
      </c>
      <c r="AD306" s="184"/>
      <c r="AE306" s="28" t="str">
        <f t="shared" si="119"/>
        <v/>
      </c>
      <c r="AG306" s="96"/>
      <c r="AH306" s="29"/>
      <c r="AI306" s="38" t="str">
        <f>IF(L306="","",VLOOKUP($L306,classifications!$C:$J,8,FALSE))</f>
        <v/>
      </c>
      <c r="AJ306" s="39" t="str">
        <f t="shared" si="103"/>
        <v/>
      </c>
      <c r="AK306" s="34" t="str">
        <f>IF(AJ306="","",IF(I$8="A",(RANK(AJ306,AJ$11:AJ$368,1)+COUNTIF(AJ$11:AJ306,AJ306)-1),(RANK(AJ306,AJ$11:AJ$368)+COUNTIF(AJ$11:AJ306,AJ306)-1)))</f>
        <v/>
      </c>
      <c r="AL306" s="29" t="str">
        <f t="shared" si="111"/>
        <v/>
      </c>
      <c r="AM306" s="8" t="str">
        <f t="shared" si="104"/>
        <v/>
      </c>
      <c r="AN306" s="8" t="str">
        <f t="shared" si="112"/>
        <v/>
      </c>
      <c r="AP306" s="38" t="str">
        <f>IF(L306="","",VLOOKUP($L306,classifications!$C:$E,3,FALSE))</f>
        <v/>
      </c>
      <c r="AQ306" s="39" t="str">
        <f t="shared" si="113"/>
        <v/>
      </c>
      <c r="AR306" s="34" t="str">
        <f>IF(AQ306="","",IF(I$8="A",(RANK(AQ306,AQ$11:AQ$368,1)+COUNTIF(AQ$11:AQ306,AQ306)-1),(RANK(AQ306,AQ$11:AQ$368)+COUNTIF(AQ$11:AQ306,AQ306)-1)))</f>
        <v/>
      </c>
      <c r="AS306" s="29" t="str">
        <f t="shared" si="114"/>
        <v/>
      </c>
      <c r="AT306" s="34" t="str">
        <f t="shared" si="105"/>
        <v/>
      </c>
      <c r="AU306" s="39" t="str">
        <f t="shared" si="118"/>
        <v/>
      </c>
      <c r="AX306" s="21">
        <f>HLOOKUP($AX$9&amp;$AX$10,Data!$A$1:$ZZ$2000,(MATCH($C306,Data!$A$1:$A$2000,0)),FALSE)</f>
        <v>80.803108829982449</v>
      </c>
      <c r="AY306" s="103"/>
      <c r="AZ306" s="21"/>
    </row>
    <row r="307" spans="1:52">
      <c r="A307" s="56" t="str">
        <f>$D$1&amp;297</f>
        <v>SD297</v>
      </c>
      <c r="B307" s="57">
        <f>IF(ISERROR(VLOOKUP(A307,classifications!A:C,3,FALSE)),0,VLOOKUP(A307,classifications!A:C,3,FALSE))</f>
        <v>0</v>
      </c>
      <c r="C307" s="8" t="s">
        <v>160</v>
      </c>
      <c r="D307" s="26" t="str">
        <f>VLOOKUP($C307,classifications!$C:$J,4,FALSE)</f>
        <v>SD</v>
      </c>
      <c r="E307" s="26">
        <f>VLOOKUP(C307,classifications!C:K,9,FALSE)</f>
        <v>0</v>
      </c>
      <c r="F307" s="36">
        <f t="shared" si="97"/>
        <v>77.582938181002405</v>
      </c>
      <c r="G307" s="71"/>
      <c r="H307" s="37">
        <f t="shared" si="98"/>
        <v>77.582938181002405</v>
      </c>
      <c r="I307" s="77">
        <f>IF(H307="","",IF($I$8="A",(RANK(H307,H$11:H$368,1)+COUNTIF(H$11:H307,H307)-1),(RANK(H307,H$11:H$368)+COUNTIF(H$11:H307,H307)-1)))</f>
        <v>156</v>
      </c>
      <c r="J307" s="35"/>
      <c r="K307" s="28" t="str">
        <f t="shared" si="106"/>
        <v/>
      </c>
      <c r="L307" s="36" t="str">
        <f t="shared" si="99"/>
        <v/>
      </c>
      <c r="M307" s="102" t="str">
        <f t="shared" si="107"/>
        <v/>
      </c>
      <c r="N307" s="101" t="str">
        <f t="shared" si="108"/>
        <v/>
      </c>
      <c r="O307" s="94" t="str">
        <f t="shared" si="100"/>
        <v/>
      </c>
      <c r="P307" s="94" t="str">
        <f t="shared" si="115"/>
        <v/>
      </c>
      <c r="Q307" s="94" t="str">
        <f t="shared" si="116"/>
        <v/>
      </c>
      <c r="R307" s="90" t="str">
        <f t="shared" si="117"/>
        <v/>
      </c>
      <c r="S307" s="37" t="str">
        <f t="shared" si="109"/>
        <v/>
      </c>
      <c r="T307" s="176" t="str">
        <f>IF(L307="","",VLOOKUP(L307,classifications!C:K,9,FALSE))</f>
        <v/>
      </c>
      <c r="U307" s="183" t="str">
        <f t="shared" si="101"/>
        <v/>
      </c>
      <c r="V307" s="184" t="str">
        <f>IF(U307="","",IF($I$8="A",(RANK(U307,U$11:U$368)+COUNTIF(U$11:U307,U307)-1),(RANK(U307,U$11:U$368,1)+COUNTIF(U$11:U307,U307)-1)))</f>
        <v/>
      </c>
      <c r="W307" s="185"/>
      <c r="X307" s="38" t="str">
        <f>IF(L307="","",VLOOKUP($L307,classifications!$C:$J,6,FALSE))</f>
        <v/>
      </c>
      <c r="Y307" s="26" t="str">
        <f t="shared" si="102"/>
        <v/>
      </c>
      <c r="Z307" s="34" t="str">
        <f>IF(Y307="","",IF(I$8="A",(RANK(Y307,Y$11:Y$368,1)+COUNTIF(Y$11:Y307,Y307)-1),(RANK(Y307,Y$11:Y$368)+COUNTIF(Y$11:Y307,Y307)-1)))</f>
        <v/>
      </c>
      <c r="AA307" s="188" t="str">
        <f>IF(L307="","",VLOOKUP($L307,classifications!C:I,7,FALSE))</f>
        <v/>
      </c>
      <c r="AB307" s="184" t="str">
        <f t="shared" si="110"/>
        <v/>
      </c>
      <c r="AC307" s="184" t="str">
        <f>IF(AB307="","",IF($I$8="A",(RANK(AB307,AB$11:AB$368)+COUNTIF(AB$11:AB307,AB307)-1),(RANK(AB307,AB$11:AB$368,1)+COUNTIF(AB$11:AB307,AB307)-1)))</f>
        <v/>
      </c>
      <c r="AD307" s="184"/>
      <c r="AE307" s="28" t="str">
        <f t="shared" si="119"/>
        <v/>
      </c>
      <c r="AG307" s="96"/>
      <c r="AH307" s="29"/>
      <c r="AI307" s="38" t="str">
        <f>IF(L307="","",VLOOKUP($L307,classifications!$C:$J,8,FALSE))</f>
        <v/>
      </c>
      <c r="AJ307" s="39" t="str">
        <f t="shared" si="103"/>
        <v/>
      </c>
      <c r="AK307" s="34" t="str">
        <f>IF(AJ307="","",IF(I$8="A",(RANK(AJ307,AJ$11:AJ$368,1)+COUNTIF(AJ$11:AJ307,AJ307)-1),(RANK(AJ307,AJ$11:AJ$368)+COUNTIF(AJ$11:AJ307,AJ307)-1)))</f>
        <v/>
      </c>
      <c r="AL307" s="29" t="str">
        <f t="shared" si="111"/>
        <v/>
      </c>
      <c r="AM307" s="8" t="str">
        <f t="shared" si="104"/>
        <v/>
      </c>
      <c r="AN307" s="8" t="str">
        <f t="shared" si="112"/>
        <v/>
      </c>
      <c r="AP307" s="38" t="str">
        <f>IF(L307="","",VLOOKUP($L307,classifications!$C:$E,3,FALSE))</f>
        <v/>
      </c>
      <c r="AQ307" s="39" t="str">
        <f t="shared" si="113"/>
        <v/>
      </c>
      <c r="AR307" s="34" t="str">
        <f>IF(AQ307="","",IF(I$8="A",(RANK(AQ307,AQ$11:AQ$368,1)+COUNTIF(AQ$11:AQ307,AQ307)-1),(RANK(AQ307,AQ$11:AQ$368)+COUNTIF(AQ$11:AQ307,AQ307)-1)))</f>
        <v/>
      </c>
      <c r="AS307" s="29" t="str">
        <f t="shared" si="114"/>
        <v/>
      </c>
      <c r="AT307" s="34" t="str">
        <f t="shared" si="105"/>
        <v/>
      </c>
      <c r="AU307" s="39" t="str">
        <f t="shared" si="118"/>
        <v/>
      </c>
      <c r="AX307" s="21">
        <f>HLOOKUP($AX$9&amp;$AX$10,Data!$A$1:$ZZ$2000,(MATCH($C307,Data!$A$1:$A$2000,0)),FALSE)</f>
        <v>77.582938181002405</v>
      </c>
      <c r="AY307" s="103"/>
      <c r="AZ307" s="21"/>
    </row>
    <row r="308" spans="1:52">
      <c r="A308" s="56" t="str">
        <f>$D$1&amp;298</f>
        <v>SD298</v>
      </c>
      <c r="B308" s="57">
        <f>IF(ISERROR(VLOOKUP(A308,classifications!A:C,3,FALSE)),0,VLOOKUP(A308,classifications!A:C,3,FALSE))</f>
        <v>0</v>
      </c>
      <c r="C308" s="8" t="s">
        <v>292</v>
      </c>
      <c r="D308" s="26" t="str">
        <f>VLOOKUP($C308,classifications!$C:$J,4,FALSE)</f>
        <v>UA</v>
      </c>
      <c r="E308" s="26">
        <f>VLOOKUP(C308,classifications!C:K,9,FALSE)</f>
        <v>0</v>
      </c>
      <c r="F308" s="36">
        <f t="shared" si="97"/>
        <v>77.144960032606562</v>
      </c>
      <c r="G308" s="71"/>
      <c r="H308" s="37" t="str">
        <f t="shared" si="98"/>
        <v/>
      </c>
      <c r="I308" s="77" t="str">
        <f>IF(H308="","",IF($I$8="A",(RANK(H308,H$11:H$368,1)+COUNTIF(H$11:H308,H308)-1),(RANK(H308,H$11:H$368)+COUNTIF(H$11:H308,H308)-1)))</f>
        <v/>
      </c>
      <c r="J308" s="35"/>
      <c r="K308" s="28" t="str">
        <f t="shared" si="106"/>
        <v/>
      </c>
      <c r="L308" s="36" t="str">
        <f t="shared" si="99"/>
        <v/>
      </c>
      <c r="M308" s="102" t="str">
        <f t="shared" si="107"/>
        <v/>
      </c>
      <c r="N308" s="101" t="str">
        <f t="shared" si="108"/>
        <v/>
      </c>
      <c r="O308" s="94" t="str">
        <f t="shared" si="100"/>
        <v/>
      </c>
      <c r="P308" s="94" t="str">
        <f t="shared" si="115"/>
        <v/>
      </c>
      <c r="Q308" s="94" t="str">
        <f t="shared" si="116"/>
        <v/>
      </c>
      <c r="R308" s="90" t="str">
        <f t="shared" si="117"/>
        <v/>
      </c>
      <c r="S308" s="37" t="str">
        <f t="shared" si="109"/>
        <v/>
      </c>
      <c r="T308" s="176" t="str">
        <f>IF(L308="","",VLOOKUP(L308,classifications!C:K,9,FALSE))</f>
        <v/>
      </c>
      <c r="U308" s="183" t="str">
        <f t="shared" si="101"/>
        <v/>
      </c>
      <c r="V308" s="184" t="str">
        <f>IF(U308="","",IF($I$8="A",(RANK(U308,U$11:U$368)+COUNTIF(U$11:U308,U308)-1),(RANK(U308,U$11:U$368,1)+COUNTIF(U$11:U308,U308)-1)))</f>
        <v/>
      </c>
      <c r="W308" s="185"/>
      <c r="X308" s="38" t="str">
        <f>IF(L308="","",VLOOKUP($L308,classifications!$C:$J,6,FALSE))</f>
        <v/>
      </c>
      <c r="Y308" s="26" t="str">
        <f t="shared" si="102"/>
        <v/>
      </c>
      <c r="Z308" s="34" t="str">
        <f>IF(Y308="","",IF(I$8="A",(RANK(Y308,Y$11:Y$368,1)+COUNTIF(Y$11:Y308,Y308)-1),(RANK(Y308,Y$11:Y$368)+COUNTIF(Y$11:Y308,Y308)-1)))</f>
        <v/>
      </c>
      <c r="AA308" s="188" t="str">
        <f>IF(L308="","",VLOOKUP($L308,classifications!C:I,7,FALSE))</f>
        <v/>
      </c>
      <c r="AB308" s="184" t="str">
        <f t="shared" si="110"/>
        <v/>
      </c>
      <c r="AC308" s="184" t="str">
        <f>IF(AB308="","",IF($I$8="A",(RANK(AB308,AB$11:AB$368)+COUNTIF(AB$11:AB308,AB308)-1),(RANK(AB308,AB$11:AB$368,1)+COUNTIF(AB$11:AB308,AB308)-1)))</f>
        <v/>
      </c>
      <c r="AD308" s="184"/>
      <c r="AE308" s="28" t="str">
        <f t="shared" si="119"/>
        <v/>
      </c>
      <c r="AG308" s="96"/>
      <c r="AH308" s="29"/>
      <c r="AI308" s="38" t="str">
        <f>IF(L308="","",VLOOKUP($L308,classifications!$C:$J,8,FALSE))</f>
        <v/>
      </c>
      <c r="AJ308" s="39" t="str">
        <f t="shared" si="103"/>
        <v/>
      </c>
      <c r="AK308" s="34" t="str">
        <f>IF(AJ308="","",IF(I$8="A",(RANK(AJ308,AJ$11:AJ$368,1)+COUNTIF(AJ$11:AJ308,AJ308)-1),(RANK(AJ308,AJ$11:AJ$368)+COUNTIF(AJ$11:AJ308,AJ308)-1)))</f>
        <v/>
      </c>
      <c r="AL308" s="29" t="str">
        <f t="shared" si="111"/>
        <v/>
      </c>
      <c r="AM308" s="8" t="str">
        <f t="shared" si="104"/>
        <v/>
      </c>
      <c r="AN308" s="8" t="str">
        <f t="shared" si="112"/>
        <v/>
      </c>
      <c r="AP308" s="38" t="str">
        <f>IF(L308="","",VLOOKUP($L308,classifications!$C:$E,3,FALSE))</f>
        <v/>
      </c>
      <c r="AQ308" s="39" t="str">
        <f t="shared" si="113"/>
        <v/>
      </c>
      <c r="AR308" s="34" t="str">
        <f>IF(AQ308="","",IF(I$8="A",(RANK(AQ308,AQ$11:AQ$368,1)+COUNTIF(AQ$11:AQ308,AQ308)-1),(RANK(AQ308,AQ$11:AQ$368)+COUNTIF(AQ$11:AQ308,AQ308)-1)))</f>
        <v/>
      </c>
      <c r="AS308" s="29" t="str">
        <f t="shared" si="114"/>
        <v/>
      </c>
      <c r="AT308" s="34" t="str">
        <f t="shared" si="105"/>
        <v/>
      </c>
      <c r="AU308" s="39" t="str">
        <f t="shared" si="118"/>
        <v/>
      </c>
      <c r="AX308" s="21">
        <f>HLOOKUP($AX$9&amp;$AX$10,Data!$A$1:$ZZ$2000,(MATCH($C308,Data!$A$1:$A$2000,0)),FALSE)</f>
        <v>77.144960032606562</v>
      </c>
      <c r="AY308" s="103"/>
      <c r="AZ308" s="21"/>
    </row>
    <row r="309" spans="1:52">
      <c r="A309" s="56" t="str">
        <f>$D$1&amp;299</f>
        <v>SD299</v>
      </c>
      <c r="B309" s="57">
        <f>IF(ISERROR(VLOOKUP(A309,classifications!A:C,3,FALSE)),0,VLOOKUP(A309,classifications!A:C,3,FALSE))</f>
        <v>0</v>
      </c>
      <c r="C309" s="8" t="s">
        <v>251</v>
      </c>
      <c r="D309" s="26" t="str">
        <f>VLOOKUP($C309,classifications!$C:$J,4,FALSE)</f>
        <v>MD</v>
      </c>
      <c r="E309" s="26">
        <f>VLOOKUP(C309,classifications!C:K,9,FALSE)</f>
        <v>0</v>
      </c>
      <c r="F309" s="36">
        <f t="shared" si="97"/>
        <v>76.780891261046293</v>
      </c>
      <c r="G309" s="71"/>
      <c r="H309" s="37" t="str">
        <f t="shared" si="98"/>
        <v/>
      </c>
      <c r="I309" s="77" t="str">
        <f>IF(H309="","",IF($I$8="A",(RANK(H309,H$11:H$368,1)+COUNTIF(H$11:H309,H309)-1),(RANK(H309,H$11:H$368)+COUNTIF(H$11:H309,H309)-1)))</f>
        <v/>
      </c>
      <c r="J309" s="35"/>
      <c r="K309" s="28" t="str">
        <f t="shared" si="106"/>
        <v/>
      </c>
      <c r="L309" s="36" t="str">
        <f t="shared" si="99"/>
        <v/>
      </c>
      <c r="M309" s="102" t="str">
        <f t="shared" si="107"/>
        <v/>
      </c>
      <c r="N309" s="101" t="str">
        <f t="shared" si="108"/>
        <v/>
      </c>
      <c r="O309" s="94" t="str">
        <f t="shared" si="100"/>
        <v/>
      </c>
      <c r="P309" s="94" t="str">
        <f t="shared" si="115"/>
        <v/>
      </c>
      <c r="Q309" s="94" t="str">
        <f t="shared" si="116"/>
        <v/>
      </c>
      <c r="R309" s="90" t="str">
        <f t="shared" si="117"/>
        <v/>
      </c>
      <c r="S309" s="37" t="str">
        <f t="shared" si="109"/>
        <v/>
      </c>
      <c r="T309" s="176" t="str">
        <f>IF(L309="","",VLOOKUP(L309,classifications!C:K,9,FALSE))</f>
        <v/>
      </c>
      <c r="U309" s="183" t="str">
        <f t="shared" si="101"/>
        <v/>
      </c>
      <c r="V309" s="184" t="str">
        <f>IF(U309="","",IF($I$8="A",(RANK(U309,U$11:U$368)+COUNTIF(U$11:U309,U309)-1),(RANK(U309,U$11:U$368,1)+COUNTIF(U$11:U309,U309)-1)))</f>
        <v/>
      </c>
      <c r="W309" s="185"/>
      <c r="X309" s="38" t="str">
        <f>IF(L309="","",VLOOKUP($L309,classifications!$C:$J,6,FALSE))</f>
        <v/>
      </c>
      <c r="Y309" s="26" t="str">
        <f t="shared" si="102"/>
        <v/>
      </c>
      <c r="Z309" s="34" t="str">
        <f>IF(Y309="","",IF(I$8="A",(RANK(Y309,Y$11:Y$368,1)+COUNTIF(Y$11:Y309,Y309)-1),(RANK(Y309,Y$11:Y$368)+COUNTIF(Y$11:Y309,Y309)-1)))</f>
        <v/>
      </c>
      <c r="AA309" s="188" t="str">
        <f>IF(L309="","",VLOOKUP($L309,classifications!C:I,7,FALSE))</f>
        <v/>
      </c>
      <c r="AB309" s="184" t="str">
        <f t="shared" si="110"/>
        <v/>
      </c>
      <c r="AC309" s="184" t="str">
        <f>IF(AB309="","",IF($I$8="A",(RANK(AB309,AB$11:AB$368)+COUNTIF(AB$11:AB309,AB309)-1),(RANK(AB309,AB$11:AB$368,1)+COUNTIF(AB$11:AB309,AB309)-1)))</f>
        <v/>
      </c>
      <c r="AD309" s="184"/>
      <c r="AE309" s="28" t="str">
        <f t="shared" si="119"/>
        <v/>
      </c>
      <c r="AG309" s="96"/>
      <c r="AH309" s="29"/>
      <c r="AI309" s="38" t="str">
        <f>IF(L309="","",VLOOKUP($L309,classifications!$C:$J,8,FALSE))</f>
        <v/>
      </c>
      <c r="AJ309" s="39" t="str">
        <f t="shared" si="103"/>
        <v/>
      </c>
      <c r="AK309" s="34" t="str">
        <f>IF(AJ309="","",IF(I$8="A",(RANK(AJ309,AJ$11:AJ$368,1)+COUNTIF(AJ$11:AJ309,AJ309)-1),(RANK(AJ309,AJ$11:AJ$368)+COUNTIF(AJ$11:AJ309,AJ309)-1)))</f>
        <v/>
      </c>
      <c r="AL309" s="29" t="str">
        <f t="shared" si="111"/>
        <v/>
      </c>
      <c r="AM309" s="8" t="str">
        <f t="shared" si="104"/>
        <v/>
      </c>
      <c r="AN309" s="8" t="str">
        <f t="shared" si="112"/>
        <v/>
      </c>
      <c r="AP309" s="38" t="str">
        <f>IF(L309="","",VLOOKUP($L309,classifications!$C:$E,3,FALSE))</f>
        <v/>
      </c>
      <c r="AQ309" s="39" t="str">
        <f t="shared" si="113"/>
        <v/>
      </c>
      <c r="AR309" s="34" t="str">
        <f>IF(AQ309="","",IF(I$8="A",(RANK(AQ309,AQ$11:AQ$368,1)+COUNTIF(AQ$11:AQ309,AQ309)-1),(RANK(AQ309,AQ$11:AQ$368)+COUNTIF(AQ$11:AQ309,AQ309)-1)))</f>
        <v/>
      </c>
      <c r="AS309" s="29" t="str">
        <f t="shared" si="114"/>
        <v/>
      </c>
      <c r="AT309" s="34" t="str">
        <f t="shared" si="105"/>
        <v/>
      </c>
      <c r="AU309" s="39" t="str">
        <f t="shared" si="118"/>
        <v/>
      </c>
      <c r="AX309" s="21">
        <f>HLOOKUP($AX$9&amp;$AX$10,Data!$A$1:$ZZ$2000,(MATCH($C309,Data!$A$1:$A$2000,0)),FALSE)</f>
        <v>76.780891261046293</v>
      </c>
      <c r="AY309" s="103"/>
      <c r="AZ309" s="21"/>
    </row>
    <row r="310" spans="1:52">
      <c r="A310" s="56" t="str">
        <f>$D$1&amp;300</f>
        <v>SD300</v>
      </c>
      <c r="B310" s="57">
        <f>IF(ISERROR(VLOOKUP(A310,classifications!A:C,3,FALSE)),0,VLOOKUP(A310,classifications!A:C,3,FALSE))</f>
        <v>0</v>
      </c>
      <c r="C310" s="8" t="s">
        <v>161</v>
      </c>
      <c r="D310" s="26" t="str">
        <f>VLOOKUP($C310,classifications!$C:$J,4,FALSE)</f>
        <v>SD</v>
      </c>
      <c r="E310" s="26">
        <f>VLOOKUP(C310,classifications!C:K,9,FALSE)</f>
        <v>0</v>
      </c>
      <c r="F310" s="36">
        <f t="shared" si="97"/>
        <v>78.669032275220886</v>
      </c>
      <c r="G310" s="71"/>
      <c r="H310" s="37">
        <f t="shared" si="98"/>
        <v>78.669032275220886</v>
      </c>
      <c r="I310" s="77">
        <f>IF(H310="","",IF($I$8="A",(RANK(H310,H$11:H$368,1)+COUNTIF(H$11:H310,H310)-1),(RANK(H310,H$11:H$368)+COUNTIF(H$11:H310,H310)-1)))</f>
        <v>141</v>
      </c>
      <c r="J310" s="35"/>
      <c r="K310" s="28" t="str">
        <f t="shared" si="106"/>
        <v/>
      </c>
      <c r="L310" s="36" t="str">
        <f t="shared" si="99"/>
        <v/>
      </c>
      <c r="M310" s="102" t="str">
        <f t="shared" si="107"/>
        <v/>
      </c>
      <c r="N310" s="101" t="str">
        <f t="shared" si="108"/>
        <v/>
      </c>
      <c r="O310" s="94" t="str">
        <f t="shared" si="100"/>
        <v/>
      </c>
      <c r="P310" s="94" t="str">
        <f t="shared" si="115"/>
        <v/>
      </c>
      <c r="Q310" s="94" t="str">
        <f t="shared" si="116"/>
        <v/>
      </c>
      <c r="R310" s="90" t="str">
        <f t="shared" si="117"/>
        <v/>
      </c>
      <c r="S310" s="37" t="str">
        <f t="shared" si="109"/>
        <v/>
      </c>
      <c r="T310" s="176" t="str">
        <f>IF(L310="","",VLOOKUP(L310,classifications!C:K,9,FALSE))</f>
        <v/>
      </c>
      <c r="U310" s="183" t="str">
        <f t="shared" si="101"/>
        <v/>
      </c>
      <c r="V310" s="184" t="str">
        <f>IF(U310="","",IF($I$8="A",(RANK(U310,U$11:U$368)+COUNTIF(U$11:U310,U310)-1),(RANK(U310,U$11:U$368,1)+COUNTIF(U$11:U310,U310)-1)))</f>
        <v/>
      </c>
      <c r="W310" s="185"/>
      <c r="X310" s="38" t="str">
        <f>IF(L310="","",VLOOKUP($L310,classifications!$C:$J,6,FALSE))</f>
        <v/>
      </c>
      <c r="Y310" s="26" t="str">
        <f t="shared" si="102"/>
        <v/>
      </c>
      <c r="Z310" s="34" t="str">
        <f>IF(Y310="","",IF(I$8="A",(RANK(Y310,Y$11:Y$368,1)+COUNTIF(Y$11:Y310,Y310)-1),(RANK(Y310,Y$11:Y$368)+COUNTIF(Y$11:Y310,Y310)-1)))</f>
        <v/>
      </c>
      <c r="AA310" s="188" t="str">
        <f>IF(L310="","",VLOOKUP($L310,classifications!C:I,7,FALSE))</f>
        <v/>
      </c>
      <c r="AB310" s="184" t="str">
        <f t="shared" si="110"/>
        <v/>
      </c>
      <c r="AC310" s="184" t="str">
        <f>IF(AB310="","",IF($I$8="A",(RANK(AB310,AB$11:AB$368)+COUNTIF(AB$11:AB310,AB310)-1),(RANK(AB310,AB$11:AB$368,1)+COUNTIF(AB$11:AB310,AB310)-1)))</f>
        <v/>
      </c>
      <c r="AD310" s="184"/>
      <c r="AE310" s="28" t="str">
        <f t="shared" si="119"/>
        <v/>
      </c>
      <c r="AG310" s="96"/>
      <c r="AH310" s="29"/>
      <c r="AI310" s="38" t="str">
        <f>IF(L310="","",VLOOKUP($L310,classifications!$C:$J,8,FALSE))</f>
        <v/>
      </c>
      <c r="AJ310" s="39" t="str">
        <f t="shared" si="103"/>
        <v/>
      </c>
      <c r="AK310" s="34" t="str">
        <f>IF(AJ310="","",IF(I$8="A",(RANK(AJ310,AJ$11:AJ$368,1)+COUNTIF(AJ$11:AJ310,AJ310)-1),(RANK(AJ310,AJ$11:AJ$368)+COUNTIF(AJ$11:AJ310,AJ310)-1)))</f>
        <v/>
      </c>
      <c r="AL310" s="29" t="str">
        <f t="shared" si="111"/>
        <v/>
      </c>
      <c r="AM310" s="8" t="str">
        <f t="shared" si="104"/>
        <v/>
      </c>
      <c r="AN310" s="8" t="str">
        <f t="shared" si="112"/>
        <v/>
      </c>
      <c r="AP310" s="38" t="str">
        <f>IF(L310="","",VLOOKUP($L310,classifications!$C:$E,3,FALSE))</f>
        <v/>
      </c>
      <c r="AQ310" s="39" t="str">
        <f t="shared" si="113"/>
        <v/>
      </c>
      <c r="AR310" s="34" t="str">
        <f>IF(AQ310="","",IF(I$8="A",(RANK(AQ310,AQ$11:AQ$368,1)+COUNTIF(AQ$11:AQ310,AQ310)-1),(RANK(AQ310,AQ$11:AQ$368)+COUNTIF(AQ$11:AQ310,AQ310)-1)))</f>
        <v/>
      </c>
      <c r="AS310" s="29" t="str">
        <f t="shared" si="114"/>
        <v/>
      </c>
      <c r="AT310" s="34" t="str">
        <f t="shared" si="105"/>
        <v/>
      </c>
      <c r="AU310" s="39" t="str">
        <f t="shared" si="118"/>
        <v/>
      </c>
      <c r="AX310" s="21">
        <f>HLOOKUP($AX$9&amp;$AX$10,Data!$A$1:$ZZ$2000,(MATCH($C310,Data!$A$1:$A$2000,0)),FALSE)</f>
        <v>78.669032275220886</v>
      </c>
      <c r="AY310" s="103"/>
      <c r="AZ310" s="21"/>
    </row>
    <row r="311" spans="1:52">
      <c r="A311" s="56" t="str">
        <f>$D$1&amp;301</f>
        <v>SD301</v>
      </c>
      <c r="B311" s="57">
        <f>IF(ISERROR(VLOOKUP(A311,classifications!A:C,3,FALSE)),0,VLOOKUP(A311,classifications!A:C,3,FALSE))</f>
        <v>0</v>
      </c>
      <c r="C311" s="8" t="s">
        <v>162</v>
      </c>
      <c r="D311" s="26" t="str">
        <f>VLOOKUP($C311,classifications!$C:$J,4,FALSE)</f>
        <v>SD</v>
      </c>
      <c r="E311" s="26" t="str">
        <f>VLOOKUP(C311,classifications!C:K,9,FALSE)</f>
        <v>Sparse</v>
      </c>
      <c r="F311" s="36">
        <f t="shared" si="97"/>
        <v>79.266523104778315</v>
      </c>
      <c r="G311" s="71"/>
      <c r="H311" s="37">
        <f t="shared" si="98"/>
        <v>79.266523104778315</v>
      </c>
      <c r="I311" s="77">
        <f>IF(H311="","",IF($I$8="A",(RANK(H311,H$11:H$368,1)+COUNTIF(H$11:H311,H311)-1),(RANK(H311,H$11:H$368)+COUNTIF(H$11:H311,H311)-1)))</f>
        <v>134</v>
      </c>
      <c r="J311" s="35"/>
      <c r="K311" s="28" t="str">
        <f t="shared" si="106"/>
        <v/>
      </c>
      <c r="L311" s="36" t="str">
        <f t="shared" si="99"/>
        <v/>
      </c>
      <c r="M311" s="102" t="str">
        <f t="shared" si="107"/>
        <v/>
      </c>
      <c r="N311" s="101" t="str">
        <f t="shared" si="108"/>
        <v/>
      </c>
      <c r="O311" s="94" t="str">
        <f t="shared" si="100"/>
        <v/>
      </c>
      <c r="P311" s="94" t="str">
        <f t="shared" si="115"/>
        <v/>
      </c>
      <c r="Q311" s="94" t="str">
        <f t="shared" si="116"/>
        <v/>
      </c>
      <c r="R311" s="90" t="str">
        <f t="shared" si="117"/>
        <v/>
      </c>
      <c r="S311" s="37" t="str">
        <f t="shared" si="109"/>
        <v/>
      </c>
      <c r="T311" s="176" t="str">
        <f>IF(L311="","",VLOOKUP(L311,classifications!C:K,9,FALSE))</f>
        <v/>
      </c>
      <c r="U311" s="183" t="str">
        <f t="shared" si="101"/>
        <v/>
      </c>
      <c r="V311" s="184" t="str">
        <f>IF(U311="","",IF($I$8="A",(RANK(U311,U$11:U$368)+COUNTIF(U$11:U311,U311)-1),(RANK(U311,U$11:U$368,1)+COUNTIF(U$11:U311,U311)-1)))</f>
        <v/>
      </c>
      <c r="W311" s="185"/>
      <c r="X311" s="38" t="str">
        <f>IF(L311="","",VLOOKUP($L311,classifications!$C:$J,6,FALSE))</f>
        <v/>
      </c>
      <c r="Y311" s="26" t="str">
        <f t="shared" si="102"/>
        <v/>
      </c>
      <c r="Z311" s="34" t="str">
        <f>IF(Y311="","",IF(I$8="A",(RANK(Y311,Y$11:Y$368,1)+COUNTIF(Y$11:Y311,Y311)-1),(RANK(Y311,Y$11:Y$368)+COUNTIF(Y$11:Y311,Y311)-1)))</f>
        <v/>
      </c>
      <c r="AA311" s="188" t="str">
        <f>IF(L311="","",VLOOKUP($L311,classifications!C:I,7,FALSE))</f>
        <v/>
      </c>
      <c r="AB311" s="184" t="str">
        <f t="shared" si="110"/>
        <v/>
      </c>
      <c r="AC311" s="184" t="str">
        <f>IF(AB311="","",IF($I$8="A",(RANK(AB311,AB$11:AB$368)+COUNTIF(AB$11:AB311,AB311)-1),(RANK(AB311,AB$11:AB$368,1)+COUNTIF(AB$11:AB311,AB311)-1)))</f>
        <v/>
      </c>
      <c r="AD311" s="184"/>
      <c r="AE311" s="28" t="str">
        <f t="shared" si="119"/>
        <v/>
      </c>
      <c r="AG311" s="96"/>
      <c r="AH311" s="29"/>
      <c r="AI311" s="38" t="str">
        <f>IF(L311="","",VLOOKUP($L311,classifications!$C:$J,8,FALSE))</f>
        <v/>
      </c>
      <c r="AJ311" s="39" t="str">
        <f t="shared" si="103"/>
        <v/>
      </c>
      <c r="AK311" s="34" t="str">
        <f>IF(AJ311="","",IF(I$8="A",(RANK(AJ311,AJ$11:AJ$368,1)+COUNTIF(AJ$11:AJ311,AJ311)-1),(RANK(AJ311,AJ$11:AJ$368)+COUNTIF(AJ$11:AJ311,AJ311)-1)))</f>
        <v/>
      </c>
      <c r="AL311" s="29" t="str">
        <f t="shared" si="111"/>
        <v/>
      </c>
      <c r="AM311" s="8" t="str">
        <f t="shared" si="104"/>
        <v/>
      </c>
      <c r="AN311" s="8" t="str">
        <f t="shared" si="112"/>
        <v/>
      </c>
      <c r="AP311" s="38" t="str">
        <f>IF(L311="","",VLOOKUP($L311,classifications!$C:$E,3,FALSE))</f>
        <v/>
      </c>
      <c r="AQ311" s="39" t="str">
        <f t="shared" si="113"/>
        <v/>
      </c>
      <c r="AR311" s="34" t="str">
        <f>IF(AQ311="","",IF(I$8="A",(RANK(AQ311,AQ$11:AQ$368,1)+COUNTIF(AQ$11:AQ311,AQ311)-1),(RANK(AQ311,AQ$11:AQ$368)+COUNTIF(AQ$11:AQ311,AQ311)-1)))</f>
        <v/>
      </c>
      <c r="AS311" s="29" t="str">
        <f t="shared" si="114"/>
        <v/>
      </c>
      <c r="AT311" s="34" t="str">
        <f t="shared" si="105"/>
        <v/>
      </c>
      <c r="AU311" s="39" t="str">
        <f t="shared" si="118"/>
        <v/>
      </c>
      <c r="AX311" s="21">
        <f>HLOOKUP($AX$9&amp;$AX$10,Data!$A$1:$ZZ$2000,(MATCH($C311,Data!$A$1:$A$2000,0)),FALSE)</f>
        <v>79.266523104778315</v>
      </c>
      <c r="AY311" s="103"/>
      <c r="AZ311" s="21"/>
    </row>
    <row r="312" spans="1:52">
      <c r="A312" s="56" t="str">
        <f>$D$1&amp;302</f>
        <v>SD302</v>
      </c>
      <c r="B312" s="57">
        <f>IF(ISERROR(VLOOKUP(A312,classifications!A:C,3,FALSE)),0,VLOOKUP(A312,classifications!A:C,3,FALSE))</f>
        <v>0</v>
      </c>
      <c r="C312" s="8" t="s">
        <v>163</v>
      </c>
      <c r="D312" s="26" t="str">
        <f>VLOOKUP($C312,classifications!$C:$J,4,FALSE)</f>
        <v>SD</v>
      </c>
      <c r="E312" s="26" t="str">
        <f>VLOOKUP(C312,classifications!C:K,9,FALSE)</f>
        <v>Sparse</v>
      </c>
      <c r="F312" s="36" t="str">
        <f t="shared" si="97"/>
        <v>-</v>
      </c>
      <c r="G312" s="71"/>
      <c r="H312" s="37" t="str">
        <f t="shared" si="98"/>
        <v>-</v>
      </c>
      <c r="I312" s="77" t="e">
        <f>IF(H312="","",IF($I$8="A",(RANK(H312,H$11:H$368,1)+COUNTIF(H$11:H312,H312)-1),(RANK(H312,H$11:H$368)+COUNTIF(H$11:H312,H312)-1)))</f>
        <v>#VALUE!</v>
      </c>
      <c r="J312" s="35"/>
      <c r="K312" s="28" t="str">
        <f t="shared" si="106"/>
        <v/>
      </c>
      <c r="L312" s="36" t="str">
        <f t="shared" si="99"/>
        <v/>
      </c>
      <c r="M312" s="102" t="str">
        <f t="shared" si="107"/>
        <v/>
      </c>
      <c r="N312" s="101" t="str">
        <f t="shared" si="108"/>
        <v/>
      </c>
      <c r="O312" s="94" t="str">
        <f t="shared" si="100"/>
        <v/>
      </c>
      <c r="P312" s="94" t="str">
        <f t="shared" si="115"/>
        <v/>
      </c>
      <c r="Q312" s="94" t="str">
        <f t="shared" si="116"/>
        <v/>
      </c>
      <c r="R312" s="90" t="str">
        <f t="shared" si="117"/>
        <v/>
      </c>
      <c r="S312" s="37" t="str">
        <f t="shared" si="109"/>
        <v/>
      </c>
      <c r="T312" s="176" t="str">
        <f>IF(L312="","",VLOOKUP(L312,classifications!C:K,9,FALSE))</f>
        <v/>
      </c>
      <c r="U312" s="183" t="str">
        <f t="shared" si="101"/>
        <v/>
      </c>
      <c r="V312" s="184" t="str">
        <f>IF(U312="","",IF($I$8="A",(RANK(U312,U$11:U$368)+COUNTIF(U$11:U312,U312)-1),(RANK(U312,U$11:U$368,1)+COUNTIF(U$11:U312,U312)-1)))</f>
        <v/>
      </c>
      <c r="W312" s="185"/>
      <c r="X312" s="38" t="str">
        <f>IF(L312="","",VLOOKUP($L312,classifications!$C:$J,6,FALSE))</f>
        <v/>
      </c>
      <c r="Y312" s="26" t="str">
        <f t="shared" si="102"/>
        <v/>
      </c>
      <c r="Z312" s="34" t="str">
        <f>IF(Y312="","",IF(I$8="A",(RANK(Y312,Y$11:Y$368,1)+COUNTIF(Y$11:Y312,Y312)-1),(RANK(Y312,Y$11:Y$368)+COUNTIF(Y$11:Y312,Y312)-1)))</f>
        <v/>
      </c>
      <c r="AA312" s="188" t="str">
        <f>IF(L312="","",VLOOKUP($L312,classifications!C:I,7,FALSE))</f>
        <v/>
      </c>
      <c r="AB312" s="184" t="str">
        <f t="shared" si="110"/>
        <v/>
      </c>
      <c r="AC312" s="184" t="str">
        <f>IF(AB312="","",IF($I$8="A",(RANK(AB312,AB$11:AB$368)+COUNTIF(AB$11:AB312,AB312)-1),(RANK(AB312,AB$11:AB$368,1)+COUNTIF(AB$11:AB312,AB312)-1)))</f>
        <v/>
      </c>
      <c r="AD312" s="184"/>
      <c r="AE312" s="28" t="str">
        <f t="shared" si="119"/>
        <v/>
      </c>
      <c r="AG312" s="96"/>
      <c r="AH312" s="29"/>
      <c r="AI312" s="38" t="str">
        <f>IF(L312="","",VLOOKUP($L312,classifications!$C:$J,8,FALSE))</f>
        <v/>
      </c>
      <c r="AJ312" s="39" t="str">
        <f t="shared" si="103"/>
        <v/>
      </c>
      <c r="AK312" s="34" t="str">
        <f>IF(AJ312="","",IF(I$8="A",(RANK(AJ312,AJ$11:AJ$368,1)+COUNTIF(AJ$11:AJ312,AJ312)-1),(RANK(AJ312,AJ$11:AJ$368)+COUNTIF(AJ$11:AJ312,AJ312)-1)))</f>
        <v/>
      </c>
      <c r="AL312" s="29" t="str">
        <f t="shared" si="111"/>
        <v/>
      </c>
      <c r="AM312" s="8" t="str">
        <f t="shared" si="104"/>
        <v/>
      </c>
      <c r="AN312" s="8" t="str">
        <f t="shared" si="112"/>
        <v/>
      </c>
      <c r="AP312" s="38" t="str">
        <f>IF(L312="","",VLOOKUP($L312,classifications!$C:$E,3,FALSE))</f>
        <v/>
      </c>
      <c r="AQ312" s="39" t="str">
        <f t="shared" si="113"/>
        <v/>
      </c>
      <c r="AR312" s="34" t="str">
        <f>IF(AQ312="","",IF(I$8="A",(RANK(AQ312,AQ$11:AQ$368,1)+COUNTIF(AQ$11:AQ312,AQ312)-1),(RANK(AQ312,AQ$11:AQ$368)+COUNTIF(AQ$11:AQ312,AQ312)-1)))</f>
        <v/>
      </c>
      <c r="AS312" s="29" t="str">
        <f t="shared" si="114"/>
        <v/>
      </c>
      <c r="AT312" s="34" t="str">
        <f t="shared" si="105"/>
        <v/>
      </c>
      <c r="AU312" s="39" t="str">
        <f t="shared" si="118"/>
        <v/>
      </c>
      <c r="AX312" s="21" t="str">
        <f>HLOOKUP($AX$9&amp;$AX$10,Data!$A$1:$ZZ$2000,(MATCH($C312,Data!$A$1:$A$2000,0)),FALSE)</f>
        <v>-</v>
      </c>
      <c r="AY312" s="103"/>
      <c r="AZ312" s="21"/>
    </row>
    <row r="313" spans="1:52">
      <c r="A313" s="56" t="str">
        <f>$D$1&amp;303</f>
        <v>SD303</v>
      </c>
      <c r="B313" s="57">
        <f>IF(ISERROR(VLOOKUP(A313,classifications!A:C,3,FALSE)),0,VLOOKUP(A313,classifications!A:C,3,FALSE))</f>
        <v>0</v>
      </c>
      <c r="C313" s="8" t="s">
        <v>164</v>
      </c>
      <c r="D313" s="26" t="str">
        <f>VLOOKUP($C313,classifications!$C:$J,4,FALSE)</f>
        <v>SD</v>
      </c>
      <c r="E313" s="26" t="str">
        <f>VLOOKUP(C313,classifications!C:K,9,FALSE)</f>
        <v>Sparse</v>
      </c>
      <c r="F313" s="36">
        <f t="shared" si="97"/>
        <v>85.304403770001343</v>
      </c>
      <c r="G313" s="71"/>
      <c r="H313" s="37">
        <f t="shared" si="98"/>
        <v>85.304403770001343</v>
      </c>
      <c r="I313" s="77">
        <f>IF(H313="","",IF($I$8="A",(RANK(H313,H$11:H$368,1)+COUNTIF(H$11:H313,H313)-1),(RANK(H313,H$11:H$368)+COUNTIF(H$11:H313,H313)-1)))</f>
        <v>26</v>
      </c>
      <c r="J313" s="35"/>
      <c r="K313" s="28" t="str">
        <f t="shared" si="106"/>
        <v/>
      </c>
      <c r="L313" s="36" t="str">
        <f t="shared" si="99"/>
        <v/>
      </c>
      <c r="M313" s="102" t="str">
        <f t="shared" si="107"/>
        <v/>
      </c>
      <c r="N313" s="101" t="str">
        <f t="shared" si="108"/>
        <v/>
      </c>
      <c r="O313" s="94" t="str">
        <f t="shared" si="100"/>
        <v/>
      </c>
      <c r="P313" s="94" t="str">
        <f t="shared" si="115"/>
        <v/>
      </c>
      <c r="Q313" s="94" t="str">
        <f t="shared" si="116"/>
        <v/>
      </c>
      <c r="R313" s="90" t="str">
        <f t="shared" si="117"/>
        <v/>
      </c>
      <c r="S313" s="37" t="str">
        <f t="shared" si="109"/>
        <v/>
      </c>
      <c r="T313" s="176" t="str">
        <f>IF(L313="","",VLOOKUP(L313,classifications!C:K,9,FALSE))</f>
        <v/>
      </c>
      <c r="U313" s="183" t="str">
        <f t="shared" si="101"/>
        <v/>
      </c>
      <c r="V313" s="184" t="str">
        <f>IF(U313="","",IF($I$8="A",(RANK(U313,U$11:U$368)+COUNTIF(U$11:U313,U313)-1),(RANK(U313,U$11:U$368,1)+COUNTIF(U$11:U313,U313)-1)))</f>
        <v/>
      </c>
      <c r="W313" s="185"/>
      <c r="X313" s="38" t="str">
        <f>IF(L313="","",VLOOKUP($L313,classifications!$C:$J,6,FALSE))</f>
        <v/>
      </c>
      <c r="Y313" s="26" t="str">
        <f t="shared" si="102"/>
        <v/>
      </c>
      <c r="Z313" s="34" t="str">
        <f>IF(Y313="","",IF(I$8="A",(RANK(Y313,Y$11:Y$368,1)+COUNTIF(Y$11:Y313,Y313)-1),(RANK(Y313,Y$11:Y$368)+COUNTIF(Y$11:Y313,Y313)-1)))</f>
        <v/>
      </c>
      <c r="AA313" s="188" t="str">
        <f>IF(L313="","",VLOOKUP($L313,classifications!C:I,7,FALSE))</f>
        <v/>
      </c>
      <c r="AB313" s="184" t="str">
        <f t="shared" si="110"/>
        <v/>
      </c>
      <c r="AC313" s="184" t="str">
        <f>IF(AB313="","",IF($I$8="A",(RANK(AB313,AB$11:AB$368)+COUNTIF(AB$11:AB313,AB313)-1),(RANK(AB313,AB$11:AB$368,1)+COUNTIF(AB$11:AB313,AB313)-1)))</f>
        <v/>
      </c>
      <c r="AD313" s="184"/>
      <c r="AE313" s="28" t="str">
        <f t="shared" si="119"/>
        <v/>
      </c>
      <c r="AG313" s="96"/>
      <c r="AH313" s="29"/>
      <c r="AI313" s="38" t="str">
        <f>IF(L313="","",VLOOKUP($L313,classifications!$C:$J,8,FALSE))</f>
        <v/>
      </c>
      <c r="AJ313" s="39" t="str">
        <f t="shared" si="103"/>
        <v/>
      </c>
      <c r="AK313" s="34" t="str">
        <f>IF(AJ313="","",IF(I$8="A",(RANK(AJ313,AJ$11:AJ$368,1)+COUNTIF(AJ$11:AJ313,AJ313)-1),(RANK(AJ313,AJ$11:AJ$368)+COUNTIF(AJ$11:AJ313,AJ313)-1)))</f>
        <v/>
      </c>
      <c r="AL313" s="29" t="str">
        <f t="shared" si="111"/>
        <v/>
      </c>
      <c r="AM313" s="8" t="str">
        <f t="shared" si="104"/>
        <v/>
      </c>
      <c r="AN313" s="8" t="str">
        <f t="shared" si="112"/>
        <v/>
      </c>
      <c r="AP313" s="38" t="str">
        <f>IF(L313="","",VLOOKUP($L313,classifications!$C:$E,3,FALSE))</f>
        <v/>
      </c>
      <c r="AQ313" s="39" t="str">
        <f t="shared" si="113"/>
        <v/>
      </c>
      <c r="AR313" s="34" t="str">
        <f>IF(AQ313="","",IF(I$8="A",(RANK(AQ313,AQ$11:AQ$368,1)+COUNTIF(AQ$11:AQ313,AQ313)-1),(RANK(AQ313,AQ$11:AQ$368)+COUNTIF(AQ$11:AQ313,AQ313)-1)))</f>
        <v/>
      </c>
      <c r="AS313" s="29" t="str">
        <f t="shared" si="114"/>
        <v/>
      </c>
      <c r="AT313" s="34" t="str">
        <f t="shared" si="105"/>
        <v/>
      </c>
      <c r="AU313" s="39" t="str">
        <f t="shared" si="118"/>
        <v/>
      </c>
      <c r="AX313" s="21">
        <f>HLOOKUP($AX$9&amp;$AX$10,Data!$A$1:$ZZ$2000,(MATCH($C313,Data!$A$1:$A$2000,0)),FALSE)</f>
        <v>85.304403770001343</v>
      </c>
      <c r="AY313" s="103"/>
      <c r="AZ313" s="21"/>
    </row>
    <row r="314" spans="1:52">
      <c r="A314" s="56" t="str">
        <f>$D$1&amp;304</f>
        <v>SD304</v>
      </c>
      <c r="B314" s="57">
        <f>IF(ISERROR(VLOOKUP(A314,classifications!A:C,3,FALSE)),0,VLOOKUP(A314,classifications!A:C,3,FALSE))</f>
        <v>0</v>
      </c>
      <c r="C314" s="8" t="s">
        <v>813</v>
      </c>
      <c r="D314" s="26" t="str">
        <f>VLOOKUP($C314,classifications!$C:$J,4,FALSE)</f>
        <v>UA</v>
      </c>
      <c r="E314" s="26">
        <f>VLOOKUP(C314,classifications!C:K,9,FALSE)</f>
        <v>0</v>
      </c>
      <c r="F314" s="36">
        <f t="shared" si="97"/>
        <v>78.401474045750348</v>
      </c>
      <c r="G314" s="71"/>
      <c r="H314" s="37" t="str">
        <f t="shared" si="98"/>
        <v/>
      </c>
      <c r="I314" s="77" t="str">
        <f>IF(H314="","",IF($I$8="A",(RANK(H314,H$11:H$368,1)+COUNTIF(H$11:H314,H314)-1),(RANK(H314,H$11:H$368)+COUNTIF(H$11:H314,H314)-1)))</f>
        <v/>
      </c>
      <c r="J314" s="35"/>
      <c r="K314" s="28" t="str">
        <f t="shared" si="106"/>
        <v/>
      </c>
      <c r="L314" s="36" t="str">
        <f t="shared" si="99"/>
        <v/>
      </c>
      <c r="M314" s="102" t="str">
        <f t="shared" si="107"/>
        <v/>
      </c>
      <c r="N314" s="101" t="str">
        <f t="shared" si="108"/>
        <v/>
      </c>
      <c r="O314" s="94" t="str">
        <f t="shared" si="100"/>
        <v/>
      </c>
      <c r="P314" s="94" t="str">
        <f t="shared" si="115"/>
        <v/>
      </c>
      <c r="Q314" s="94" t="str">
        <f t="shared" si="116"/>
        <v/>
      </c>
      <c r="R314" s="90" t="str">
        <f t="shared" si="117"/>
        <v/>
      </c>
      <c r="S314" s="37" t="str">
        <f t="shared" si="109"/>
        <v/>
      </c>
      <c r="T314" s="176" t="str">
        <f>IF(L314="","",VLOOKUP(L314,classifications!C:K,9,FALSE))</f>
        <v/>
      </c>
      <c r="U314" s="183" t="str">
        <f t="shared" si="101"/>
        <v/>
      </c>
      <c r="V314" s="184" t="str">
        <f>IF(U314="","",IF($I$8="A",(RANK(U314,U$11:U$368)+COUNTIF(U$11:U314,U314)-1),(RANK(U314,U$11:U$368,1)+COUNTIF(U$11:U314,U314)-1)))</f>
        <v/>
      </c>
      <c r="W314" s="185"/>
      <c r="X314" s="38" t="str">
        <f>IF(L314="","",VLOOKUP($L314,classifications!$C:$J,6,FALSE))</f>
        <v/>
      </c>
      <c r="Y314" s="26" t="str">
        <f t="shared" si="102"/>
        <v/>
      </c>
      <c r="Z314" s="34" t="str">
        <f>IF(Y314="","",IF(I$8="A",(RANK(Y314,Y$11:Y$368,1)+COUNTIF(Y$11:Y314,Y314)-1),(RANK(Y314,Y$11:Y$368)+COUNTIF(Y$11:Y314,Y314)-1)))</f>
        <v/>
      </c>
      <c r="AA314" s="188" t="str">
        <f>IF(L314="","",VLOOKUP($L314,classifications!C:I,7,FALSE))</f>
        <v/>
      </c>
      <c r="AB314" s="184" t="str">
        <f t="shared" si="110"/>
        <v/>
      </c>
      <c r="AC314" s="184" t="str">
        <f>IF(AB314="","",IF($I$8="A",(RANK(AB314,AB$11:AB$368)+COUNTIF(AB$11:AB314,AB314)-1),(RANK(AB314,AB$11:AB$368,1)+COUNTIF(AB$11:AB314,AB314)-1)))</f>
        <v/>
      </c>
      <c r="AD314" s="184"/>
      <c r="AE314" s="28" t="str">
        <f t="shared" si="119"/>
        <v/>
      </c>
      <c r="AG314" s="96"/>
      <c r="AH314" s="29"/>
      <c r="AI314" s="38" t="str">
        <f>IF(L314="","",VLOOKUP($L314,classifications!$C:$J,8,FALSE))</f>
        <v/>
      </c>
      <c r="AJ314" s="39" t="str">
        <f t="shared" si="103"/>
        <v/>
      </c>
      <c r="AK314" s="34" t="str">
        <f>IF(AJ314="","",IF(I$8="A",(RANK(AJ314,AJ$11:AJ$368,1)+COUNTIF(AJ$11:AJ314,AJ314)-1),(RANK(AJ314,AJ$11:AJ$368)+COUNTIF(AJ$11:AJ314,AJ314)-1)))</f>
        <v/>
      </c>
      <c r="AL314" s="29" t="str">
        <f t="shared" si="111"/>
        <v/>
      </c>
      <c r="AM314" s="8" t="str">
        <f t="shared" si="104"/>
        <v/>
      </c>
      <c r="AN314" s="8" t="str">
        <f t="shared" si="112"/>
        <v/>
      </c>
      <c r="AP314" s="38" t="str">
        <f>IF(L314="","",VLOOKUP($L314,classifications!$C:$E,3,FALSE))</f>
        <v/>
      </c>
      <c r="AQ314" s="39" t="str">
        <f t="shared" si="113"/>
        <v/>
      </c>
      <c r="AR314" s="34" t="str">
        <f>IF(AQ314="","",IF(I$8="A",(RANK(AQ314,AQ$11:AQ$368,1)+COUNTIF(AQ$11:AQ314,AQ314)-1),(RANK(AQ314,AQ$11:AQ$368)+COUNTIF(AQ$11:AQ314,AQ314)-1)))</f>
        <v/>
      </c>
      <c r="AS314" s="29" t="str">
        <f t="shared" si="114"/>
        <v/>
      </c>
      <c r="AT314" s="34" t="str">
        <f t="shared" si="105"/>
        <v/>
      </c>
      <c r="AU314" s="39" t="str">
        <f t="shared" si="118"/>
        <v/>
      </c>
      <c r="AX314" s="21">
        <f>HLOOKUP($AX$9&amp;$AX$10,Data!$A$1:$ZZ$2000,(MATCH($C314,Data!$A$1:$A$2000,0)),FALSE)</f>
        <v>78.401474045750348</v>
      </c>
      <c r="AY314" s="103"/>
      <c r="AZ314" s="21"/>
    </row>
    <row r="315" spans="1:52">
      <c r="A315" s="56" t="str">
        <f>$D$1&amp;305</f>
        <v>SD305</v>
      </c>
      <c r="B315" s="57">
        <f>IF(ISERROR(VLOOKUP(A315,classifications!A:C,3,FALSE)),0,VLOOKUP(A315,classifications!A:C,3,FALSE))</f>
        <v>0</v>
      </c>
      <c r="C315" s="8" t="s">
        <v>165</v>
      </c>
      <c r="D315" s="26" t="str">
        <f>VLOOKUP($C315,classifications!$C:$J,4,FALSE)</f>
        <v>SD</v>
      </c>
      <c r="E315" s="26">
        <f>VLOOKUP(C315,classifications!C:K,9,FALSE)</f>
        <v>0</v>
      </c>
      <c r="F315" s="36">
        <f t="shared" si="97"/>
        <v>78.956322709094479</v>
      </c>
      <c r="G315" s="71"/>
      <c r="H315" s="37">
        <f t="shared" si="98"/>
        <v>78.956322709094479</v>
      </c>
      <c r="I315" s="77">
        <f>IF(H315="","",IF($I$8="A",(RANK(H315,H$11:H$368,1)+COUNTIF(H$11:H315,H315)-1),(RANK(H315,H$11:H$368)+COUNTIF(H$11:H315,H315)-1)))</f>
        <v>136</v>
      </c>
      <c r="J315" s="35"/>
      <c r="K315" s="28" t="str">
        <f t="shared" si="106"/>
        <v/>
      </c>
      <c r="L315" s="36" t="str">
        <f t="shared" si="99"/>
        <v/>
      </c>
      <c r="M315" s="102" t="str">
        <f t="shared" si="107"/>
        <v/>
      </c>
      <c r="N315" s="101" t="str">
        <f t="shared" si="108"/>
        <v/>
      </c>
      <c r="O315" s="94" t="str">
        <f t="shared" si="100"/>
        <v/>
      </c>
      <c r="P315" s="94" t="str">
        <f t="shared" si="115"/>
        <v/>
      </c>
      <c r="Q315" s="94" t="str">
        <f t="shared" si="116"/>
        <v/>
      </c>
      <c r="R315" s="90" t="str">
        <f t="shared" si="117"/>
        <v/>
      </c>
      <c r="S315" s="37" t="str">
        <f t="shared" si="109"/>
        <v/>
      </c>
      <c r="T315" s="176" t="str">
        <f>IF(L315="","",VLOOKUP(L315,classifications!C:K,9,FALSE))</f>
        <v/>
      </c>
      <c r="U315" s="183" t="str">
        <f t="shared" si="101"/>
        <v/>
      </c>
      <c r="V315" s="184" t="str">
        <f>IF(U315="","",IF($I$8="A",(RANK(U315,U$11:U$368)+COUNTIF(U$11:U315,U315)-1),(RANK(U315,U$11:U$368,1)+COUNTIF(U$11:U315,U315)-1)))</f>
        <v/>
      </c>
      <c r="W315" s="185"/>
      <c r="X315" s="38" t="str">
        <f>IF(L315="","",VLOOKUP($L315,classifications!$C:$J,6,FALSE))</f>
        <v/>
      </c>
      <c r="Y315" s="26" t="str">
        <f t="shared" si="102"/>
        <v/>
      </c>
      <c r="Z315" s="34" t="str">
        <f>IF(Y315="","",IF(I$8="A",(RANK(Y315,Y$11:Y$368,1)+COUNTIF(Y$11:Y315,Y315)-1),(RANK(Y315,Y$11:Y$368)+COUNTIF(Y$11:Y315,Y315)-1)))</f>
        <v/>
      </c>
      <c r="AA315" s="188" t="str">
        <f>IF(L315="","",VLOOKUP($L315,classifications!C:I,7,FALSE))</f>
        <v/>
      </c>
      <c r="AB315" s="184" t="str">
        <f t="shared" si="110"/>
        <v/>
      </c>
      <c r="AC315" s="184" t="str">
        <f>IF(AB315="","",IF($I$8="A",(RANK(AB315,AB$11:AB$368)+COUNTIF(AB$11:AB315,AB315)-1),(RANK(AB315,AB$11:AB$368,1)+COUNTIF(AB$11:AB315,AB315)-1)))</f>
        <v/>
      </c>
      <c r="AD315" s="184"/>
      <c r="AE315" s="28" t="str">
        <f t="shared" si="119"/>
        <v/>
      </c>
      <c r="AG315" s="96"/>
      <c r="AH315" s="29"/>
      <c r="AI315" s="38" t="str">
        <f>IF(L315="","",VLOOKUP($L315,classifications!$C:$J,8,FALSE))</f>
        <v/>
      </c>
      <c r="AJ315" s="39" t="str">
        <f t="shared" si="103"/>
        <v/>
      </c>
      <c r="AK315" s="34" t="str">
        <f>IF(AJ315="","",IF(I$8="A",(RANK(AJ315,AJ$11:AJ$368,1)+COUNTIF(AJ$11:AJ315,AJ315)-1),(RANK(AJ315,AJ$11:AJ$368)+COUNTIF(AJ$11:AJ315,AJ315)-1)))</f>
        <v/>
      </c>
      <c r="AL315" s="29" t="str">
        <f t="shared" si="111"/>
        <v/>
      </c>
      <c r="AM315" s="8" t="str">
        <f t="shared" si="104"/>
        <v/>
      </c>
      <c r="AN315" s="8" t="str">
        <f t="shared" si="112"/>
        <v/>
      </c>
      <c r="AP315" s="38" t="str">
        <f>IF(L315="","",VLOOKUP($L315,classifications!$C:$E,3,FALSE))</f>
        <v/>
      </c>
      <c r="AQ315" s="39" t="str">
        <f t="shared" si="113"/>
        <v/>
      </c>
      <c r="AR315" s="34" t="str">
        <f>IF(AQ315="","",IF(I$8="A",(RANK(AQ315,AQ$11:AQ$368,1)+COUNTIF(AQ$11:AQ315,AQ315)-1),(RANK(AQ315,AQ$11:AQ$368)+COUNTIF(AQ$11:AQ315,AQ315)-1)))</f>
        <v/>
      </c>
      <c r="AS315" s="29" t="str">
        <f t="shared" si="114"/>
        <v/>
      </c>
      <c r="AT315" s="34" t="str">
        <f t="shared" si="105"/>
        <v/>
      </c>
      <c r="AU315" s="39" t="str">
        <f t="shared" si="118"/>
        <v/>
      </c>
      <c r="AX315" s="21">
        <f>HLOOKUP($AX$9&amp;$AX$10,Data!$A$1:$ZZ$2000,(MATCH($C315,Data!$A$1:$A$2000,0)),FALSE)</f>
        <v>78.956322709094479</v>
      </c>
      <c r="AY315" s="103"/>
      <c r="AZ315" s="21"/>
    </row>
    <row r="316" spans="1:52">
      <c r="A316" s="56" t="str">
        <f>$D$1&amp;306</f>
        <v>SD306</v>
      </c>
      <c r="B316" s="57">
        <f>IF(ISERROR(VLOOKUP(A316,classifications!A:C,3,FALSE)),0,VLOOKUP(A316,classifications!A:C,3,FALSE))</f>
        <v>0</v>
      </c>
      <c r="C316" s="8" t="s">
        <v>166</v>
      </c>
      <c r="D316" s="26" t="str">
        <f>VLOOKUP($C316,classifications!$C:$J,4,FALSE)</f>
        <v>SD</v>
      </c>
      <c r="E316" s="26">
        <f>VLOOKUP(C316,classifications!C:K,9,FALSE)</f>
        <v>0</v>
      </c>
      <c r="F316" s="36">
        <f t="shared" si="97"/>
        <v>80.635663596705356</v>
      </c>
      <c r="G316" s="71"/>
      <c r="H316" s="37">
        <f t="shared" si="98"/>
        <v>80.635663596705356</v>
      </c>
      <c r="I316" s="77">
        <f>IF(H316="","",IF($I$8="A",(RANK(H316,H$11:H$368,1)+COUNTIF(H$11:H316,H316)-1),(RANK(H316,H$11:H$368)+COUNTIF(H$11:H316,H316)-1)))</f>
        <v>104</v>
      </c>
      <c r="J316" s="35"/>
      <c r="K316" s="28" t="str">
        <f t="shared" si="106"/>
        <v/>
      </c>
      <c r="L316" s="36" t="str">
        <f t="shared" si="99"/>
        <v/>
      </c>
      <c r="M316" s="102" t="str">
        <f t="shared" si="107"/>
        <v/>
      </c>
      <c r="N316" s="101" t="str">
        <f t="shared" si="108"/>
        <v/>
      </c>
      <c r="O316" s="94" t="str">
        <f t="shared" si="100"/>
        <v/>
      </c>
      <c r="P316" s="94" t="str">
        <f t="shared" si="115"/>
        <v/>
      </c>
      <c r="Q316" s="94" t="str">
        <f t="shared" si="116"/>
        <v/>
      </c>
      <c r="R316" s="90" t="str">
        <f t="shared" si="117"/>
        <v/>
      </c>
      <c r="S316" s="37" t="str">
        <f t="shared" si="109"/>
        <v/>
      </c>
      <c r="T316" s="176" t="str">
        <f>IF(L316="","",VLOOKUP(L316,classifications!C:K,9,FALSE))</f>
        <v/>
      </c>
      <c r="U316" s="183" t="str">
        <f t="shared" si="101"/>
        <v/>
      </c>
      <c r="V316" s="184" t="str">
        <f>IF(U316="","",IF($I$8="A",(RANK(U316,U$11:U$368)+COUNTIF(U$11:U316,U316)-1),(RANK(U316,U$11:U$368,1)+COUNTIF(U$11:U316,U316)-1)))</f>
        <v/>
      </c>
      <c r="W316" s="185"/>
      <c r="X316" s="38" t="str">
        <f>IF(L316="","",VLOOKUP($L316,classifications!$C:$J,6,FALSE))</f>
        <v/>
      </c>
      <c r="Y316" s="26" t="str">
        <f t="shared" si="102"/>
        <v/>
      </c>
      <c r="Z316" s="34" t="str">
        <f>IF(Y316="","",IF(I$8="A",(RANK(Y316,Y$11:Y$368,1)+COUNTIF(Y$11:Y316,Y316)-1),(RANK(Y316,Y$11:Y$368)+COUNTIF(Y$11:Y316,Y316)-1)))</f>
        <v/>
      </c>
      <c r="AA316" s="188" t="str">
        <f>IF(L316="","",VLOOKUP($L316,classifications!C:I,7,FALSE))</f>
        <v/>
      </c>
      <c r="AB316" s="184" t="str">
        <f t="shared" si="110"/>
        <v/>
      </c>
      <c r="AC316" s="184" t="str">
        <f>IF(AB316="","",IF($I$8="A",(RANK(AB316,AB$11:AB$368)+COUNTIF(AB$11:AB316,AB316)-1),(RANK(AB316,AB$11:AB$368,1)+COUNTIF(AB$11:AB316,AB316)-1)))</f>
        <v/>
      </c>
      <c r="AD316" s="184"/>
      <c r="AE316" s="28" t="str">
        <f t="shared" si="119"/>
        <v/>
      </c>
      <c r="AG316" s="96"/>
      <c r="AH316" s="29"/>
      <c r="AI316" s="38" t="str">
        <f>IF(L316="","",VLOOKUP($L316,classifications!$C:$J,8,FALSE))</f>
        <v/>
      </c>
      <c r="AJ316" s="39" t="str">
        <f t="shared" si="103"/>
        <v/>
      </c>
      <c r="AK316" s="34" t="str">
        <f>IF(AJ316="","",IF(I$8="A",(RANK(AJ316,AJ$11:AJ$368,1)+COUNTIF(AJ$11:AJ316,AJ316)-1),(RANK(AJ316,AJ$11:AJ$368)+COUNTIF(AJ$11:AJ316,AJ316)-1)))</f>
        <v/>
      </c>
      <c r="AL316" s="29" t="str">
        <f t="shared" si="111"/>
        <v/>
      </c>
      <c r="AM316" s="8" t="str">
        <f t="shared" si="104"/>
        <v/>
      </c>
      <c r="AN316" s="8" t="str">
        <f t="shared" si="112"/>
        <v/>
      </c>
      <c r="AP316" s="38" t="str">
        <f>IF(L316="","",VLOOKUP($L316,classifications!$C:$E,3,FALSE))</f>
        <v/>
      </c>
      <c r="AQ316" s="39" t="str">
        <f t="shared" si="113"/>
        <v/>
      </c>
      <c r="AR316" s="34" t="str">
        <f>IF(AQ316="","",IF(I$8="A",(RANK(AQ316,AQ$11:AQ$368,1)+COUNTIF(AQ$11:AQ316,AQ316)-1),(RANK(AQ316,AQ$11:AQ$368)+COUNTIF(AQ$11:AQ316,AQ316)-1)))</f>
        <v/>
      </c>
      <c r="AS316" s="29" t="str">
        <f t="shared" si="114"/>
        <v/>
      </c>
      <c r="AT316" s="34" t="str">
        <f t="shared" si="105"/>
        <v/>
      </c>
      <c r="AU316" s="39" t="str">
        <f t="shared" si="118"/>
        <v/>
      </c>
      <c r="AX316" s="21">
        <f>HLOOKUP($AX$9&amp;$AX$10,Data!$A$1:$ZZ$2000,(MATCH($C316,Data!$A$1:$A$2000,0)),FALSE)</f>
        <v>80.635663596705356</v>
      </c>
      <c r="AY316" s="103"/>
      <c r="AZ316" s="21"/>
    </row>
    <row r="317" spans="1:52">
      <c r="A317" s="56" t="str">
        <f>$D$1&amp;307</f>
        <v>SD307</v>
      </c>
      <c r="B317" s="57">
        <f>IF(ISERROR(VLOOKUP(A317,classifications!A:C,3,FALSE)),0,VLOOKUP(A317,classifications!A:C,3,FALSE))</f>
        <v>0</v>
      </c>
      <c r="C317" s="8" t="s">
        <v>167</v>
      </c>
      <c r="D317" s="26" t="str">
        <f>VLOOKUP($C317,classifications!$C:$J,4,FALSE)</f>
        <v>SD</v>
      </c>
      <c r="E317" s="26" t="str">
        <f>VLOOKUP(C317,classifications!C:K,9,FALSE)</f>
        <v>Sparse</v>
      </c>
      <c r="F317" s="36">
        <f t="shared" si="97"/>
        <v>83.251610631426161</v>
      </c>
      <c r="G317" s="71"/>
      <c r="H317" s="37">
        <f t="shared" si="98"/>
        <v>83.251610631426161</v>
      </c>
      <c r="I317" s="77">
        <f>IF(H317="","",IF($I$8="A",(RANK(H317,H$11:H$368,1)+COUNTIF(H$11:H317,H317)-1),(RANK(H317,H$11:H$368)+COUNTIF(H$11:H317,H317)-1)))</f>
        <v>54</v>
      </c>
      <c r="J317" s="35"/>
      <c r="K317" s="28" t="str">
        <f t="shared" si="106"/>
        <v/>
      </c>
      <c r="L317" s="36" t="str">
        <f t="shared" si="99"/>
        <v/>
      </c>
      <c r="M317" s="102" t="str">
        <f t="shared" si="107"/>
        <v/>
      </c>
      <c r="N317" s="101" t="str">
        <f t="shared" si="108"/>
        <v/>
      </c>
      <c r="O317" s="94" t="str">
        <f t="shared" si="100"/>
        <v/>
      </c>
      <c r="P317" s="94" t="str">
        <f t="shared" si="115"/>
        <v/>
      </c>
      <c r="Q317" s="94" t="str">
        <f t="shared" si="116"/>
        <v/>
      </c>
      <c r="R317" s="90" t="str">
        <f t="shared" si="117"/>
        <v/>
      </c>
      <c r="S317" s="37" t="str">
        <f t="shared" si="109"/>
        <v/>
      </c>
      <c r="T317" s="176" t="str">
        <f>IF(L317="","",VLOOKUP(L317,classifications!C:K,9,FALSE))</f>
        <v/>
      </c>
      <c r="U317" s="183" t="str">
        <f t="shared" si="101"/>
        <v/>
      </c>
      <c r="V317" s="184" t="str">
        <f>IF(U317="","",IF($I$8="A",(RANK(U317,U$11:U$368)+COUNTIF(U$11:U317,U317)-1),(RANK(U317,U$11:U$368,1)+COUNTIF(U$11:U317,U317)-1)))</f>
        <v/>
      </c>
      <c r="W317" s="185"/>
      <c r="X317" s="38" t="str">
        <f>IF(L317="","",VLOOKUP($L317,classifications!$C:$J,6,FALSE))</f>
        <v/>
      </c>
      <c r="Y317" s="26" t="str">
        <f t="shared" si="102"/>
        <v/>
      </c>
      <c r="Z317" s="34" t="str">
        <f>IF(Y317="","",IF(I$8="A",(RANK(Y317,Y$11:Y$368,1)+COUNTIF(Y$11:Y317,Y317)-1),(RANK(Y317,Y$11:Y$368)+COUNTIF(Y$11:Y317,Y317)-1)))</f>
        <v/>
      </c>
      <c r="AA317" s="188" t="str">
        <f>IF(L317="","",VLOOKUP($L317,classifications!C:I,7,FALSE))</f>
        <v/>
      </c>
      <c r="AB317" s="184" t="str">
        <f t="shared" si="110"/>
        <v/>
      </c>
      <c r="AC317" s="184" t="str">
        <f>IF(AB317="","",IF($I$8="A",(RANK(AB317,AB$11:AB$368)+COUNTIF(AB$11:AB317,AB317)-1),(RANK(AB317,AB$11:AB$368,1)+COUNTIF(AB$11:AB317,AB317)-1)))</f>
        <v/>
      </c>
      <c r="AD317" s="184"/>
      <c r="AE317" s="28" t="str">
        <f t="shared" si="119"/>
        <v/>
      </c>
      <c r="AG317" s="96"/>
      <c r="AH317" s="29"/>
      <c r="AI317" s="38" t="str">
        <f>IF(L317="","",VLOOKUP($L317,classifications!$C:$J,8,FALSE))</f>
        <v/>
      </c>
      <c r="AJ317" s="39" t="str">
        <f t="shared" si="103"/>
        <v/>
      </c>
      <c r="AK317" s="34" t="str">
        <f>IF(AJ317="","",IF(I$8="A",(RANK(AJ317,AJ$11:AJ$368,1)+COUNTIF(AJ$11:AJ317,AJ317)-1),(RANK(AJ317,AJ$11:AJ$368)+COUNTIF(AJ$11:AJ317,AJ317)-1)))</f>
        <v/>
      </c>
      <c r="AL317" s="29" t="str">
        <f t="shared" si="111"/>
        <v/>
      </c>
      <c r="AM317" s="8" t="str">
        <f t="shared" si="104"/>
        <v/>
      </c>
      <c r="AN317" s="8" t="str">
        <f t="shared" si="112"/>
        <v/>
      </c>
      <c r="AP317" s="38" t="str">
        <f>IF(L317="","",VLOOKUP($L317,classifications!$C:$E,3,FALSE))</f>
        <v/>
      </c>
      <c r="AQ317" s="39" t="str">
        <f t="shared" si="113"/>
        <v/>
      </c>
      <c r="AR317" s="34" t="str">
        <f>IF(AQ317="","",IF(I$8="A",(RANK(AQ317,AQ$11:AQ$368,1)+COUNTIF(AQ$11:AQ317,AQ317)-1),(RANK(AQ317,AQ$11:AQ$368)+COUNTIF(AQ$11:AQ317,AQ317)-1)))</f>
        <v/>
      </c>
      <c r="AS317" s="29" t="str">
        <f t="shared" si="114"/>
        <v/>
      </c>
      <c r="AT317" s="34" t="str">
        <f t="shared" si="105"/>
        <v/>
      </c>
      <c r="AU317" s="39" t="str">
        <f t="shared" si="118"/>
        <v/>
      </c>
      <c r="AX317" s="21">
        <f>HLOOKUP($AX$9&amp;$AX$10,Data!$A$1:$ZZ$2000,(MATCH($C317,Data!$A$1:$A$2000,0)),FALSE)</f>
        <v>83.251610631426161</v>
      </c>
      <c r="AY317" s="103"/>
      <c r="AZ317" s="21"/>
    </row>
    <row r="318" spans="1:52">
      <c r="A318" s="56" t="str">
        <f>$D$1&amp;308</f>
        <v>SD308</v>
      </c>
      <c r="B318" s="57">
        <f>IF(ISERROR(VLOOKUP(A318,classifications!A:C,3,FALSE)),0,VLOOKUP(A318,classifications!A:C,3,FALSE))</f>
        <v>0</v>
      </c>
      <c r="C318" s="8" t="s">
        <v>168</v>
      </c>
      <c r="D318" s="26" t="str">
        <f>VLOOKUP($C318,classifications!$C:$J,4,FALSE)</f>
        <v>SD</v>
      </c>
      <c r="E318" s="26">
        <f>VLOOKUP(C318,classifications!C:K,9,FALSE)</f>
        <v>0</v>
      </c>
      <c r="F318" s="36">
        <f t="shared" si="97"/>
        <v>82.007260096217237</v>
      </c>
      <c r="G318" s="71"/>
      <c r="H318" s="37">
        <f t="shared" si="98"/>
        <v>82.007260096217237</v>
      </c>
      <c r="I318" s="77">
        <f>IF(H318="","",IF($I$8="A",(RANK(H318,H$11:H$368,1)+COUNTIF(H$11:H318,H318)-1),(RANK(H318,H$11:H$368)+COUNTIF(H$11:H318,H318)-1)))</f>
        <v>77</v>
      </c>
      <c r="J318" s="35"/>
      <c r="K318" s="28" t="str">
        <f t="shared" si="106"/>
        <v/>
      </c>
      <c r="L318" s="36" t="str">
        <f t="shared" si="99"/>
        <v/>
      </c>
      <c r="M318" s="102" t="str">
        <f t="shared" si="107"/>
        <v/>
      </c>
      <c r="N318" s="101" t="str">
        <f t="shared" si="108"/>
        <v/>
      </c>
      <c r="O318" s="94" t="str">
        <f t="shared" si="100"/>
        <v/>
      </c>
      <c r="P318" s="94" t="str">
        <f t="shared" si="115"/>
        <v/>
      </c>
      <c r="Q318" s="94" t="str">
        <f t="shared" si="116"/>
        <v/>
      </c>
      <c r="R318" s="90" t="str">
        <f t="shared" si="117"/>
        <v/>
      </c>
      <c r="S318" s="37" t="str">
        <f t="shared" si="109"/>
        <v/>
      </c>
      <c r="T318" s="176" t="str">
        <f>IF(L318="","",VLOOKUP(L318,classifications!C:K,9,FALSE))</f>
        <v/>
      </c>
      <c r="U318" s="183" t="str">
        <f t="shared" si="101"/>
        <v/>
      </c>
      <c r="V318" s="184" t="str">
        <f>IF(U318="","",IF($I$8="A",(RANK(U318,U$11:U$368)+COUNTIF(U$11:U318,U318)-1),(RANK(U318,U$11:U$368,1)+COUNTIF(U$11:U318,U318)-1)))</f>
        <v/>
      </c>
      <c r="W318" s="185"/>
      <c r="X318" s="38" t="str">
        <f>IF(L318="","",VLOOKUP($L318,classifications!$C:$J,6,FALSE))</f>
        <v/>
      </c>
      <c r="Y318" s="26" t="str">
        <f t="shared" si="102"/>
        <v/>
      </c>
      <c r="Z318" s="34" t="str">
        <f>IF(Y318="","",IF(I$8="A",(RANK(Y318,Y$11:Y$368,1)+COUNTIF(Y$11:Y318,Y318)-1),(RANK(Y318,Y$11:Y$368)+COUNTIF(Y$11:Y318,Y318)-1)))</f>
        <v/>
      </c>
      <c r="AA318" s="188" t="str">
        <f>IF(L318="","",VLOOKUP($L318,classifications!C:I,7,FALSE))</f>
        <v/>
      </c>
      <c r="AB318" s="184" t="str">
        <f t="shared" si="110"/>
        <v/>
      </c>
      <c r="AC318" s="184" t="str">
        <f>IF(AB318="","",IF($I$8="A",(RANK(AB318,AB$11:AB$368)+COUNTIF(AB$11:AB318,AB318)-1),(RANK(AB318,AB$11:AB$368,1)+COUNTIF(AB$11:AB318,AB318)-1)))</f>
        <v/>
      </c>
      <c r="AD318" s="184"/>
      <c r="AE318" s="28" t="str">
        <f t="shared" si="119"/>
        <v/>
      </c>
      <c r="AG318" s="96"/>
      <c r="AH318" s="29"/>
      <c r="AI318" s="38" t="str">
        <f>IF(L318="","",VLOOKUP($L318,classifications!$C:$J,8,FALSE))</f>
        <v/>
      </c>
      <c r="AJ318" s="39" t="str">
        <f t="shared" si="103"/>
        <v/>
      </c>
      <c r="AK318" s="34" t="str">
        <f>IF(AJ318="","",IF(I$8="A",(RANK(AJ318,AJ$11:AJ$368,1)+COUNTIF(AJ$11:AJ318,AJ318)-1),(RANK(AJ318,AJ$11:AJ$368)+COUNTIF(AJ$11:AJ318,AJ318)-1)))</f>
        <v/>
      </c>
      <c r="AL318" s="29" t="str">
        <f t="shared" si="111"/>
        <v/>
      </c>
      <c r="AM318" s="8" t="str">
        <f t="shared" si="104"/>
        <v/>
      </c>
      <c r="AN318" s="8" t="str">
        <f t="shared" si="112"/>
        <v/>
      </c>
      <c r="AP318" s="38" t="str">
        <f>IF(L318="","",VLOOKUP($L318,classifications!$C:$E,3,FALSE))</f>
        <v/>
      </c>
      <c r="AQ318" s="39" t="str">
        <f t="shared" si="113"/>
        <v/>
      </c>
      <c r="AR318" s="34" t="str">
        <f>IF(AQ318="","",IF(I$8="A",(RANK(AQ318,AQ$11:AQ$368,1)+COUNTIF(AQ$11:AQ318,AQ318)-1),(RANK(AQ318,AQ$11:AQ$368)+COUNTIF(AQ$11:AQ318,AQ318)-1)))</f>
        <v/>
      </c>
      <c r="AS318" s="29" t="str">
        <f t="shared" si="114"/>
        <v/>
      </c>
      <c r="AT318" s="34" t="str">
        <f t="shared" si="105"/>
        <v/>
      </c>
      <c r="AU318" s="39" t="str">
        <f t="shared" si="118"/>
        <v/>
      </c>
      <c r="AX318" s="21">
        <f>HLOOKUP($AX$9&amp;$AX$10,Data!$A$1:$ZZ$2000,(MATCH($C318,Data!$A$1:$A$2000,0)),FALSE)</f>
        <v>82.007260096217237</v>
      </c>
      <c r="AY318" s="103"/>
      <c r="AZ318" s="21"/>
    </row>
    <row r="319" spans="1:52">
      <c r="A319" s="56" t="str">
        <f>$D$1&amp;309</f>
        <v>SD309</v>
      </c>
      <c r="B319" s="57">
        <f>IF(ISERROR(VLOOKUP(A319,classifications!A:C,3,FALSE)),0,VLOOKUP(A319,classifications!A:C,3,FALSE))</f>
        <v>0</v>
      </c>
      <c r="C319" s="8" t="s">
        <v>169</v>
      </c>
      <c r="D319" s="26" t="str">
        <f>VLOOKUP($C319,classifications!$C:$J,4,FALSE)</f>
        <v>SD</v>
      </c>
      <c r="E319" s="26">
        <f>VLOOKUP(C319,classifications!C:K,9,FALSE)</f>
        <v>0</v>
      </c>
      <c r="F319" s="36">
        <f t="shared" si="97"/>
        <v>82.620404052100412</v>
      </c>
      <c r="G319" s="71"/>
      <c r="H319" s="37">
        <f t="shared" si="98"/>
        <v>82.620404052100412</v>
      </c>
      <c r="I319" s="77">
        <f>IF(H319="","",IF($I$8="A",(RANK(H319,H$11:H$368,1)+COUNTIF(H$11:H319,H319)-1),(RANK(H319,H$11:H$368)+COUNTIF(H$11:H319,H319)-1)))</f>
        <v>65</v>
      </c>
      <c r="J319" s="35"/>
      <c r="K319" s="28" t="str">
        <f t="shared" si="106"/>
        <v/>
      </c>
      <c r="L319" s="36" t="str">
        <f t="shared" si="99"/>
        <v/>
      </c>
      <c r="M319" s="102" t="str">
        <f t="shared" si="107"/>
        <v/>
      </c>
      <c r="N319" s="101" t="str">
        <f t="shared" si="108"/>
        <v/>
      </c>
      <c r="O319" s="94" t="str">
        <f t="shared" si="100"/>
        <v/>
      </c>
      <c r="P319" s="94" t="str">
        <f t="shared" si="115"/>
        <v/>
      </c>
      <c r="Q319" s="94" t="str">
        <f t="shared" si="116"/>
        <v/>
      </c>
      <c r="R319" s="90" t="str">
        <f t="shared" si="117"/>
        <v/>
      </c>
      <c r="S319" s="37" t="str">
        <f t="shared" si="109"/>
        <v/>
      </c>
      <c r="T319" s="176" t="str">
        <f>IF(L319="","",VLOOKUP(L319,classifications!C:K,9,FALSE))</f>
        <v/>
      </c>
      <c r="U319" s="183" t="str">
        <f t="shared" si="101"/>
        <v/>
      </c>
      <c r="V319" s="184" t="str">
        <f>IF(U319="","",IF($I$8="A",(RANK(U319,U$11:U$368)+COUNTIF(U$11:U319,U319)-1),(RANK(U319,U$11:U$368,1)+COUNTIF(U$11:U319,U319)-1)))</f>
        <v/>
      </c>
      <c r="W319" s="185"/>
      <c r="X319" s="38" t="str">
        <f>IF(L319="","",VLOOKUP($L319,classifications!$C:$J,6,FALSE))</f>
        <v/>
      </c>
      <c r="Y319" s="26" t="str">
        <f t="shared" si="102"/>
        <v/>
      </c>
      <c r="Z319" s="34" t="str">
        <f>IF(Y319="","",IF(I$8="A",(RANK(Y319,Y$11:Y$368,1)+COUNTIF(Y$11:Y319,Y319)-1),(RANK(Y319,Y$11:Y$368)+COUNTIF(Y$11:Y319,Y319)-1)))</f>
        <v/>
      </c>
      <c r="AA319" s="188" t="str">
        <f>IF(L319="","",VLOOKUP($L319,classifications!C:I,7,FALSE))</f>
        <v/>
      </c>
      <c r="AB319" s="184" t="str">
        <f t="shared" si="110"/>
        <v/>
      </c>
      <c r="AC319" s="184" t="str">
        <f>IF(AB319="","",IF($I$8="A",(RANK(AB319,AB$11:AB$368)+COUNTIF(AB$11:AB319,AB319)-1),(RANK(AB319,AB$11:AB$368,1)+COUNTIF(AB$11:AB319,AB319)-1)))</f>
        <v/>
      </c>
      <c r="AD319" s="184"/>
      <c r="AE319" s="28" t="str">
        <f t="shared" si="119"/>
        <v/>
      </c>
      <c r="AG319" s="96"/>
      <c r="AH319" s="29"/>
      <c r="AI319" s="38" t="str">
        <f>IF(L319="","",VLOOKUP($L319,classifications!$C:$J,8,FALSE))</f>
        <v/>
      </c>
      <c r="AJ319" s="39" t="str">
        <f t="shared" si="103"/>
        <v/>
      </c>
      <c r="AK319" s="34" t="str">
        <f>IF(AJ319="","",IF(I$8="A",(RANK(AJ319,AJ$11:AJ$368,1)+COUNTIF(AJ$11:AJ319,AJ319)-1),(RANK(AJ319,AJ$11:AJ$368)+COUNTIF(AJ$11:AJ319,AJ319)-1)))</f>
        <v/>
      </c>
      <c r="AL319" s="29" t="str">
        <f t="shared" si="111"/>
        <v/>
      </c>
      <c r="AM319" s="8" t="str">
        <f t="shared" si="104"/>
        <v/>
      </c>
      <c r="AN319" s="8" t="str">
        <f t="shared" si="112"/>
        <v/>
      </c>
      <c r="AP319" s="38" t="str">
        <f>IF(L319="","",VLOOKUP($L319,classifications!$C:$E,3,FALSE))</f>
        <v/>
      </c>
      <c r="AQ319" s="39" t="str">
        <f t="shared" si="113"/>
        <v/>
      </c>
      <c r="AR319" s="34" t="str">
        <f>IF(AQ319="","",IF(I$8="A",(RANK(AQ319,AQ$11:AQ$368,1)+COUNTIF(AQ$11:AQ319,AQ319)-1),(RANK(AQ319,AQ$11:AQ$368)+COUNTIF(AQ$11:AQ319,AQ319)-1)))</f>
        <v/>
      </c>
      <c r="AS319" s="29" t="str">
        <f t="shared" si="114"/>
        <v/>
      </c>
      <c r="AT319" s="34" t="str">
        <f t="shared" si="105"/>
        <v/>
      </c>
      <c r="AU319" s="39" t="str">
        <f t="shared" si="118"/>
        <v/>
      </c>
      <c r="AX319" s="21">
        <f>HLOOKUP($AX$9&amp;$AX$10,Data!$A$1:$ZZ$2000,(MATCH($C319,Data!$A$1:$A$2000,0)),FALSE)</f>
        <v>82.620404052100412</v>
      </c>
      <c r="AY319" s="103"/>
      <c r="AZ319" s="21"/>
    </row>
    <row r="320" spans="1:52">
      <c r="A320" s="56" t="str">
        <f>$D$1&amp;310</f>
        <v>SD310</v>
      </c>
      <c r="B320" s="57">
        <f>IF(ISERROR(VLOOKUP(A320,classifications!A:C,3,FALSE)),0,VLOOKUP(A320,classifications!A:C,3,FALSE))</f>
        <v>0</v>
      </c>
      <c r="C320" s="8" t="s">
        <v>293</v>
      </c>
      <c r="D320" s="26" t="str">
        <f>VLOOKUP($C320,classifications!$C:$J,4,FALSE)</f>
        <v>UA</v>
      </c>
      <c r="E320" s="26">
        <f>VLOOKUP(C320,classifications!C:K,9,FALSE)</f>
        <v>0</v>
      </c>
      <c r="F320" s="36">
        <f t="shared" si="97"/>
        <v>73.962523221062611</v>
      </c>
      <c r="G320" s="71"/>
      <c r="H320" s="37" t="str">
        <f t="shared" si="98"/>
        <v/>
      </c>
      <c r="I320" s="77" t="str">
        <f>IF(H320="","",IF($I$8="A",(RANK(H320,H$11:H$368,1)+COUNTIF(H$11:H320,H320)-1),(RANK(H320,H$11:H$368)+COUNTIF(H$11:H320,H320)-1)))</f>
        <v/>
      </c>
      <c r="J320" s="35"/>
      <c r="K320" s="28" t="str">
        <f t="shared" si="106"/>
        <v/>
      </c>
      <c r="L320" s="36" t="str">
        <f t="shared" si="99"/>
        <v/>
      </c>
      <c r="M320" s="102" t="str">
        <f t="shared" si="107"/>
        <v/>
      </c>
      <c r="N320" s="101" t="str">
        <f t="shared" si="108"/>
        <v/>
      </c>
      <c r="O320" s="94" t="str">
        <f t="shared" si="100"/>
        <v/>
      </c>
      <c r="P320" s="94" t="str">
        <f t="shared" si="115"/>
        <v/>
      </c>
      <c r="Q320" s="94" t="str">
        <f t="shared" si="116"/>
        <v/>
      </c>
      <c r="R320" s="90" t="str">
        <f t="shared" si="117"/>
        <v/>
      </c>
      <c r="S320" s="37" t="str">
        <f t="shared" si="109"/>
        <v/>
      </c>
      <c r="T320" s="176" t="str">
        <f>IF(L320="","",VLOOKUP(L320,classifications!C:K,9,FALSE))</f>
        <v/>
      </c>
      <c r="U320" s="183" t="str">
        <f t="shared" si="101"/>
        <v/>
      </c>
      <c r="V320" s="184" t="str">
        <f>IF(U320="","",IF($I$8="A",(RANK(U320,U$11:U$368)+COUNTIF(U$11:U320,U320)-1),(RANK(U320,U$11:U$368,1)+COUNTIF(U$11:U320,U320)-1)))</f>
        <v/>
      </c>
      <c r="W320" s="185"/>
      <c r="X320" s="38" t="str">
        <f>IF(L320="","",VLOOKUP($L320,classifications!$C:$J,6,FALSE))</f>
        <v/>
      </c>
      <c r="Y320" s="26" t="str">
        <f t="shared" si="102"/>
        <v/>
      </c>
      <c r="Z320" s="34" t="str">
        <f>IF(Y320="","",IF(I$8="A",(RANK(Y320,Y$11:Y$368,1)+COUNTIF(Y$11:Y320,Y320)-1),(RANK(Y320,Y$11:Y$368)+COUNTIF(Y$11:Y320,Y320)-1)))</f>
        <v/>
      </c>
      <c r="AA320" s="188" t="str">
        <f>IF(L320="","",VLOOKUP($L320,classifications!C:I,7,FALSE))</f>
        <v/>
      </c>
      <c r="AB320" s="184" t="str">
        <f t="shared" si="110"/>
        <v/>
      </c>
      <c r="AC320" s="184" t="str">
        <f>IF(AB320="","",IF($I$8="A",(RANK(AB320,AB$11:AB$368)+COUNTIF(AB$11:AB320,AB320)-1),(RANK(AB320,AB$11:AB$368,1)+COUNTIF(AB$11:AB320,AB320)-1)))</f>
        <v/>
      </c>
      <c r="AD320" s="184"/>
      <c r="AE320" s="28" t="str">
        <f t="shared" si="119"/>
        <v/>
      </c>
      <c r="AG320" s="96"/>
      <c r="AH320" s="29"/>
      <c r="AI320" s="38" t="str">
        <f>IF(L320="","",VLOOKUP($L320,classifications!$C:$J,8,FALSE))</f>
        <v/>
      </c>
      <c r="AJ320" s="39" t="str">
        <f t="shared" si="103"/>
        <v/>
      </c>
      <c r="AK320" s="34" t="str">
        <f>IF(AJ320="","",IF(I$8="A",(RANK(AJ320,AJ$11:AJ$368,1)+COUNTIF(AJ$11:AJ320,AJ320)-1),(RANK(AJ320,AJ$11:AJ$368)+COUNTIF(AJ$11:AJ320,AJ320)-1)))</f>
        <v/>
      </c>
      <c r="AL320" s="29" t="str">
        <f t="shared" si="111"/>
        <v/>
      </c>
      <c r="AM320" s="8" t="str">
        <f t="shared" si="104"/>
        <v/>
      </c>
      <c r="AN320" s="8" t="str">
        <f t="shared" si="112"/>
        <v/>
      </c>
      <c r="AP320" s="38" t="str">
        <f>IF(L320="","",VLOOKUP($L320,classifications!$C:$E,3,FALSE))</f>
        <v/>
      </c>
      <c r="AQ320" s="39" t="str">
        <f t="shared" si="113"/>
        <v/>
      </c>
      <c r="AR320" s="34" t="str">
        <f>IF(AQ320="","",IF(I$8="A",(RANK(AQ320,AQ$11:AQ$368,1)+COUNTIF(AQ$11:AQ320,AQ320)-1),(RANK(AQ320,AQ$11:AQ$368)+COUNTIF(AQ$11:AQ320,AQ320)-1)))</f>
        <v/>
      </c>
      <c r="AS320" s="29" t="str">
        <f t="shared" si="114"/>
        <v/>
      </c>
      <c r="AT320" s="34" t="str">
        <f t="shared" si="105"/>
        <v/>
      </c>
      <c r="AU320" s="39" t="str">
        <f t="shared" si="118"/>
        <v/>
      </c>
      <c r="AX320" s="21">
        <f>HLOOKUP($AX$9&amp;$AX$10,Data!$A$1:$ZZ$2000,(MATCH($C320,Data!$A$1:$A$2000,0)),FALSE)</f>
        <v>73.962523221062611</v>
      </c>
      <c r="AY320" s="103"/>
      <c r="AZ320" s="21"/>
    </row>
    <row r="321" spans="1:52">
      <c r="A321" s="56" t="str">
        <f>$D$1&amp;311</f>
        <v>SD311</v>
      </c>
      <c r="B321" s="57">
        <f>IF(ISERROR(VLOOKUP(A321,classifications!A:C,3,FALSE)),0,VLOOKUP(A321,classifications!A:C,3,FALSE))</f>
        <v>0</v>
      </c>
      <c r="C321" s="8" t="s">
        <v>349</v>
      </c>
      <c r="D321" s="26" t="str">
        <f>VLOOKUP($C321,classifications!$C:$J,4,FALSE)</f>
        <v>SD</v>
      </c>
      <c r="E321" s="26">
        <f>VLOOKUP(C321,classifications!C:K,9,FALSE)</f>
        <v>0</v>
      </c>
      <c r="F321" s="36">
        <f t="shared" si="97"/>
        <v>84.42401847183821</v>
      </c>
      <c r="G321" s="71"/>
      <c r="H321" s="37">
        <f t="shared" si="98"/>
        <v>84.42401847183821</v>
      </c>
      <c r="I321" s="77">
        <f>IF(H321="","",IF($I$8="A",(RANK(H321,H$11:H$368,1)+COUNTIF(H$11:H321,H321)-1),(RANK(H321,H$11:H$368)+COUNTIF(H$11:H321,H321)-1)))</f>
        <v>40</v>
      </c>
      <c r="J321" s="35"/>
      <c r="K321" s="28" t="str">
        <f t="shared" si="106"/>
        <v/>
      </c>
      <c r="L321" s="36" t="str">
        <f t="shared" si="99"/>
        <v/>
      </c>
      <c r="M321" s="102" t="str">
        <f t="shared" si="107"/>
        <v/>
      </c>
      <c r="N321" s="101" t="str">
        <f t="shared" si="108"/>
        <v/>
      </c>
      <c r="O321" s="94" t="str">
        <f t="shared" si="100"/>
        <v/>
      </c>
      <c r="P321" s="94" t="str">
        <f t="shared" si="115"/>
        <v/>
      </c>
      <c r="Q321" s="94" t="str">
        <f t="shared" si="116"/>
        <v/>
      </c>
      <c r="R321" s="90" t="str">
        <f t="shared" si="117"/>
        <v/>
      </c>
      <c r="S321" s="37" t="str">
        <f t="shared" si="109"/>
        <v/>
      </c>
      <c r="T321" s="176" t="str">
        <f>IF(L321="","",VLOOKUP(L321,classifications!C:K,9,FALSE))</f>
        <v/>
      </c>
      <c r="U321" s="183" t="str">
        <f t="shared" si="101"/>
        <v/>
      </c>
      <c r="V321" s="184" t="str">
        <f>IF(U321="","",IF($I$8="A",(RANK(U321,U$11:U$368)+COUNTIF(U$11:U321,U321)-1),(RANK(U321,U$11:U$368,1)+COUNTIF(U$11:U321,U321)-1)))</f>
        <v/>
      </c>
      <c r="W321" s="185"/>
      <c r="X321" s="38" t="str">
        <f>IF(L321="","",VLOOKUP($L321,classifications!$C:$J,6,FALSE))</f>
        <v/>
      </c>
      <c r="Y321" s="26" t="str">
        <f t="shared" si="102"/>
        <v/>
      </c>
      <c r="Z321" s="34" t="str">
        <f>IF(Y321="","",IF(I$8="A",(RANK(Y321,Y$11:Y$368,1)+COUNTIF(Y$11:Y321,Y321)-1),(RANK(Y321,Y$11:Y$368)+COUNTIF(Y$11:Y321,Y321)-1)))</f>
        <v/>
      </c>
      <c r="AA321" s="188" t="str">
        <f>IF(L321="","",VLOOKUP($L321,classifications!C:I,7,FALSE))</f>
        <v/>
      </c>
      <c r="AB321" s="184" t="str">
        <f t="shared" si="110"/>
        <v/>
      </c>
      <c r="AC321" s="184" t="str">
        <f>IF(AB321="","",IF($I$8="A",(RANK(AB321,AB$11:AB$368)+COUNTIF(AB$11:AB321,AB321)-1),(RANK(AB321,AB$11:AB$368,1)+COUNTIF(AB$11:AB321,AB321)-1)))</f>
        <v/>
      </c>
      <c r="AD321" s="184"/>
      <c r="AE321" s="28" t="str">
        <f t="shared" si="119"/>
        <v/>
      </c>
      <c r="AG321" s="96"/>
      <c r="AH321" s="29"/>
      <c r="AI321" s="38" t="str">
        <f>IF(L321="","",VLOOKUP($L321,classifications!$C:$J,8,FALSE))</f>
        <v/>
      </c>
      <c r="AJ321" s="39" t="str">
        <f t="shared" si="103"/>
        <v/>
      </c>
      <c r="AK321" s="34" t="str">
        <f>IF(AJ321="","",IF(I$8="A",(RANK(AJ321,AJ$11:AJ$368,1)+COUNTIF(AJ$11:AJ321,AJ321)-1),(RANK(AJ321,AJ$11:AJ$368)+COUNTIF(AJ$11:AJ321,AJ321)-1)))</f>
        <v/>
      </c>
      <c r="AL321" s="29" t="str">
        <f t="shared" si="111"/>
        <v/>
      </c>
      <c r="AM321" s="8" t="str">
        <f t="shared" si="104"/>
        <v/>
      </c>
      <c r="AN321" s="8" t="str">
        <f t="shared" si="112"/>
        <v/>
      </c>
      <c r="AP321" s="38" t="str">
        <f>IF(L321="","",VLOOKUP($L321,classifications!$C:$E,3,FALSE))</f>
        <v/>
      </c>
      <c r="AQ321" s="39" t="str">
        <f t="shared" si="113"/>
        <v/>
      </c>
      <c r="AR321" s="34" t="str">
        <f>IF(AQ321="","",IF(I$8="A",(RANK(AQ321,AQ$11:AQ$368,1)+COUNTIF(AQ$11:AQ321,AQ321)-1),(RANK(AQ321,AQ$11:AQ$368)+COUNTIF(AQ$11:AQ321,AQ321)-1)))</f>
        <v/>
      </c>
      <c r="AS321" s="29" t="str">
        <f t="shared" si="114"/>
        <v/>
      </c>
      <c r="AT321" s="34" t="str">
        <f t="shared" si="105"/>
        <v/>
      </c>
      <c r="AU321" s="39" t="str">
        <f t="shared" si="118"/>
        <v/>
      </c>
      <c r="AX321" s="21">
        <f>HLOOKUP($AX$9&amp;$AX$10,Data!$A$1:$ZZ$2000,(MATCH($C321,Data!$A$1:$A$2000,0)),FALSE)</f>
        <v>84.42401847183821</v>
      </c>
      <c r="AY321" s="103"/>
      <c r="AZ321" s="21"/>
    </row>
    <row r="322" spans="1:52">
      <c r="A322" s="56" t="str">
        <f>$D$1&amp;312</f>
        <v>SD312</v>
      </c>
      <c r="B322" s="57">
        <f>IF(ISERROR(VLOOKUP(A322,classifications!A:C,3,FALSE)),0,VLOOKUP(A322,classifications!A:C,3,FALSE))</f>
        <v>0</v>
      </c>
      <c r="C322" s="8" t="s">
        <v>294</v>
      </c>
      <c r="D322" s="26" t="str">
        <f>VLOOKUP($C322,classifications!$C:$J,4,FALSE)</f>
        <v>UA</v>
      </c>
      <c r="E322" s="26">
        <f>VLOOKUP(C322,classifications!C:K,9,FALSE)</f>
        <v>0</v>
      </c>
      <c r="F322" s="36">
        <f t="shared" si="97"/>
        <v>80.880498742739405</v>
      </c>
      <c r="G322" s="71"/>
      <c r="H322" s="37" t="str">
        <f t="shared" si="98"/>
        <v/>
      </c>
      <c r="I322" s="77" t="str">
        <f>IF(H322="","",IF($I$8="A",(RANK(H322,H$11:H$368,1)+COUNTIF(H$11:H322,H322)-1),(RANK(H322,H$11:H$368)+COUNTIF(H$11:H322,H322)-1)))</f>
        <v/>
      </c>
      <c r="J322" s="35"/>
      <c r="K322" s="28" t="str">
        <f t="shared" si="106"/>
        <v/>
      </c>
      <c r="L322" s="36" t="str">
        <f t="shared" si="99"/>
        <v/>
      </c>
      <c r="M322" s="102" t="str">
        <f t="shared" si="107"/>
        <v/>
      </c>
      <c r="N322" s="101" t="str">
        <f t="shared" si="108"/>
        <v/>
      </c>
      <c r="O322" s="94" t="str">
        <f t="shared" si="100"/>
        <v/>
      </c>
      <c r="P322" s="94" t="str">
        <f t="shared" si="115"/>
        <v/>
      </c>
      <c r="Q322" s="94" t="str">
        <f t="shared" si="116"/>
        <v/>
      </c>
      <c r="R322" s="90" t="str">
        <f t="shared" si="117"/>
        <v/>
      </c>
      <c r="S322" s="37" t="str">
        <f t="shared" si="109"/>
        <v/>
      </c>
      <c r="T322" s="176" t="str">
        <f>IF(L322="","",VLOOKUP(L322,classifications!C:K,9,FALSE))</f>
        <v/>
      </c>
      <c r="U322" s="183" t="str">
        <f t="shared" si="101"/>
        <v/>
      </c>
      <c r="V322" s="184" t="str">
        <f>IF(U322="","",IF($I$8="A",(RANK(U322,U$11:U$368)+COUNTIF(U$11:U322,U322)-1),(RANK(U322,U$11:U$368,1)+COUNTIF(U$11:U322,U322)-1)))</f>
        <v/>
      </c>
      <c r="W322" s="185"/>
      <c r="X322" s="38" t="str">
        <f>IF(L322="","",VLOOKUP($L322,classifications!$C:$J,6,FALSE))</f>
        <v/>
      </c>
      <c r="Y322" s="26" t="str">
        <f t="shared" si="102"/>
        <v/>
      </c>
      <c r="Z322" s="34" t="str">
        <f>IF(Y322="","",IF(I$8="A",(RANK(Y322,Y$11:Y$368,1)+COUNTIF(Y$11:Y322,Y322)-1),(RANK(Y322,Y$11:Y$368)+COUNTIF(Y$11:Y322,Y322)-1)))</f>
        <v/>
      </c>
      <c r="AA322" s="188" t="str">
        <f>IF(L322="","",VLOOKUP($L322,classifications!C:I,7,FALSE))</f>
        <v/>
      </c>
      <c r="AB322" s="184" t="str">
        <f t="shared" si="110"/>
        <v/>
      </c>
      <c r="AC322" s="184" t="str">
        <f>IF(AB322="","",IF($I$8="A",(RANK(AB322,AB$11:AB$368)+COUNTIF(AB$11:AB322,AB322)-1),(RANK(AB322,AB$11:AB$368,1)+COUNTIF(AB$11:AB322,AB322)-1)))</f>
        <v/>
      </c>
      <c r="AD322" s="184"/>
      <c r="AE322" s="28" t="str">
        <f t="shared" si="119"/>
        <v/>
      </c>
      <c r="AG322" s="96"/>
      <c r="AH322" s="29"/>
      <c r="AI322" s="38" t="str">
        <f>IF(L322="","",VLOOKUP($L322,classifications!$C:$J,8,FALSE))</f>
        <v/>
      </c>
      <c r="AJ322" s="39" t="str">
        <f t="shared" si="103"/>
        <v/>
      </c>
      <c r="AK322" s="34" t="str">
        <f>IF(AJ322="","",IF(I$8="A",(RANK(AJ322,AJ$11:AJ$368,1)+COUNTIF(AJ$11:AJ322,AJ322)-1),(RANK(AJ322,AJ$11:AJ$368)+COUNTIF(AJ$11:AJ322,AJ322)-1)))</f>
        <v/>
      </c>
      <c r="AL322" s="29" t="str">
        <f t="shared" si="111"/>
        <v/>
      </c>
      <c r="AM322" s="8" t="str">
        <f t="shared" si="104"/>
        <v/>
      </c>
      <c r="AN322" s="8" t="str">
        <f t="shared" si="112"/>
        <v/>
      </c>
      <c r="AP322" s="38" t="str">
        <f>IF(L322="","",VLOOKUP($L322,classifications!$C:$E,3,FALSE))</f>
        <v/>
      </c>
      <c r="AQ322" s="39" t="str">
        <f t="shared" si="113"/>
        <v/>
      </c>
      <c r="AR322" s="34" t="str">
        <f>IF(AQ322="","",IF(I$8="A",(RANK(AQ322,AQ$11:AQ$368,1)+COUNTIF(AQ$11:AQ322,AQ322)-1),(RANK(AQ322,AQ$11:AQ$368)+COUNTIF(AQ$11:AQ322,AQ322)-1)))</f>
        <v/>
      </c>
      <c r="AS322" s="29" t="str">
        <f t="shared" si="114"/>
        <v/>
      </c>
      <c r="AT322" s="34" t="str">
        <f t="shared" si="105"/>
        <v/>
      </c>
      <c r="AU322" s="39" t="str">
        <f t="shared" si="118"/>
        <v/>
      </c>
      <c r="AX322" s="21">
        <f>HLOOKUP($AX$9&amp;$AX$10,Data!$A$1:$ZZ$2000,(MATCH($C322,Data!$A$1:$A$2000,0)),FALSE)</f>
        <v>80.880498742739405</v>
      </c>
      <c r="AY322" s="103"/>
      <c r="AZ322" s="21"/>
    </row>
    <row r="323" spans="1:52">
      <c r="A323" s="56" t="str">
        <f>$D$1&amp;313</f>
        <v>SD313</v>
      </c>
      <c r="B323" s="57">
        <f>IF(ISERROR(VLOOKUP(A323,classifications!A:C,3,FALSE)),0,VLOOKUP(A323,classifications!A:C,3,FALSE))</f>
        <v>0</v>
      </c>
      <c r="C323" s="8" t="s">
        <v>170</v>
      </c>
      <c r="D323" s="26" t="str">
        <f>VLOOKUP($C323,classifications!$C:$J,4,FALSE)</f>
        <v>SD</v>
      </c>
      <c r="E323" s="26" t="str">
        <f>VLOOKUP(C323,classifications!C:K,9,FALSE)</f>
        <v>Sparse</v>
      </c>
      <c r="F323" s="36">
        <f t="shared" si="97"/>
        <v>78.572724688355649</v>
      </c>
      <c r="G323" s="71"/>
      <c r="H323" s="37">
        <f t="shared" si="98"/>
        <v>78.572724688355649</v>
      </c>
      <c r="I323" s="77">
        <f>IF(H323="","",IF($I$8="A",(RANK(H323,H$11:H$368,1)+COUNTIF(H$11:H323,H323)-1),(RANK(H323,H$11:H$368)+COUNTIF(H$11:H323,H323)-1)))</f>
        <v>148</v>
      </c>
      <c r="J323" s="35"/>
      <c r="K323" s="28" t="str">
        <f t="shared" si="106"/>
        <v/>
      </c>
      <c r="L323" s="36" t="str">
        <f t="shared" si="99"/>
        <v/>
      </c>
      <c r="M323" s="102" t="str">
        <f t="shared" si="107"/>
        <v/>
      </c>
      <c r="N323" s="101" t="str">
        <f t="shared" si="108"/>
        <v/>
      </c>
      <c r="O323" s="94" t="str">
        <f t="shared" si="100"/>
        <v/>
      </c>
      <c r="P323" s="94" t="str">
        <f t="shared" si="115"/>
        <v/>
      </c>
      <c r="Q323" s="94" t="str">
        <f t="shared" si="116"/>
        <v/>
      </c>
      <c r="R323" s="90" t="str">
        <f t="shared" si="117"/>
        <v/>
      </c>
      <c r="S323" s="37" t="str">
        <f t="shared" si="109"/>
        <v/>
      </c>
      <c r="T323" s="176" t="str">
        <f>IF(L323="","",VLOOKUP(L323,classifications!C:K,9,FALSE))</f>
        <v/>
      </c>
      <c r="U323" s="183" t="str">
        <f t="shared" si="101"/>
        <v/>
      </c>
      <c r="V323" s="184" t="str">
        <f>IF(U323="","",IF($I$8="A",(RANK(U323,U$11:U$368)+COUNTIF(U$11:U323,U323)-1),(RANK(U323,U$11:U$368,1)+COUNTIF(U$11:U323,U323)-1)))</f>
        <v/>
      </c>
      <c r="W323" s="185"/>
      <c r="X323" s="38" t="str">
        <f>IF(L323="","",VLOOKUP($L323,classifications!$C:$J,6,FALSE))</f>
        <v/>
      </c>
      <c r="Y323" s="26" t="str">
        <f t="shared" si="102"/>
        <v/>
      </c>
      <c r="Z323" s="34" t="str">
        <f>IF(Y323="","",IF(I$8="A",(RANK(Y323,Y$11:Y$368,1)+COUNTIF(Y$11:Y323,Y323)-1),(RANK(Y323,Y$11:Y$368)+COUNTIF(Y$11:Y323,Y323)-1)))</f>
        <v/>
      </c>
      <c r="AA323" s="188" t="str">
        <f>IF(L323="","",VLOOKUP($L323,classifications!C:I,7,FALSE))</f>
        <v/>
      </c>
      <c r="AB323" s="184" t="str">
        <f t="shared" si="110"/>
        <v/>
      </c>
      <c r="AC323" s="184" t="str">
        <f>IF(AB323="","",IF($I$8="A",(RANK(AB323,AB$11:AB$368)+COUNTIF(AB$11:AB323,AB323)-1),(RANK(AB323,AB$11:AB$368,1)+COUNTIF(AB$11:AB323,AB323)-1)))</f>
        <v/>
      </c>
      <c r="AD323" s="184"/>
      <c r="AE323" s="28" t="str">
        <f t="shared" si="119"/>
        <v/>
      </c>
      <c r="AG323" s="96"/>
      <c r="AH323" s="29"/>
      <c r="AI323" s="38" t="str">
        <f>IF(L323="","",VLOOKUP($L323,classifications!$C:$J,8,FALSE))</f>
        <v/>
      </c>
      <c r="AJ323" s="39" t="str">
        <f t="shared" si="103"/>
        <v/>
      </c>
      <c r="AK323" s="34" t="str">
        <f>IF(AJ323="","",IF(I$8="A",(RANK(AJ323,AJ$11:AJ$368,1)+COUNTIF(AJ$11:AJ323,AJ323)-1),(RANK(AJ323,AJ$11:AJ$368)+COUNTIF(AJ$11:AJ323,AJ323)-1)))</f>
        <v/>
      </c>
      <c r="AL323" s="29" t="str">
        <f t="shared" si="111"/>
        <v/>
      </c>
      <c r="AM323" s="8" t="str">
        <f t="shared" si="104"/>
        <v/>
      </c>
      <c r="AN323" s="8" t="str">
        <f t="shared" si="112"/>
        <v/>
      </c>
      <c r="AP323" s="38" t="str">
        <f>IF(L323="","",VLOOKUP($L323,classifications!$C:$E,3,FALSE))</f>
        <v/>
      </c>
      <c r="AQ323" s="39" t="str">
        <f t="shared" si="113"/>
        <v/>
      </c>
      <c r="AR323" s="34" t="str">
        <f>IF(AQ323="","",IF(I$8="A",(RANK(AQ323,AQ$11:AQ$368,1)+COUNTIF(AQ$11:AQ323,AQ323)-1),(RANK(AQ323,AQ$11:AQ$368)+COUNTIF(AQ$11:AQ323,AQ323)-1)))</f>
        <v/>
      </c>
      <c r="AS323" s="29" t="str">
        <f t="shared" si="114"/>
        <v/>
      </c>
      <c r="AT323" s="34" t="str">
        <f t="shared" si="105"/>
        <v/>
      </c>
      <c r="AU323" s="39" t="str">
        <f t="shared" si="118"/>
        <v/>
      </c>
      <c r="AX323" s="21">
        <f>HLOOKUP($AX$9&amp;$AX$10,Data!$A$1:$ZZ$2000,(MATCH($C323,Data!$A$1:$A$2000,0)),FALSE)</f>
        <v>78.572724688355649</v>
      </c>
      <c r="AY323" s="103"/>
      <c r="AZ323" s="21"/>
    </row>
    <row r="324" spans="1:52">
      <c r="A324" s="56" t="str">
        <f>$D$1&amp;314</f>
        <v>SD314</v>
      </c>
      <c r="B324" s="57">
        <f>IF(ISERROR(VLOOKUP(A324,classifications!A:C,3,FALSE)),0,VLOOKUP(A324,classifications!A:C,3,FALSE))</f>
        <v>0</v>
      </c>
      <c r="C324" s="8" t="s">
        <v>219</v>
      </c>
      <c r="D324" s="26" t="str">
        <f>VLOOKUP($C324,classifications!$C:$J,4,FALSE)</f>
        <v>L</v>
      </c>
      <c r="E324" s="26">
        <f>VLOOKUP(C324,classifications!C:K,9,FALSE)</f>
        <v>0</v>
      </c>
      <c r="F324" s="36">
        <f t="shared" si="97"/>
        <v>83.979639021221899</v>
      </c>
      <c r="G324" s="71"/>
      <c r="H324" s="37" t="str">
        <f t="shared" si="98"/>
        <v/>
      </c>
      <c r="I324" s="77" t="str">
        <f>IF(H324="","",IF($I$8="A",(RANK(H324,H$11:H$368,1)+COUNTIF(H$11:H324,H324)-1),(RANK(H324,H$11:H$368)+COUNTIF(H$11:H324,H324)-1)))</f>
        <v/>
      </c>
      <c r="J324" s="35"/>
      <c r="K324" s="28" t="str">
        <f t="shared" si="106"/>
        <v/>
      </c>
      <c r="L324" s="36" t="str">
        <f t="shared" si="99"/>
        <v/>
      </c>
      <c r="M324" s="102" t="str">
        <f t="shared" si="107"/>
        <v/>
      </c>
      <c r="N324" s="101" t="str">
        <f t="shared" si="108"/>
        <v/>
      </c>
      <c r="O324" s="94" t="str">
        <f t="shared" si="100"/>
        <v/>
      </c>
      <c r="P324" s="94" t="str">
        <f t="shared" si="115"/>
        <v/>
      </c>
      <c r="Q324" s="94" t="str">
        <f t="shared" si="116"/>
        <v/>
      </c>
      <c r="R324" s="90" t="str">
        <f t="shared" si="117"/>
        <v/>
      </c>
      <c r="S324" s="37" t="str">
        <f t="shared" si="109"/>
        <v/>
      </c>
      <c r="T324" s="176" t="str">
        <f>IF(L324="","",VLOOKUP(L324,classifications!C:K,9,FALSE))</f>
        <v/>
      </c>
      <c r="U324" s="183" t="str">
        <f t="shared" si="101"/>
        <v/>
      </c>
      <c r="V324" s="184" t="str">
        <f>IF(U324="","",IF($I$8="A",(RANK(U324,U$11:U$368)+COUNTIF(U$11:U324,U324)-1),(RANK(U324,U$11:U$368,1)+COUNTIF(U$11:U324,U324)-1)))</f>
        <v/>
      </c>
      <c r="W324" s="185"/>
      <c r="X324" s="38" t="str">
        <f>IF(L324="","",VLOOKUP($L324,classifications!$C:$J,6,FALSE))</f>
        <v/>
      </c>
      <c r="Y324" s="26" t="str">
        <f t="shared" si="102"/>
        <v/>
      </c>
      <c r="Z324" s="34" t="str">
        <f>IF(Y324="","",IF(I$8="A",(RANK(Y324,Y$11:Y$368,1)+COUNTIF(Y$11:Y324,Y324)-1),(RANK(Y324,Y$11:Y$368)+COUNTIF(Y$11:Y324,Y324)-1)))</f>
        <v/>
      </c>
      <c r="AA324" s="188" t="str">
        <f>IF(L324="","",VLOOKUP($L324,classifications!C:I,7,FALSE))</f>
        <v/>
      </c>
      <c r="AB324" s="184" t="str">
        <f t="shared" si="110"/>
        <v/>
      </c>
      <c r="AC324" s="184" t="str">
        <f>IF(AB324="","",IF($I$8="A",(RANK(AB324,AB$11:AB$368)+COUNTIF(AB$11:AB324,AB324)-1),(RANK(AB324,AB$11:AB$368,1)+COUNTIF(AB$11:AB324,AB324)-1)))</f>
        <v/>
      </c>
      <c r="AD324" s="184"/>
      <c r="AE324" s="28" t="str">
        <f t="shared" si="119"/>
        <v/>
      </c>
      <c r="AG324" s="96"/>
      <c r="AH324" s="29"/>
      <c r="AI324" s="38" t="str">
        <f>IF(L324="","",VLOOKUP($L324,classifications!$C:$J,8,FALSE))</f>
        <v/>
      </c>
      <c r="AJ324" s="39" t="str">
        <f t="shared" si="103"/>
        <v/>
      </c>
      <c r="AK324" s="34" t="str">
        <f>IF(AJ324="","",IF(I$8="A",(RANK(AJ324,AJ$11:AJ$368,1)+COUNTIF(AJ$11:AJ324,AJ324)-1),(RANK(AJ324,AJ$11:AJ$368)+COUNTIF(AJ$11:AJ324,AJ324)-1)))</f>
        <v/>
      </c>
      <c r="AL324" s="29" t="str">
        <f t="shared" si="111"/>
        <v/>
      </c>
      <c r="AM324" s="8" t="str">
        <f t="shared" si="104"/>
        <v/>
      </c>
      <c r="AN324" s="8" t="str">
        <f t="shared" si="112"/>
        <v/>
      </c>
      <c r="AP324" s="38" t="str">
        <f>IF(L324="","",VLOOKUP($L324,classifications!$C:$E,3,FALSE))</f>
        <v/>
      </c>
      <c r="AQ324" s="39" t="str">
        <f t="shared" si="113"/>
        <v/>
      </c>
      <c r="AR324" s="34" t="str">
        <f>IF(AQ324="","",IF(I$8="A",(RANK(AQ324,AQ$11:AQ$368,1)+COUNTIF(AQ$11:AQ324,AQ324)-1),(RANK(AQ324,AQ$11:AQ$368)+COUNTIF(AQ$11:AQ324,AQ324)-1)))</f>
        <v/>
      </c>
      <c r="AS324" s="29" t="str">
        <f t="shared" si="114"/>
        <v/>
      </c>
      <c r="AT324" s="34" t="str">
        <f t="shared" si="105"/>
        <v/>
      </c>
      <c r="AU324" s="39" t="str">
        <f t="shared" si="118"/>
        <v/>
      </c>
      <c r="AX324" s="21">
        <f>HLOOKUP($AX$9&amp;$AX$10,Data!$A$1:$ZZ$2000,(MATCH($C324,Data!$A$1:$A$2000,0)),FALSE)</f>
        <v>83.979639021221899</v>
      </c>
      <c r="AY324" s="103"/>
      <c r="AZ324" s="21"/>
    </row>
    <row r="325" spans="1:52">
      <c r="A325" s="56" t="str">
        <f>$D$1&amp;315</f>
        <v>SD315</v>
      </c>
      <c r="B325" s="57">
        <f>IF(ISERROR(VLOOKUP(A325,classifications!A:C,3,FALSE)),0,VLOOKUP(A325,classifications!A:C,3,FALSE))</f>
        <v>0</v>
      </c>
      <c r="C325" s="8" t="s">
        <v>252</v>
      </c>
      <c r="D325" s="26" t="str">
        <f>VLOOKUP($C325,classifications!$C:$J,4,FALSE)</f>
        <v>MD</v>
      </c>
      <c r="E325" s="26">
        <f>VLOOKUP(C325,classifications!C:K,9,FALSE)</f>
        <v>0</v>
      </c>
      <c r="F325" s="36">
        <f t="shared" si="97"/>
        <v>82.297244021194885</v>
      </c>
      <c r="G325" s="71"/>
      <c r="H325" s="37" t="str">
        <f t="shared" si="98"/>
        <v/>
      </c>
      <c r="I325" s="77" t="str">
        <f>IF(H325="","",IF($I$8="A",(RANK(H325,H$11:H$368,1)+COUNTIF(H$11:H325,H325)-1),(RANK(H325,H$11:H$368)+COUNTIF(H$11:H325,H325)-1)))</f>
        <v/>
      </c>
      <c r="J325" s="35"/>
      <c r="K325" s="28" t="str">
        <f t="shared" si="106"/>
        <v/>
      </c>
      <c r="L325" s="36" t="str">
        <f t="shared" si="99"/>
        <v/>
      </c>
      <c r="M325" s="102" t="str">
        <f t="shared" si="107"/>
        <v/>
      </c>
      <c r="N325" s="101" t="str">
        <f t="shared" si="108"/>
        <v/>
      </c>
      <c r="O325" s="94" t="str">
        <f t="shared" si="100"/>
        <v/>
      </c>
      <c r="P325" s="94" t="str">
        <f t="shared" si="115"/>
        <v/>
      </c>
      <c r="Q325" s="94" t="str">
        <f t="shared" si="116"/>
        <v/>
      </c>
      <c r="R325" s="90" t="str">
        <f t="shared" si="117"/>
        <v/>
      </c>
      <c r="S325" s="37" t="str">
        <f t="shared" si="109"/>
        <v/>
      </c>
      <c r="T325" s="176" t="str">
        <f>IF(L325="","",VLOOKUP(L325,classifications!C:K,9,FALSE))</f>
        <v/>
      </c>
      <c r="U325" s="183" t="str">
        <f t="shared" si="101"/>
        <v/>
      </c>
      <c r="V325" s="184" t="str">
        <f>IF(U325="","",IF($I$8="A",(RANK(U325,U$11:U$368)+COUNTIF(U$11:U325,U325)-1),(RANK(U325,U$11:U$368,1)+COUNTIF(U$11:U325,U325)-1)))</f>
        <v/>
      </c>
      <c r="W325" s="185"/>
      <c r="X325" s="38" t="str">
        <f>IF(L325="","",VLOOKUP($L325,classifications!$C:$J,6,FALSE))</f>
        <v/>
      </c>
      <c r="Y325" s="26" t="str">
        <f t="shared" si="102"/>
        <v/>
      </c>
      <c r="Z325" s="34" t="str">
        <f>IF(Y325="","",IF(I$8="A",(RANK(Y325,Y$11:Y$368,1)+COUNTIF(Y$11:Y325,Y325)-1),(RANK(Y325,Y$11:Y$368)+COUNTIF(Y$11:Y325,Y325)-1)))</f>
        <v/>
      </c>
      <c r="AA325" s="188" t="str">
        <f>IF(L325="","",VLOOKUP($L325,classifications!C:I,7,FALSE))</f>
        <v/>
      </c>
      <c r="AB325" s="184" t="str">
        <f t="shared" si="110"/>
        <v/>
      </c>
      <c r="AC325" s="184" t="str">
        <f>IF(AB325="","",IF($I$8="A",(RANK(AB325,AB$11:AB$368)+COUNTIF(AB$11:AB325,AB325)-1),(RANK(AB325,AB$11:AB$368,1)+COUNTIF(AB$11:AB325,AB325)-1)))</f>
        <v/>
      </c>
      <c r="AD325" s="184"/>
      <c r="AE325" s="28" t="str">
        <f t="shared" si="119"/>
        <v/>
      </c>
      <c r="AG325" s="96"/>
      <c r="AH325" s="29"/>
      <c r="AI325" s="38" t="str">
        <f>IF(L325="","",VLOOKUP($L325,classifications!$C:$J,8,FALSE))</f>
        <v/>
      </c>
      <c r="AJ325" s="39" t="str">
        <f t="shared" si="103"/>
        <v/>
      </c>
      <c r="AK325" s="34" t="str">
        <f>IF(AJ325="","",IF(I$8="A",(RANK(AJ325,AJ$11:AJ$368,1)+COUNTIF(AJ$11:AJ325,AJ325)-1),(RANK(AJ325,AJ$11:AJ$368)+COUNTIF(AJ$11:AJ325,AJ325)-1)))</f>
        <v/>
      </c>
      <c r="AL325" s="29" t="str">
        <f t="shared" si="111"/>
        <v/>
      </c>
      <c r="AM325" s="8" t="str">
        <f t="shared" si="104"/>
        <v/>
      </c>
      <c r="AN325" s="8" t="str">
        <f t="shared" si="112"/>
        <v/>
      </c>
      <c r="AP325" s="38" t="str">
        <f>IF(L325="","",VLOOKUP($L325,classifications!$C:$E,3,FALSE))</f>
        <v/>
      </c>
      <c r="AQ325" s="39" t="str">
        <f t="shared" si="113"/>
        <v/>
      </c>
      <c r="AR325" s="34" t="str">
        <f>IF(AQ325="","",IF(I$8="A",(RANK(AQ325,AQ$11:AQ$368,1)+COUNTIF(AQ$11:AQ325,AQ325)-1),(RANK(AQ325,AQ$11:AQ$368)+COUNTIF(AQ$11:AQ325,AQ325)-1)))</f>
        <v/>
      </c>
      <c r="AS325" s="29" t="str">
        <f t="shared" si="114"/>
        <v/>
      </c>
      <c r="AT325" s="34" t="str">
        <f t="shared" si="105"/>
        <v/>
      </c>
      <c r="AU325" s="39" t="str">
        <f t="shared" si="118"/>
        <v/>
      </c>
      <c r="AX325" s="21">
        <f>HLOOKUP($AX$9&amp;$AX$10,Data!$A$1:$ZZ$2000,(MATCH($C325,Data!$A$1:$A$2000,0)),FALSE)</f>
        <v>82.297244021194885</v>
      </c>
      <c r="AY325" s="103"/>
      <c r="AZ325" s="21"/>
    </row>
    <row r="326" spans="1:52">
      <c r="A326" s="56" t="str">
        <f>$D$1&amp;316</f>
        <v>SD316</v>
      </c>
      <c r="B326" s="57">
        <f>IF(ISERROR(VLOOKUP(A326,classifications!A:C,3,FALSE)),0,VLOOKUP(A326,classifications!A:C,3,FALSE))</f>
        <v>0</v>
      </c>
      <c r="C326" s="8" t="s">
        <v>171</v>
      </c>
      <c r="D326" s="26" t="str">
        <f>VLOOKUP($C326,classifications!$C:$J,4,FALSE)</f>
        <v>SD</v>
      </c>
      <c r="E326" s="26" t="str">
        <f>VLOOKUP(C326,classifications!C:K,9,FALSE)</f>
        <v>Sparse</v>
      </c>
      <c r="F326" s="36">
        <f t="shared" si="97"/>
        <v>87.387814475626797</v>
      </c>
      <c r="G326" s="71"/>
      <c r="H326" s="37">
        <f t="shared" si="98"/>
        <v>87.387814475626797</v>
      </c>
      <c r="I326" s="77">
        <f>IF(H326="","",IF($I$8="A",(RANK(H326,H$11:H$368,1)+COUNTIF(H$11:H326,H326)-1),(RANK(H326,H$11:H$368)+COUNTIF(H$11:H326,H326)-1)))</f>
        <v>3</v>
      </c>
      <c r="J326" s="35"/>
      <c r="K326" s="28" t="str">
        <f t="shared" si="106"/>
        <v/>
      </c>
      <c r="L326" s="36" t="str">
        <f t="shared" si="99"/>
        <v/>
      </c>
      <c r="M326" s="102" t="str">
        <f t="shared" si="107"/>
        <v/>
      </c>
      <c r="N326" s="101" t="str">
        <f t="shared" si="108"/>
        <v/>
      </c>
      <c r="O326" s="94" t="str">
        <f t="shared" si="100"/>
        <v/>
      </c>
      <c r="P326" s="94" t="str">
        <f t="shared" si="115"/>
        <v/>
      </c>
      <c r="Q326" s="94" t="str">
        <f t="shared" si="116"/>
        <v/>
      </c>
      <c r="R326" s="90" t="str">
        <f t="shared" si="117"/>
        <v/>
      </c>
      <c r="S326" s="37" t="str">
        <f t="shared" si="109"/>
        <v/>
      </c>
      <c r="T326" s="176" t="str">
        <f>IF(L326="","",VLOOKUP(L326,classifications!C:K,9,FALSE))</f>
        <v/>
      </c>
      <c r="U326" s="183" t="str">
        <f t="shared" si="101"/>
        <v/>
      </c>
      <c r="V326" s="184" t="str">
        <f>IF(U326="","",IF($I$8="A",(RANK(U326,U$11:U$368)+COUNTIF(U$11:U326,U326)-1),(RANK(U326,U$11:U$368,1)+COUNTIF(U$11:U326,U326)-1)))</f>
        <v/>
      </c>
      <c r="W326" s="185"/>
      <c r="X326" s="38" t="str">
        <f>IF(L326="","",VLOOKUP($L326,classifications!$C:$J,6,FALSE))</f>
        <v/>
      </c>
      <c r="Y326" s="26" t="str">
        <f t="shared" si="102"/>
        <v/>
      </c>
      <c r="Z326" s="34" t="str">
        <f>IF(Y326="","",IF(I$8="A",(RANK(Y326,Y$11:Y$368,1)+COUNTIF(Y$11:Y326,Y326)-1),(RANK(Y326,Y$11:Y$368)+COUNTIF(Y$11:Y326,Y326)-1)))</f>
        <v/>
      </c>
      <c r="AA326" s="188" t="str">
        <f>IF(L326="","",VLOOKUP($L326,classifications!C:I,7,FALSE))</f>
        <v/>
      </c>
      <c r="AB326" s="184" t="str">
        <f t="shared" si="110"/>
        <v/>
      </c>
      <c r="AC326" s="184" t="str">
        <f>IF(AB326="","",IF($I$8="A",(RANK(AB326,AB$11:AB$368)+COUNTIF(AB$11:AB326,AB326)-1),(RANK(AB326,AB$11:AB$368,1)+COUNTIF(AB$11:AB326,AB326)-1)))</f>
        <v/>
      </c>
      <c r="AD326" s="184"/>
      <c r="AE326" s="28" t="str">
        <f t="shared" si="119"/>
        <v/>
      </c>
      <c r="AG326" s="96"/>
      <c r="AH326" s="29"/>
      <c r="AI326" s="38" t="str">
        <f>IF(L326="","",VLOOKUP($L326,classifications!$C:$J,8,FALSE))</f>
        <v/>
      </c>
      <c r="AJ326" s="39" t="str">
        <f t="shared" si="103"/>
        <v/>
      </c>
      <c r="AK326" s="34" t="str">
        <f>IF(AJ326="","",IF(I$8="A",(RANK(AJ326,AJ$11:AJ$368,1)+COUNTIF(AJ$11:AJ326,AJ326)-1),(RANK(AJ326,AJ$11:AJ$368)+COUNTIF(AJ$11:AJ326,AJ326)-1)))</f>
        <v/>
      </c>
      <c r="AL326" s="29" t="str">
        <f t="shared" si="111"/>
        <v/>
      </c>
      <c r="AM326" s="8" t="str">
        <f t="shared" si="104"/>
        <v/>
      </c>
      <c r="AN326" s="8" t="str">
        <f t="shared" si="112"/>
        <v/>
      </c>
      <c r="AP326" s="38" t="str">
        <f>IF(L326="","",VLOOKUP($L326,classifications!$C:$E,3,FALSE))</f>
        <v/>
      </c>
      <c r="AQ326" s="39" t="str">
        <f t="shared" si="113"/>
        <v/>
      </c>
      <c r="AR326" s="34" t="str">
        <f>IF(AQ326="","",IF(I$8="A",(RANK(AQ326,AQ$11:AQ$368,1)+COUNTIF(AQ$11:AQ326,AQ326)-1),(RANK(AQ326,AQ$11:AQ$368)+COUNTIF(AQ$11:AQ326,AQ326)-1)))</f>
        <v/>
      </c>
      <c r="AS326" s="29" t="str">
        <f t="shared" si="114"/>
        <v/>
      </c>
      <c r="AT326" s="34" t="str">
        <f t="shared" si="105"/>
        <v/>
      </c>
      <c r="AU326" s="39" t="str">
        <f t="shared" si="118"/>
        <v/>
      </c>
      <c r="AX326" s="21">
        <f>HLOOKUP($AX$9&amp;$AX$10,Data!$A$1:$ZZ$2000,(MATCH($C326,Data!$A$1:$A$2000,0)),FALSE)</f>
        <v>87.387814475626797</v>
      </c>
      <c r="AY326" s="103"/>
      <c r="AZ326" s="21"/>
    </row>
    <row r="327" spans="1:52">
      <c r="A327" s="56" t="str">
        <f>$D$1&amp;317</f>
        <v>SD317</v>
      </c>
      <c r="B327" s="57">
        <f>IF(ISERROR(VLOOKUP(A327,classifications!A:C,3,FALSE)),0,VLOOKUP(A327,classifications!A:C,3,FALSE))</f>
        <v>0</v>
      </c>
      <c r="C327" s="8" t="s">
        <v>172</v>
      </c>
      <c r="D327" s="26" t="str">
        <f>VLOOKUP($C327,classifications!$C:$J,4,FALSE)</f>
        <v>SD</v>
      </c>
      <c r="E327" s="26" t="str">
        <f>VLOOKUP(C327,classifications!C:K,9,FALSE)</f>
        <v>Sparse</v>
      </c>
      <c r="F327" s="36">
        <f t="shared" si="97"/>
        <v>82.360675429974577</v>
      </c>
      <c r="G327" s="71"/>
      <c r="H327" s="37">
        <f t="shared" si="98"/>
        <v>82.360675429974577</v>
      </c>
      <c r="I327" s="77">
        <f>IF(H327="","",IF($I$8="A",(RANK(H327,H$11:H$368,1)+COUNTIF(H$11:H327,H327)-1),(RANK(H327,H$11:H$368)+COUNTIF(H$11:H327,H327)-1)))</f>
        <v>71</v>
      </c>
      <c r="J327" s="35"/>
      <c r="K327" s="28" t="str">
        <f t="shared" si="106"/>
        <v/>
      </c>
      <c r="L327" s="36" t="str">
        <f t="shared" si="99"/>
        <v/>
      </c>
      <c r="M327" s="102" t="str">
        <f t="shared" si="107"/>
        <v/>
      </c>
      <c r="N327" s="101" t="str">
        <f t="shared" si="108"/>
        <v/>
      </c>
      <c r="O327" s="94" t="str">
        <f t="shared" si="100"/>
        <v/>
      </c>
      <c r="P327" s="94" t="str">
        <f t="shared" si="115"/>
        <v/>
      </c>
      <c r="Q327" s="94" t="str">
        <f t="shared" si="116"/>
        <v/>
      </c>
      <c r="R327" s="90" t="str">
        <f t="shared" si="117"/>
        <v/>
      </c>
      <c r="S327" s="37" t="str">
        <f t="shared" si="109"/>
        <v/>
      </c>
      <c r="T327" s="176" t="str">
        <f>IF(L327="","",VLOOKUP(L327,classifications!C:K,9,FALSE))</f>
        <v/>
      </c>
      <c r="U327" s="183" t="str">
        <f t="shared" si="101"/>
        <v/>
      </c>
      <c r="V327" s="184" t="str">
        <f>IF(U327="","",IF($I$8="A",(RANK(U327,U$11:U$368)+COUNTIF(U$11:U327,U327)-1),(RANK(U327,U$11:U$368,1)+COUNTIF(U$11:U327,U327)-1)))</f>
        <v/>
      </c>
      <c r="W327" s="185"/>
      <c r="X327" s="38" t="str">
        <f>IF(L327="","",VLOOKUP($L327,classifications!$C:$J,6,FALSE))</f>
        <v/>
      </c>
      <c r="Y327" s="26" t="str">
        <f t="shared" si="102"/>
        <v/>
      </c>
      <c r="Z327" s="34" t="str">
        <f>IF(Y327="","",IF(I$8="A",(RANK(Y327,Y$11:Y$368,1)+COUNTIF(Y$11:Y327,Y327)-1),(RANK(Y327,Y$11:Y$368)+COUNTIF(Y$11:Y327,Y327)-1)))</f>
        <v/>
      </c>
      <c r="AA327" s="188" t="str">
        <f>IF(L327="","",VLOOKUP($L327,classifications!C:I,7,FALSE))</f>
        <v/>
      </c>
      <c r="AB327" s="184" t="str">
        <f t="shared" si="110"/>
        <v/>
      </c>
      <c r="AC327" s="184" t="str">
        <f>IF(AB327="","",IF($I$8="A",(RANK(AB327,AB$11:AB$368)+COUNTIF(AB$11:AB327,AB327)-1),(RANK(AB327,AB$11:AB$368,1)+COUNTIF(AB$11:AB327,AB327)-1)))</f>
        <v/>
      </c>
      <c r="AD327" s="184"/>
      <c r="AE327" s="28" t="str">
        <f t="shared" si="119"/>
        <v/>
      </c>
      <c r="AG327" s="96"/>
      <c r="AH327" s="29"/>
      <c r="AI327" s="38" t="str">
        <f>IF(L327="","",VLOOKUP($L327,classifications!$C:$J,8,FALSE))</f>
        <v/>
      </c>
      <c r="AJ327" s="39" t="str">
        <f t="shared" si="103"/>
        <v/>
      </c>
      <c r="AK327" s="34" t="str">
        <f>IF(AJ327="","",IF(I$8="A",(RANK(AJ327,AJ$11:AJ$368,1)+COUNTIF(AJ$11:AJ327,AJ327)-1),(RANK(AJ327,AJ$11:AJ$368)+COUNTIF(AJ$11:AJ327,AJ327)-1)))</f>
        <v/>
      </c>
      <c r="AL327" s="29" t="str">
        <f t="shared" si="111"/>
        <v/>
      </c>
      <c r="AM327" s="8" t="str">
        <f t="shared" si="104"/>
        <v/>
      </c>
      <c r="AN327" s="8" t="str">
        <f t="shared" si="112"/>
        <v/>
      </c>
      <c r="AP327" s="38" t="str">
        <f>IF(L327="","",VLOOKUP($L327,classifications!$C:$E,3,FALSE))</f>
        <v/>
      </c>
      <c r="AQ327" s="39" t="str">
        <f t="shared" si="113"/>
        <v/>
      </c>
      <c r="AR327" s="34" t="str">
        <f>IF(AQ327="","",IF(I$8="A",(RANK(AQ327,AQ$11:AQ$368,1)+COUNTIF(AQ$11:AQ327,AQ327)-1),(RANK(AQ327,AQ$11:AQ$368)+COUNTIF(AQ$11:AQ327,AQ327)-1)))</f>
        <v/>
      </c>
      <c r="AS327" s="29" t="str">
        <f t="shared" si="114"/>
        <v/>
      </c>
      <c r="AT327" s="34" t="str">
        <f t="shared" si="105"/>
        <v/>
      </c>
      <c r="AU327" s="39" t="str">
        <f t="shared" si="118"/>
        <v/>
      </c>
      <c r="AX327" s="21">
        <f>HLOOKUP($AX$9&amp;$AX$10,Data!$A$1:$ZZ$2000,(MATCH($C327,Data!$A$1:$A$2000,0)),FALSE)</f>
        <v>82.360675429974577</v>
      </c>
      <c r="AY327" s="103"/>
      <c r="AZ327" s="21"/>
    </row>
    <row r="328" spans="1:52">
      <c r="A328" s="56" t="str">
        <f>$D$1&amp;318</f>
        <v>SD318</v>
      </c>
      <c r="B328" s="57">
        <f>IF(ISERROR(VLOOKUP(A328,classifications!A:C,3,FALSE)),0,VLOOKUP(A328,classifications!A:C,3,FALSE))</f>
        <v>0</v>
      </c>
      <c r="C328" s="8" t="s">
        <v>173</v>
      </c>
      <c r="D328" s="26" t="str">
        <f>VLOOKUP($C328,classifications!$C:$J,4,FALSE)</f>
        <v>SD</v>
      </c>
      <c r="E328" s="26" t="str">
        <f>VLOOKUP(C328,classifications!C:K,9,FALSE)</f>
        <v>Sparse</v>
      </c>
      <c r="F328" s="36">
        <f t="shared" si="97"/>
        <v>87.849849296209598</v>
      </c>
      <c r="G328" s="71"/>
      <c r="H328" s="37">
        <f t="shared" si="98"/>
        <v>87.849849296209598</v>
      </c>
      <c r="I328" s="77">
        <f>IF(H328="","",IF($I$8="A",(RANK(H328,H$11:H$368,1)+COUNTIF(H$11:H328,H328)-1),(RANK(H328,H$11:H$368)+COUNTIF(H$11:H328,H328)-1)))</f>
        <v>2</v>
      </c>
      <c r="J328" s="35"/>
      <c r="K328" s="28" t="str">
        <f t="shared" si="106"/>
        <v/>
      </c>
      <c r="L328" s="36" t="str">
        <f t="shared" si="99"/>
        <v/>
      </c>
      <c r="M328" s="102" t="str">
        <f t="shared" si="107"/>
        <v/>
      </c>
      <c r="N328" s="101" t="str">
        <f t="shared" si="108"/>
        <v/>
      </c>
      <c r="O328" s="94" t="str">
        <f t="shared" si="100"/>
        <v/>
      </c>
      <c r="P328" s="94" t="str">
        <f t="shared" si="115"/>
        <v/>
      </c>
      <c r="Q328" s="94" t="str">
        <f t="shared" si="116"/>
        <v/>
      </c>
      <c r="R328" s="90" t="str">
        <f t="shared" si="117"/>
        <v/>
      </c>
      <c r="S328" s="37" t="str">
        <f t="shared" si="109"/>
        <v/>
      </c>
      <c r="T328" s="176" t="str">
        <f>IF(L328="","",VLOOKUP(L328,classifications!C:K,9,FALSE))</f>
        <v/>
      </c>
      <c r="U328" s="183" t="str">
        <f t="shared" si="101"/>
        <v/>
      </c>
      <c r="V328" s="184" t="str">
        <f>IF(U328="","",IF($I$8="A",(RANK(U328,U$11:U$368)+COUNTIF(U$11:U328,U328)-1),(RANK(U328,U$11:U$368,1)+COUNTIF(U$11:U328,U328)-1)))</f>
        <v/>
      </c>
      <c r="W328" s="185"/>
      <c r="X328" s="38" t="str">
        <f>IF(L328="","",VLOOKUP($L328,classifications!$C:$J,6,FALSE))</f>
        <v/>
      </c>
      <c r="Y328" s="26" t="str">
        <f t="shared" si="102"/>
        <v/>
      </c>
      <c r="Z328" s="34" t="str">
        <f>IF(Y328="","",IF(I$8="A",(RANK(Y328,Y$11:Y$368,1)+COUNTIF(Y$11:Y328,Y328)-1),(RANK(Y328,Y$11:Y$368)+COUNTIF(Y$11:Y328,Y328)-1)))</f>
        <v/>
      </c>
      <c r="AA328" s="188" t="str">
        <f>IF(L328="","",VLOOKUP($L328,classifications!C:I,7,FALSE))</f>
        <v/>
      </c>
      <c r="AB328" s="184" t="str">
        <f t="shared" si="110"/>
        <v/>
      </c>
      <c r="AC328" s="184" t="str">
        <f>IF(AB328="","",IF($I$8="A",(RANK(AB328,AB$11:AB$368)+COUNTIF(AB$11:AB328,AB328)-1),(RANK(AB328,AB$11:AB$368,1)+COUNTIF(AB$11:AB328,AB328)-1)))</f>
        <v/>
      </c>
      <c r="AD328" s="184"/>
      <c r="AE328" s="28" t="str">
        <f t="shared" si="119"/>
        <v/>
      </c>
      <c r="AG328" s="96"/>
      <c r="AH328" s="29"/>
      <c r="AI328" s="38" t="str">
        <f>IF(L328="","",VLOOKUP($L328,classifications!$C:$J,8,FALSE))</f>
        <v/>
      </c>
      <c r="AJ328" s="39" t="str">
        <f t="shared" si="103"/>
        <v/>
      </c>
      <c r="AK328" s="34" t="str">
        <f>IF(AJ328="","",IF(I$8="A",(RANK(AJ328,AJ$11:AJ$368,1)+COUNTIF(AJ$11:AJ328,AJ328)-1),(RANK(AJ328,AJ$11:AJ$368)+COUNTIF(AJ$11:AJ328,AJ328)-1)))</f>
        <v/>
      </c>
      <c r="AL328" s="29" t="str">
        <f t="shared" si="111"/>
        <v/>
      </c>
      <c r="AM328" s="8" t="str">
        <f t="shared" si="104"/>
        <v/>
      </c>
      <c r="AN328" s="8" t="str">
        <f t="shared" si="112"/>
        <v/>
      </c>
      <c r="AP328" s="38" t="str">
        <f>IF(L328="","",VLOOKUP($L328,classifications!$C:$E,3,FALSE))</f>
        <v/>
      </c>
      <c r="AQ328" s="39" t="str">
        <f t="shared" si="113"/>
        <v/>
      </c>
      <c r="AR328" s="34" t="str">
        <f>IF(AQ328="","",IF(I$8="A",(RANK(AQ328,AQ$11:AQ$368,1)+COUNTIF(AQ$11:AQ328,AQ328)-1),(RANK(AQ328,AQ$11:AQ$368)+COUNTIF(AQ$11:AQ328,AQ328)-1)))</f>
        <v/>
      </c>
      <c r="AS328" s="29" t="str">
        <f t="shared" si="114"/>
        <v/>
      </c>
      <c r="AT328" s="34" t="str">
        <f t="shared" si="105"/>
        <v/>
      </c>
      <c r="AU328" s="39" t="str">
        <f t="shared" si="118"/>
        <v/>
      </c>
      <c r="AX328" s="21">
        <f>HLOOKUP($AX$9&amp;$AX$10,Data!$A$1:$ZZ$2000,(MATCH($C328,Data!$A$1:$A$2000,0)),FALSE)</f>
        <v>87.849849296209598</v>
      </c>
      <c r="AY328" s="103"/>
      <c r="AZ328" s="21"/>
    </row>
    <row r="329" spans="1:52">
      <c r="A329" s="56" t="str">
        <f>$D$1&amp;319</f>
        <v>SD319</v>
      </c>
      <c r="B329" s="57">
        <f>IF(ISERROR(VLOOKUP(A329,classifications!A:C,3,FALSE)),0,VLOOKUP(A329,classifications!A:C,3,FALSE))</f>
        <v>0</v>
      </c>
      <c r="C329" s="8" t="s">
        <v>253</v>
      </c>
      <c r="D329" s="26" t="str">
        <f>VLOOKUP($C329,classifications!$C:$J,4,FALSE)</f>
        <v>MD</v>
      </c>
      <c r="E329" s="26">
        <f>VLOOKUP(C329,classifications!C:K,9,FALSE)</f>
        <v>0</v>
      </c>
      <c r="F329" s="36">
        <f t="shared" si="97"/>
        <v>77.164211429739183</v>
      </c>
      <c r="G329" s="71"/>
      <c r="H329" s="37" t="str">
        <f t="shared" si="98"/>
        <v/>
      </c>
      <c r="I329" s="77" t="str">
        <f>IF(H329="","",IF($I$8="A",(RANK(H329,H$11:H$368,1)+COUNTIF(H$11:H329,H329)-1),(RANK(H329,H$11:H$368)+COUNTIF(H$11:H329,H329)-1)))</f>
        <v/>
      </c>
      <c r="J329" s="35"/>
      <c r="K329" s="28" t="str">
        <f t="shared" si="106"/>
        <v/>
      </c>
      <c r="L329" s="36" t="str">
        <f t="shared" si="99"/>
        <v/>
      </c>
      <c r="M329" s="102" t="str">
        <f t="shared" si="107"/>
        <v/>
      </c>
      <c r="N329" s="101" t="str">
        <f t="shared" si="108"/>
        <v/>
      </c>
      <c r="O329" s="94" t="str">
        <f t="shared" si="100"/>
        <v/>
      </c>
      <c r="P329" s="94" t="str">
        <f t="shared" si="115"/>
        <v/>
      </c>
      <c r="Q329" s="94" t="str">
        <f t="shared" si="116"/>
        <v/>
      </c>
      <c r="R329" s="90" t="str">
        <f t="shared" si="117"/>
        <v/>
      </c>
      <c r="S329" s="37" t="str">
        <f t="shared" si="109"/>
        <v/>
      </c>
      <c r="T329" s="176" t="str">
        <f>IF(L329="","",VLOOKUP(L329,classifications!C:K,9,FALSE))</f>
        <v/>
      </c>
      <c r="U329" s="183" t="str">
        <f t="shared" si="101"/>
        <v/>
      </c>
      <c r="V329" s="184" t="str">
        <f>IF(U329="","",IF($I$8="A",(RANK(U329,U$11:U$368)+COUNTIF(U$11:U329,U329)-1),(RANK(U329,U$11:U$368,1)+COUNTIF(U$11:U329,U329)-1)))</f>
        <v/>
      </c>
      <c r="W329" s="185"/>
      <c r="X329" s="38" t="str">
        <f>IF(L329="","",VLOOKUP($L329,classifications!$C:$J,6,FALSE))</f>
        <v/>
      </c>
      <c r="Y329" s="26" t="str">
        <f t="shared" si="102"/>
        <v/>
      </c>
      <c r="Z329" s="34" t="str">
        <f>IF(Y329="","",IF(I$8="A",(RANK(Y329,Y$11:Y$368,1)+COUNTIF(Y$11:Y329,Y329)-1),(RANK(Y329,Y$11:Y$368)+COUNTIF(Y$11:Y329,Y329)-1)))</f>
        <v/>
      </c>
      <c r="AA329" s="188" t="str">
        <f>IF(L329="","",VLOOKUP($L329,classifications!C:I,7,FALSE))</f>
        <v/>
      </c>
      <c r="AB329" s="184" t="str">
        <f t="shared" si="110"/>
        <v/>
      </c>
      <c r="AC329" s="184" t="str">
        <f>IF(AB329="","",IF($I$8="A",(RANK(AB329,AB$11:AB$368)+COUNTIF(AB$11:AB329,AB329)-1),(RANK(AB329,AB$11:AB$368,1)+COUNTIF(AB$11:AB329,AB329)-1)))</f>
        <v/>
      </c>
      <c r="AD329" s="184"/>
      <c r="AE329" s="28" t="str">
        <f t="shared" si="119"/>
        <v/>
      </c>
      <c r="AG329" s="96"/>
      <c r="AH329" s="29"/>
      <c r="AI329" s="38" t="str">
        <f>IF(L329="","",VLOOKUP($L329,classifications!$C:$J,8,FALSE))</f>
        <v/>
      </c>
      <c r="AJ329" s="39" t="str">
        <f t="shared" si="103"/>
        <v/>
      </c>
      <c r="AK329" s="34" t="str">
        <f>IF(AJ329="","",IF(I$8="A",(RANK(AJ329,AJ$11:AJ$368,1)+COUNTIF(AJ$11:AJ329,AJ329)-1),(RANK(AJ329,AJ$11:AJ$368)+COUNTIF(AJ$11:AJ329,AJ329)-1)))</f>
        <v/>
      </c>
      <c r="AL329" s="29" t="str">
        <f t="shared" si="111"/>
        <v/>
      </c>
      <c r="AM329" s="8" t="str">
        <f t="shared" si="104"/>
        <v/>
      </c>
      <c r="AN329" s="8" t="str">
        <f t="shared" si="112"/>
        <v/>
      </c>
      <c r="AP329" s="38" t="str">
        <f>IF(L329="","",VLOOKUP($L329,classifications!$C:$E,3,FALSE))</f>
        <v/>
      </c>
      <c r="AQ329" s="39" t="str">
        <f t="shared" si="113"/>
        <v/>
      </c>
      <c r="AR329" s="34" t="str">
        <f>IF(AQ329="","",IF(I$8="A",(RANK(AQ329,AQ$11:AQ$368,1)+COUNTIF(AQ$11:AQ329,AQ329)-1),(RANK(AQ329,AQ$11:AQ$368)+COUNTIF(AQ$11:AQ329,AQ329)-1)))</f>
        <v/>
      </c>
      <c r="AS329" s="29" t="str">
        <f t="shared" si="114"/>
        <v/>
      </c>
      <c r="AT329" s="34" t="str">
        <f t="shared" si="105"/>
        <v/>
      </c>
      <c r="AU329" s="39" t="str">
        <f t="shared" si="118"/>
        <v/>
      </c>
      <c r="AX329" s="21">
        <f>HLOOKUP($AX$9&amp;$AX$10,Data!$A$1:$ZZ$2000,(MATCH($C329,Data!$A$1:$A$2000,0)),FALSE)</f>
        <v>77.164211429739183</v>
      </c>
      <c r="AY329" s="103"/>
      <c r="AZ329" s="21"/>
    </row>
    <row r="330" spans="1:52">
      <c r="A330" s="56" t="str">
        <f>$D$1&amp;320</f>
        <v>SD320</v>
      </c>
      <c r="B330" s="57">
        <f>IF(ISERROR(VLOOKUP(A330,classifications!A:C,3,FALSE)),0,VLOOKUP(A330,classifications!A:C,3,FALSE))</f>
        <v>0</v>
      </c>
      <c r="C330" s="8" t="s">
        <v>254</v>
      </c>
      <c r="D330" s="26" t="str">
        <f>VLOOKUP($C330,classifications!$C:$J,4,FALSE)</f>
        <v>MD</v>
      </c>
      <c r="E330" s="26">
        <f>VLOOKUP(C330,classifications!C:K,9,FALSE)</f>
        <v>0</v>
      </c>
      <c r="F330" s="36">
        <f t="shared" si="97"/>
        <v>70.868483474737857</v>
      </c>
      <c r="G330" s="71"/>
      <c r="H330" s="37" t="str">
        <f t="shared" si="98"/>
        <v/>
      </c>
      <c r="I330" s="77" t="str">
        <f>IF(H330="","",IF($I$8="A",(RANK(H330,H$11:H$368,1)+COUNTIF(H$11:H330,H330)-1),(RANK(H330,H$11:H$368)+COUNTIF(H$11:H330,H330)-1)))</f>
        <v/>
      </c>
      <c r="J330" s="35"/>
      <c r="K330" s="28" t="str">
        <f t="shared" si="106"/>
        <v/>
      </c>
      <c r="L330" s="36" t="str">
        <f t="shared" si="99"/>
        <v/>
      </c>
      <c r="M330" s="102" t="str">
        <f t="shared" si="107"/>
        <v/>
      </c>
      <c r="N330" s="101" t="str">
        <f t="shared" si="108"/>
        <v/>
      </c>
      <c r="O330" s="94" t="str">
        <f t="shared" si="100"/>
        <v/>
      </c>
      <c r="P330" s="94" t="str">
        <f t="shared" si="115"/>
        <v/>
      </c>
      <c r="Q330" s="94" t="str">
        <f t="shared" si="116"/>
        <v/>
      </c>
      <c r="R330" s="90" t="str">
        <f t="shared" si="117"/>
        <v/>
      </c>
      <c r="S330" s="37" t="str">
        <f t="shared" si="109"/>
        <v/>
      </c>
      <c r="T330" s="176" t="str">
        <f>IF(L330="","",VLOOKUP(L330,classifications!C:K,9,FALSE))</f>
        <v/>
      </c>
      <c r="U330" s="183" t="str">
        <f t="shared" si="101"/>
        <v/>
      </c>
      <c r="V330" s="184" t="str">
        <f>IF(U330="","",IF($I$8="A",(RANK(U330,U$11:U$368)+COUNTIF(U$11:U330,U330)-1),(RANK(U330,U$11:U$368,1)+COUNTIF(U$11:U330,U330)-1)))</f>
        <v/>
      </c>
      <c r="W330" s="185"/>
      <c r="X330" s="38" t="str">
        <f>IF(L330="","",VLOOKUP($L330,classifications!$C:$J,6,FALSE))</f>
        <v/>
      </c>
      <c r="Y330" s="26" t="str">
        <f t="shared" si="102"/>
        <v/>
      </c>
      <c r="Z330" s="34" t="str">
        <f>IF(Y330="","",IF(I$8="A",(RANK(Y330,Y$11:Y$368,1)+COUNTIF(Y$11:Y330,Y330)-1),(RANK(Y330,Y$11:Y$368)+COUNTIF(Y$11:Y330,Y330)-1)))</f>
        <v/>
      </c>
      <c r="AA330" s="188" t="str">
        <f>IF(L330="","",VLOOKUP($L330,classifications!C:I,7,FALSE))</f>
        <v/>
      </c>
      <c r="AB330" s="184" t="str">
        <f t="shared" si="110"/>
        <v/>
      </c>
      <c r="AC330" s="184" t="str">
        <f>IF(AB330="","",IF($I$8="A",(RANK(AB330,AB$11:AB$368)+COUNTIF(AB$11:AB330,AB330)-1),(RANK(AB330,AB$11:AB$368,1)+COUNTIF(AB$11:AB330,AB330)-1)))</f>
        <v/>
      </c>
      <c r="AD330" s="184"/>
      <c r="AE330" s="28" t="str">
        <f t="shared" si="119"/>
        <v/>
      </c>
      <c r="AG330" s="96"/>
      <c r="AH330" s="29"/>
      <c r="AI330" s="38" t="str">
        <f>IF(L330="","",VLOOKUP($L330,classifications!$C:$J,8,FALSE))</f>
        <v/>
      </c>
      <c r="AJ330" s="39" t="str">
        <f t="shared" si="103"/>
        <v/>
      </c>
      <c r="AK330" s="34" t="str">
        <f>IF(AJ330="","",IF(I$8="A",(RANK(AJ330,AJ$11:AJ$368,1)+COUNTIF(AJ$11:AJ330,AJ330)-1),(RANK(AJ330,AJ$11:AJ$368)+COUNTIF(AJ$11:AJ330,AJ330)-1)))</f>
        <v/>
      </c>
      <c r="AL330" s="29" t="str">
        <f t="shared" si="111"/>
        <v/>
      </c>
      <c r="AM330" s="8" t="str">
        <f t="shared" si="104"/>
        <v/>
      </c>
      <c r="AN330" s="8" t="str">
        <f t="shared" si="112"/>
        <v/>
      </c>
      <c r="AP330" s="38" t="str">
        <f>IF(L330="","",VLOOKUP($L330,classifications!$C:$E,3,FALSE))</f>
        <v/>
      </c>
      <c r="AQ330" s="39" t="str">
        <f t="shared" si="113"/>
        <v/>
      </c>
      <c r="AR330" s="34" t="str">
        <f>IF(AQ330="","",IF(I$8="A",(RANK(AQ330,AQ$11:AQ$368,1)+COUNTIF(AQ$11:AQ330,AQ330)-1),(RANK(AQ330,AQ$11:AQ$368)+COUNTIF(AQ$11:AQ330,AQ330)-1)))</f>
        <v/>
      </c>
      <c r="AS330" s="29" t="str">
        <f t="shared" si="114"/>
        <v/>
      </c>
      <c r="AT330" s="34" t="str">
        <f t="shared" si="105"/>
        <v/>
      </c>
      <c r="AU330" s="39" t="str">
        <f t="shared" si="118"/>
        <v/>
      </c>
      <c r="AX330" s="21">
        <f>HLOOKUP($AX$9&amp;$AX$10,Data!$A$1:$ZZ$2000,(MATCH($C330,Data!$A$1:$A$2000,0)),FALSE)</f>
        <v>70.868483474737857</v>
      </c>
      <c r="AY330" s="103"/>
      <c r="AZ330" s="21"/>
    </row>
    <row r="331" spans="1:52">
      <c r="A331" s="56" t="str">
        <f>$D$1&amp;321</f>
        <v>SD321</v>
      </c>
      <c r="B331" s="57">
        <f>IF(ISERROR(VLOOKUP(A331,classifications!A:C,3,FALSE)),0,VLOOKUP(A331,classifications!A:C,3,FALSE))</f>
        <v>0</v>
      </c>
      <c r="C331" s="8" t="s">
        <v>220</v>
      </c>
      <c r="D331" s="26" t="str">
        <f>VLOOKUP($C331,classifications!$C:$J,4,FALSE)</f>
        <v>L</v>
      </c>
      <c r="E331" s="26">
        <f>VLOOKUP(C331,classifications!C:K,9,FALSE)</f>
        <v>0</v>
      </c>
      <c r="F331" s="36">
        <f t="shared" ref="F331:F368" si="120">HLOOKUP($D$6,AX$10:ZX$368,ROW()-9,FALSE)</f>
        <v>79.725100868296252</v>
      </c>
      <c r="G331" s="71"/>
      <c r="H331" s="37" t="str">
        <f t="shared" ref="H331:H368" si="121">IF(D331=$D$1,HLOOKUP($D$6,$AX$10:$ZZ$368,ROW()-9,FALSE),"")</f>
        <v/>
      </c>
      <c r="I331" s="77" t="str">
        <f>IF(H331="","",IF($I$8="A",(RANK(H331,H$11:H$368,1)+COUNTIF(H$11:H331,H331)-1),(RANK(H331,H$11:H$368)+COUNTIF(H$11:H331,H331)-1)))</f>
        <v/>
      </c>
      <c r="J331" s="35"/>
      <c r="K331" s="28" t="str">
        <f t="shared" si="106"/>
        <v/>
      </c>
      <c r="L331" s="36" t="str">
        <f t="shared" ref="L331:L394" si="122">IF(K331="","",INDEX(C$11:C$368,MATCH(K331,I$11:I$368,0)))</f>
        <v/>
      </c>
      <c r="M331" s="102" t="str">
        <f t="shared" si="107"/>
        <v/>
      </c>
      <c r="N331" s="101" t="str">
        <f t="shared" si="108"/>
        <v/>
      </c>
      <c r="O331" s="94" t="str">
        <f t="shared" ref="O331:O363" si="123">IF(I$8="A",IF(N331&gt;=$P$7,IF(N331&lt;=$O$10,N331,""),""),IF(N331&lt;=$P$7,IF(N331&gt;=$O$10,N331,""),""))</f>
        <v/>
      </c>
      <c r="P331" s="94" t="str">
        <f t="shared" si="115"/>
        <v/>
      </c>
      <c r="Q331" s="94" t="str">
        <f t="shared" si="116"/>
        <v/>
      </c>
      <c r="R331" s="90" t="str">
        <f t="shared" si="117"/>
        <v/>
      </c>
      <c r="S331" s="37" t="str">
        <f t="shared" si="109"/>
        <v/>
      </c>
      <c r="T331" s="176" t="str">
        <f>IF(L331="","",VLOOKUP(L331,classifications!C:K,9,FALSE))</f>
        <v/>
      </c>
      <c r="U331" s="183" t="str">
        <f t="shared" ref="U331:U363" si="124">IF(T331="Sparse",M331,"")</f>
        <v/>
      </c>
      <c r="V331" s="184" t="str">
        <f>IF(U331="","",IF($I$8="A",(RANK(U331,U$11:U$368)+COUNTIF(U$11:U331,U331)-1),(RANK(U331,U$11:U$368,1)+COUNTIF(U$11:U331,U331)-1)))</f>
        <v/>
      </c>
      <c r="W331" s="185"/>
      <c r="X331" s="38" t="str">
        <f>IF(L331="","",VLOOKUP($L331,classifications!$C:$J,6,FALSE))</f>
        <v/>
      </c>
      <c r="Y331" s="26" t="str">
        <f t="shared" ref="Y331:Y363" si="125">IF($D$1="UA",IF(X331="Largely Rural (rural including hub towns 50-79%) ",M331,IF(X331="Mainly Rural (rural including hub towns &gt;=80%) ",M331,IF(X331="Urban with Significant Rural (rural including hub towns 26-49%)",M331,""))),IF($D$1="SD",IF(X331=$H$3,M331,"")))</f>
        <v/>
      </c>
      <c r="Z331" s="34" t="str">
        <f>IF(Y331="","",IF(I$8="A",(RANK(Y331,Y$11:Y$368,1)+COUNTIF(Y$11:Y331,Y331)-1),(RANK(Y331,Y$11:Y$368)+COUNTIF(Y$11:Y331,Y331)-1)))</f>
        <v/>
      </c>
      <c r="AA331" s="188" t="str">
        <f>IF(L331="","",VLOOKUP($L331,classifications!C:I,7,FALSE))</f>
        <v/>
      </c>
      <c r="AB331" s="184" t="str">
        <f t="shared" si="110"/>
        <v/>
      </c>
      <c r="AC331" s="184" t="str">
        <f>IF(AB331="","",IF($I$8="A",(RANK(AB331,AB$11:AB$368)+COUNTIF(AB$11:AB331,AB331)-1),(RANK(AB331,AB$11:AB$368,1)+COUNTIF(AB$11:AB331,AB331)-1)))</f>
        <v/>
      </c>
      <c r="AD331" s="184"/>
      <c r="AE331" s="28" t="str">
        <f t="shared" si="119"/>
        <v/>
      </c>
      <c r="AG331" s="96"/>
      <c r="AH331" s="29"/>
      <c r="AI331" s="38" t="str">
        <f>IF(L331="","",VLOOKUP($L331,classifications!$C:$J,8,FALSE))</f>
        <v/>
      </c>
      <c r="AJ331" s="39" t="str">
        <f t="shared" ref="AJ331:AJ363" si="126">IF(AI331=$I$3,M331,"")</f>
        <v/>
      </c>
      <c r="AK331" s="34" t="str">
        <f>IF(AJ331="","",IF(I$8="A",(RANK(AJ331,AJ$11:AJ$368,1)+COUNTIF(AJ$11:AJ331,AJ331)-1),(RANK(AJ331,AJ$11:AJ$368)+COUNTIF(AJ$11:AJ331,AJ331)-1)))</f>
        <v/>
      </c>
      <c r="AL331" s="29" t="str">
        <f t="shared" si="111"/>
        <v/>
      </c>
      <c r="AM331" s="8" t="str">
        <f t="shared" ref="AM331:AM394" si="127">IF(ISNA(IF(AL331="","",INDEX(L$11:L$368,MATCH(AL331,AK$11:AK$368,0)))),"",(IF(AL331="","",INDEX(L$11:L$368,MATCH(AL331,AK$11:AK$368,0)))))</f>
        <v/>
      </c>
      <c r="AN331" s="8" t="str">
        <f t="shared" si="112"/>
        <v/>
      </c>
      <c r="AP331" s="38" t="str">
        <f>IF(L331="","",VLOOKUP($L331,classifications!$C:$E,3,FALSE))</f>
        <v/>
      </c>
      <c r="AQ331" s="39" t="str">
        <f t="shared" si="113"/>
        <v/>
      </c>
      <c r="AR331" s="34" t="str">
        <f>IF(AQ331="","",IF(I$8="A",(RANK(AQ331,AQ$11:AQ$368,1)+COUNTIF(AQ$11:AQ331,AQ331)-1),(RANK(AQ331,AQ$11:AQ$368)+COUNTIF(AQ$11:AQ331,AQ331)-1)))</f>
        <v/>
      </c>
      <c r="AS331" s="29" t="str">
        <f t="shared" si="114"/>
        <v/>
      </c>
      <c r="AT331" s="34" t="str">
        <f t="shared" ref="AT331:AT394" si="128">IF(AS331="","",INDEX(L$11:L$368,MATCH(AS331,AR$11:AR$368,0)))</f>
        <v/>
      </c>
      <c r="AU331" s="39" t="str">
        <f t="shared" si="118"/>
        <v/>
      </c>
      <c r="AX331" s="21">
        <f>HLOOKUP($AX$9&amp;$AX$10,Data!$A$1:$ZZ$2000,(MATCH($C331,Data!$A$1:$A$2000,0)),FALSE)</f>
        <v>79.725100868296252</v>
      </c>
      <c r="AY331" s="103"/>
      <c r="AZ331" s="21"/>
    </row>
    <row r="332" spans="1:52">
      <c r="A332" s="56" t="str">
        <f>$D$1&amp;322</f>
        <v>SD322</v>
      </c>
      <c r="B332" s="57">
        <f>IF(ISERROR(VLOOKUP(A332,classifications!A:C,3,FALSE)),0,VLOOKUP(A332,classifications!A:C,3,FALSE))</f>
        <v>0</v>
      </c>
      <c r="C332" s="8" t="s">
        <v>221</v>
      </c>
      <c r="D332" s="26" t="str">
        <f>VLOOKUP($C332,classifications!$C:$J,4,FALSE)</f>
        <v>L</v>
      </c>
      <c r="E332" s="26">
        <f>VLOOKUP(C332,classifications!C:K,9,FALSE)</f>
        <v>0</v>
      </c>
      <c r="F332" s="36">
        <f t="shared" si="120"/>
        <v>89.508977226935258</v>
      </c>
      <c r="G332" s="71"/>
      <c r="H332" s="37" t="str">
        <f t="shared" si="121"/>
        <v/>
      </c>
      <c r="I332" s="77" t="str">
        <f>IF(H332="","",IF($I$8="A",(RANK(H332,H$11:H$368,1)+COUNTIF(H$11:H332,H332)-1),(RANK(H332,H$11:H$368)+COUNTIF(H$11:H332,H332)-1)))</f>
        <v/>
      </c>
      <c r="J332" s="35"/>
      <c r="K332" s="28" t="str">
        <f t="shared" ref="K332:K368" si="129">IF(K331="","",IF(K331+1&gt;(COUNT(H$11:H$368)),"",K331+1))</f>
        <v/>
      </c>
      <c r="L332" s="36" t="str">
        <f t="shared" si="122"/>
        <v/>
      </c>
      <c r="M332" s="102" t="str">
        <f t="shared" ref="M332:M363" si="130">IF(L332="","",IF(VLOOKUP(L332,C:D,2,FALSE)=$F$3,VLOOKUP(L332,C:H,6,FALSE),""))</f>
        <v/>
      </c>
      <c r="N332" s="101" t="str">
        <f t="shared" ref="N332:N363" si="131">IF(L332="","",IF($H$8="%%",M332*100,M332))</f>
        <v/>
      </c>
      <c r="O332" s="94" t="str">
        <f t="shared" si="123"/>
        <v/>
      </c>
      <c r="P332" s="94" t="str">
        <f t="shared" si="115"/>
        <v/>
      </c>
      <c r="Q332" s="94" t="str">
        <f t="shared" si="116"/>
        <v/>
      </c>
      <c r="R332" s="90" t="str">
        <f t="shared" si="117"/>
        <v/>
      </c>
      <c r="S332" s="37" t="str">
        <f t="shared" ref="S332:S363" si="132">IF(L332=D$3,"u","")</f>
        <v/>
      </c>
      <c r="T332" s="176" t="str">
        <f>IF(L332="","",VLOOKUP(L332,classifications!C:K,9,FALSE))</f>
        <v/>
      </c>
      <c r="U332" s="183" t="str">
        <f t="shared" si="124"/>
        <v/>
      </c>
      <c r="V332" s="184" t="str">
        <f>IF(U332="","",IF($I$8="A",(RANK(U332,U$11:U$368)+COUNTIF(U$11:U332,U332)-1),(RANK(U332,U$11:U$368,1)+COUNTIF(U$11:U332,U332)-1)))</f>
        <v/>
      </c>
      <c r="W332" s="185"/>
      <c r="X332" s="38" t="str">
        <f>IF(L332="","",VLOOKUP($L332,classifications!$C:$J,6,FALSE))</f>
        <v/>
      </c>
      <c r="Y332" s="26" t="str">
        <f t="shared" si="125"/>
        <v/>
      </c>
      <c r="Z332" s="34" t="str">
        <f>IF(Y332="","",IF(I$8="A",(RANK(Y332,Y$11:Y$368,1)+COUNTIF(Y$11:Y332,Y332)-1),(RANK(Y332,Y$11:Y$368)+COUNTIF(Y$11:Y332,Y332)-1)))</f>
        <v/>
      </c>
      <c r="AA332" s="188" t="str">
        <f>IF(L332="","",VLOOKUP($L332,classifications!C:I,7,FALSE))</f>
        <v/>
      </c>
      <c r="AB332" s="184" t="str">
        <f t="shared" ref="AB332:AB363" si="133">IF(AA332=$J$3,M332,"")</f>
        <v/>
      </c>
      <c r="AC332" s="184" t="str">
        <f>IF(AB332="","",IF($I$8="A",(RANK(AB332,AB$11:AB$368)+COUNTIF(AB$11:AB332,AB332)-1),(RANK(AB332,AB$11:AB$368,1)+COUNTIF(AB$11:AB332,AB332)-1)))</f>
        <v/>
      </c>
      <c r="AD332" s="184"/>
      <c r="AE332" s="28" t="str">
        <f t="shared" si="119"/>
        <v/>
      </c>
      <c r="AG332" s="96"/>
      <c r="AH332" s="29"/>
      <c r="AI332" s="38" t="str">
        <f>IF(L332="","",VLOOKUP($L332,classifications!$C:$J,8,FALSE))</f>
        <v/>
      </c>
      <c r="AJ332" s="39" t="str">
        <f t="shared" si="126"/>
        <v/>
      </c>
      <c r="AK332" s="34" t="str">
        <f>IF(AJ332="","",IF(I$8="A",(RANK(AJ332,AJ$11:AJ$368,1)+COUNTIF(AJ$11:AJ332,AJ332)-1),(RANK(AJ332,AJ$11:AJ$368)+COUNTIF(AJ$11:AJ332,AJ332)-1)))</f>
        <v/>
      </c>
      <c r="AL332" s="29" t="str">
        <f t="shared" ref="AL332:AL368" si="134">IF(AL331="","",IF(AL331+1&gt;(COUNT(AJ$11:AJ$368)),"",AL331+1))</f>
        <v/>
      </c>
      <c r="AM332" s="8" t="str">
        <f t="shared" si="127"/>
        <v/>
      </c>
      <c r="AN332" s="8" t="str">
        <f t="shared" ref="AN332:AN363" si="135">(VLOOKUP(AM332,L:M,2,FALSE))</f>
        <v/>
      </c>
      <c r="AP332" s="38" t="str">
        <f>IF(L332="","",VLOOKUP($L332,classifications!$C:$E,3,FALSE))</f>
        <v/>
      </c>
      <c r="AQ332" s="39" t="str">
        <f t="shared" ref="AQ332:AQ363" si="136">IF(AP332=$G$3,$M332,"")</f>
        <v/>
      </c>
      <c r="AR332" s="34" t="str">
        <f>IF(AQ332="","",IF(I$8="A",(RANK(AQ332,AQ$11:AQ$368,1)+COUNTIF(AQ$11:AQ332,AQ332)-1),(RANK(AQ332,AQ$11:AQ$368)+COUNTIF(AQ$11:AQ332,AQ332)-1)))</f>
        <v/>
      </c>
      <c r="AS332" s="29" t="str">
        <f t="shared" ref="AS332:AS368" si="137">IF(AS331="","",IF(AS331+1&gt;(COUNT(AQ$11:AQ$368)),"",AS331+1))</f>
        <v/>
      </c>
      <c r="AT332" s="34" t="str">
        <f t="shared" si="128"/>
        <v/>
      </c>
      <c r="AU332" s="39" t="str">
        <f t="shared" si="118"/>
        <v/>
      </c>
      <c r="AX332" s="21">
        <f>HLOOKUP($AX$9&amp;$AX$10,Data!$A$1:$ZZ$2000,(MATCH($C332,Data!$A$1:$A$2000,0)),FALSE)</f>
        <v>89.508977226935258</v>
      </c>
      <c r="AY332" s="103"/>
      <c r="AZ332" s="21"/>
    </row>
    <row r="333" spans="1:52">
      <c r="A333" s="56" t="str">
        <f>$D$1&amp;323</f>
        <v>SD323</v>
      </c>
      <c r="B333" s="57">
        <f>IF(ISERROR(VLOOKUP(A333,classifications!A:C,3,FALSE)),0,VLOOKUP(A333,classifications!A:C,3,FALSE))</f>
        <v>0</v>
      </c>
      <c r="C333" s="8" t="s">
        <v>295</v>
      </c>
      <c r="D333" s="26" t="str">
        <f>VLOOKUP($C333,classifications!$C:$J,4,FALSE)</f>
        <v>UA</v>
      </c>
      <c r="E333" s="26">
        <f>VLOOKUP(C333,classifications!C:K,9,FALSE)</f>
        <v>0</v>
      </c>
      <c r="F333" s="36">
        <f t="shared" si="120"/>
        <v>78.582427462898067</v>
      </c>
      <c r="G333" s="71"/>
      <c r="H333" s="37" t="str">
        <f t="shared" si="121"/>
        <v/>
      </c>
      <c r="I333" s="77" t="str">
        <f>IF(H333="","",IF($I$8="A",(RANK(H333,H$11:H$368,1)+COUNTIF(H$11:H333,H333)-1),(RANK(H333,H$11:H$368)+COUNTIF(H$11:H333,H333)-1)))</f>
        <v/>
      </c>
      <c r="J333" s="35"/>
      <c r="K333" s="28" t="str">
        <f t="shared" si="129"/>
        <v/>
      </c>
      <c r="L333" s="36" t="str">
        <f t="shared" si="122"/>
        <v/>
      </c>
      <c r="M333" s="102" t="str">
        <f t="shared" si="130"/>
        <v/>
      </c>
      <c r="N333" s="101" t="str">
        <f t="shared" si="131"/>
        <v/>
      </c>
      <c r="O333" s="94" t="str">
        <f t="shared" si="123"/>
        <v/>
      </c>
      <c r="P333" s="94" t="str">
        <f t="shared" ref="P333:P363" si="138">IF(I$8="A",IF(N333&gt;$O$10,IF(N333&lt;=$P$10,N333,""),""),IF(N333&lt;$O$10,IF(N333&gt;=$P$10,N333,""),""))</f>
        <v/>
      </c>
      <c r="Q333" s="94" t="str">
        <f t="shared" ref="Q333:Q363" si="139">IF(I$8="A",IF(N333&gt;$P$10,IF(N333&lt;=$Q$10,N333,""),""),IF(N333&lt;$P$10,IF(N333&gt;=$Q$10,N333,""),""))</f>
        <v/>
      </c>
      <c r="R333" s="90" t="str">
        <f t="shared" ref="R333:R363" si="140">IF(I$8="A",IF(N333&gt;$Q$10,N333,""),IF(N333&lt;$Q$10,N333,""))</f>
        <v/>
      </c>
      <c r="S333" s="37" t="str">
        <f t="shared" si="132"/>
        <v/>
      </c>
      <c r="T333" s="176" t="str">
        <f>IF(L333="","",VLOOKUP(L333,classifications!C:K,9,FALSE))</f>
        <v/>
      </c>
      <c r="U333" s="183" t="str">
        <f t="shared" si="124"/>
        <v/>
      </c>
      <c r="V333" s="184" t="str">
        <f>IF(U333="","",IF($I$8="A",(RANK(U333,U$11:U$368)+COUNTIF(U$11:U333,U333)-1),(RANK(U333,U$11:U$368,1)+COUNTIF(U$11:U333,U333)-1)))</f>
        <v/>
      </c>
      <c r="W333" s="185"/>
      <c r="X333" s="38" t="str">
        <f>IF(L333="","",VLOOKUP($L333,classifications!$C:$J,6,FALSE))</f>
        <v/>
      </c>
      <c r="Y333" s="26" t="str">
        <f t="shared" si="125"/>
        <v/>
      </c>
      <c r="Z333" s="34" t="str">
        <f>IF(Y333="","",IF(I$8="A",(RANK(Y333,Y$11:Y$368,1)+COUNTIF(Y$11:Y333,Y333)-1),(RANK(Y333,Y$11:Y$368)+COUNTIF(Y$11:Y333,Y333)-1)))</f>
        <v/>
      </c>
      <c r="AA333" s="188" t="str">
        <f>IF(L333="","",VLOOKUP($L333,classifications!C:I,7,FALSE))</f>
        <v/>
      </c>
      <c r="AB333" s="184" t="str">
        <f t="shared" si="133"/>
        <v/>
      </c>
      <c r="AC333" s="184" t="str">
        <f>IF(AB333="","",IF($I$8="A",(RANK(AB333,AB$11:AB$368)+COUNTIF(AB$11:AB333,AB333)-1),(RANK(AB333,AB$11:AB$368,1)+COUNTIF(AB$11:AB333,AB333)-1)))</f>
        <v/>
      </c>
      <c r="AD333" s="184"/>
      <c r="AE333" s="28" t="str">
        <f t="shared" si="119"/>
        <v/>
      </c>
      <c r="AG333" s="96"/>
      <c r="AH333" s="29"/>
      <c r="AI333" s="38" t="str">
        <f>IF(L333="","",VLOOKUP($L333,classifications!$C:$J,8,FALSE))</f>
        <v/>
      </c>
      <c r="AJ333" s="39" t="str">
        <f t="shared" si="126"/>
        <v/>
      </c>
      <c r="AK333" s="34" t="str">
        <f>IF(AJ333="","",IF(I$8="A",(RANK(AJ333,AJ$11:AJ$368,1)+COUNTIF(AJ$11:AJ333,AJ333)-1),(RANK(AJ333,AJ$11:AJ$368)+COUNTIF(AJ$11:AJ333,AJ333)-1)))</f>
        <v/>
      </c>
      <c r="AL333" s="29" t="str">
        <f t="shared" si="134"/>
        <v/>
      </c>
      <c r="AM333" s="8" t="str">
        <f t="shared" si="127"/>
        <v/>
      </c>
      <c r="AN333" s="8" t="str">
        <f t="shared" si="135"/>
        <v/>
      </c>
      <c r="AP333" s="38" t="str">
        <f>IF(L333="","",VLOOKUP($L333,classifications!$C:$E,3,FALSE))</f>
        <v/>
      </c>
      <c r="AQ333" s="39" t="str">
        <f t="shared" si="136"/>
        <v/>
      </c>
      <c r="AR333" s="34" t="str">
        <f>IF(AQ333="","",IF(I$8="A",(RANK(AQ333,AQ$11:AQ$368,1)+COUNTIF(AQ$11:AQ333,AQ333)-1),(RANK(AQ333,AQ$11:AQ$368)+COUNTIF(AQ$11:AQ333,AQ333)-1)))</f>
        <v/>
      </c>
      <c r="AS333" s="29" t="str">
        <f t="shared" si="137"/>
        <v/>
      </c>
      <c r="AT333" s="34" t="str">
        <f t="shared" si="128"/>
        <v/>
      </c>
      <c r="AU333" s="39" t="str">
        <f t="shared" si="118"/>
        <v/>
      </c>
      <c r="AX333" s="21">
        <f>HLOOKUP($AX$9&amp;$AX$10,Data!$A$1:$ZZ$2000,(MATCH($C333,Data!$A$1:$A$2000,0)),FALSE)</f>
        <v>78.582427462898067</v>
      </c>
      <c r="AY333" s="103"/>
      <c r="AZ333" s="21"/>
    </row>
    <row r="334" spans="1:52">
      <c r="A334" s="56" t="str">
        <f>$D$1&amp;324</f>
        <v>SD324</v>
      </c>
      <c r="B334" s="57">
        <f>IF(ISERROR(VLOOKUP(A334,classifications!A:C,3,FALSE)),0,VLOOKUP(A334,classifications!A:C,3,FALSE))</f>
        <v>0</v>
      </c>
      <c r="C334" s="8" t="s">
        <v>174</v>
      </c>
      <c r="D334" s="26" t="str">
        <f>VLOOKUP($C334,classifications!$C:$J,4,FALSE)</f>
        <v>SD</v>
      </c>
      <c r="E334" s="26">
        <f>VLOOKUP(C334,classifications!C:K,9,FALSE)</f>
        <v>0</v>
      </c>
      <c r="F334" s="36">
        <f t="shared" si="120"/>
        <v>78.278033490637441</v>
      </c>
      <c r="G334" s="71"/>
      <c r="H334" s="37">
        <f t="shared" si="121"/>
        <v>78.278033490637441</v>
      </c>
      <c r="I334" s="77">
        <f>IF(H334="","",IF($I$8="A",(RANK(H334,H$11:H$368,1)+COUNTIF(H$11:H334,H334)-1),(RANK(H334,H$11:H$368)+COUNTIF(H$11:H334,H334)-1)))</f>
        <v>150</v>
      </c>
      <c r="J334" s="35"/>
      <c r="K334" s="28" t="str">
        <f t="shared" si="129"/>
        <v/>
      </c>
      <c r="L334" s="36" t="str">
        <f t="shared" si="122"/>
        <v/>
      </c>
      <c r="M334" s="102" t="str">
        <f t="shared" si="130"/>
        <v/>
      </c>
      <c r="N334" s="101" t="str">
        <f t="shared" si="131"/>
        <v/>
      </c>
      <c r="O334" s="94" t="str">
        <f t="shared" si="123"/>
        <v/>
      </c>
      <c r="P334" s="94" t="str">
        <f t="shared" si="138"/>
        <v/>
      </c>
      <c r="Q334" s="94" t="str">
        <f t="shared" si="139"/>
        <v/>
      </c>
      <c r="R334" s="90" t="str">
        <f t="shared" si="140"/>
        <v/>
      </c>
      <c r="S334" s="37" t="str">
        <f t="shared" si="132"/>
        <v/>
      </c>
      <c r="T334" s="176" t="str">
        <f>IF(L334="","",VLOOKUP(L334,classifications!C:K,9,FALSE))</f>
        <v/>
      </c>
      <c r="U334" s="183" t="str">
        <f t="shared" si="124"/>
        <v/>
      </c>
      <c r="V334" s="184" t="str">
        <f>IF(U334="","",IF($I$8="A",(RANK(U334,U$11:U$368)+COUNTIF(U$11:U334,U334)-1),(RANK(U334,U$11:U$368,1)+COUNTIF(U$11:U334,U334)-1)))</f>
        <v/>
      </c>
      <c r="W334" s="185"/>
      <c r="X334" s="38" t="str">
        <f>IF(L334="","",VLOOKUP($L334,classifications!$C:$J,6,FALSE))</f>
        <v/>
      </c>
      <c r="Y334" s="26" t="str">
        <f t="shared" si="125"/>
        <v/>
      </c>
      <c r="Z334" s="34" t="str">
        <f>IF(Y334="","",IF(I$8="A",(RANK(Y334,Y$11:Y$368,1)+COUNTIF(Y$11:Y334,Y334)-1),(RANK(Y334,Y$11:Y$368)+COUNTIF(Y$11:Y334,Y334)-1)))</f>
        <v/>
      </c>
      <c r="AA334" s="188" t="str">
        <f>IF(L334="","",VLOOKUP($L334,classifications!C:I,7,FALSE))</f>
        <v/>
      </c>
      <c r="AB334" s="184" t="str">
        <f t="shared" si="133"/>
        <v/>
      </c>
      <c r="AC334" s="184" t="str">
        <f>IF(AB334="","",IF($I$8="A",(RANK(AB334,AB$11:AB$368)+COUNTIF(AB$11:AB334,AB334)-1),(RANK(AB334,AB$11:AB$368,1)+COUNTIF(AB$11:AB334,AB334)-1)))</f>
        <v/>
      </c>
      <c r="AD334" s="184"/>
      <c r="AE334" s="28" t="str">
        <f t="shared" si="119"/>
        <v/>
      </c>
      <c r="AG334" s="96"/>
      <c r="AH334" s="29"/>
      <c r="AI334" s="38" t="str">
        <f>IF(L334="","",VLOOKUP($L334,classifications!$C:$J,8,FALSE))</f>
        <v/>
      </c>
      <c r="AJ334" s="39" t="str">
        <f t="shared" si="126"/>
        <v/>
      </c>
      <c r="AK334" s="34" t="str">
        <f>IF(AJ334="","",IF(I$8="A",(RANK(AJ334,AJ$11:AJ$368,1)+COUNTIF(AJ$11:AJ334,AJ334)-1),(RANK(AJ334,AJ$11:AJ$368)+COUNTIF(AJ$11:AJ334,AJ334)-1)))</f>
        <v/>
      </c>
      <c r="AL334" s="29" t="str">
        <f t="shared" si="134"/>
        <v/>
      </c>
      <c r="AM334" s="8" t="str">
        <f t="shared" si="127"/>
        <v/>
      </c>
      <c r="AN334" s="8" t="str">
        <f t="shared" si="135"/>
        <v/>
      </c>
      <c r="AP334" s="38" t="str">
        <f>IF(L334="","",VLOOKUP($L334,classifications!$C:$E,3,FALSE))</f>
        <v/>
      </c>
      <c r="AQ334" s="39" t="str">
        <f t="shared" si="136"/>
        <v/>
      </c>
      <c r="AR334" s="34" t="str">
        <f>IF(AQ334="","",IF(I$8="A",(RANK(AQ334,AQ$11:AQ$368,1)+COUNTIF(AQ$11:AQ334,AQ334)-1),(RANK(AQ334,AQ$11:AQ$368)+COUNTIF(AQ$11:AQ334,AQ334)-1)))</f>
        <v/>
      </c>
      <c r="AS334" s="29" t="str">
        <f t="shared" si="137"/>
        <v/>
      </c>
      <c r="AT334" s="34" t="str">
        <f t="shared" si="128"/>
        <v/>
      </c>
      <c r="AU334" s="39" t="str">
        <f t="shared" si="118"/>
        <v/>
      </c>
      <c r="AX334" s="21">
        <f>HLOOKUP($AX$9&amp;$AX$10,Data!$A$1:$ZZ$2000,(MATCH($C334,Data!$A$1:$A$2000,0)),FALSE)</f>
        <v>78.278033490637441</v>
      </c>
      <c r="AY334" s="103"/>
      <c r="AZ334" s="21"/>
    </row>
    <row r="335" spans="1:52">
      <c r="A335" s="56" t="str">
        <f>$D$1&amp;325</f>
        <v>SD325</v>
      </c>
      <c r="B335" s="57">
        <f>IF(ISERROR(VLOOKUP(A335,classifications!A:C,3,FALSE)),0,VLOOKUP(A335,classifications!A:C,3,FALSE))</f>
        <v>0</v>
      </c>
      <c r="C335" s="8" t="s">
        <v>330</v>
      </c>
      <c r="D335" s="26" t="str">
        <f>VLOOKUP($C335,classifications!$C:$J,4,FALSE)</f>
        <v>SC</v>
      </c>
      <c r="E335" s="26" t="str">
        <f>VLOOKUP(C335,classifications!C:K,9,FALSE)</f>
        <v>Sparse</v>
      </c>
      <c r="F335" s="36">
        <f t="shared" si="120"/>
        <v>76.543581719686102</v>
      </c>
      <c r="G335" s="71"/>
      <c r="H335" s="37" t="str">
        <f t="shared" si="121"/>
        <v/>
      </c>
      <c r="I335" s="77" t="str">
        <f>IF(H335="","",IF($I$8="A",(RANK(H335,H$11:H$368,1)+COUNTIF(H$11:H335,H335)-1),(RANK(H335,H$11:H$368)+COUNTIF(H$11:H335,H335)-1)))</f>
        <v/>
      </c>
      <c r="J335" s="35"/>
      <c r="K335" s="28" t="str">
        <f t="shared" si="129"/>
        <v/>
      </c>
      <c r="L335" s="36" t="str">
        <f t="shared" si="122"/>
        <v/>
      </c>
      <c r="M335" s="102" t="str">
        <f t="shared" si="130"/>
        <v/>
      </c>
      <c r="N335" s="101" t="str">
        <f t="shared" si="131"/>
        <v/>
      </c>
      <c r="O335" s="94" t="str">
        <f t="shared" si="123"/>
        <v/>
      </c>
      <c r="P335" s="94" t="str">
        <f t="shared" si="138"/>
        <v/>
      </c>
      <c r="Q335" s="94" t="str">
        <f t="shared" si="139"/>
        <v/>
      </c>
      <c r="R335" s="90" t="str">
        <f t="shared" si="140"/>
        <v/>
      </c>
      <c r="S335" s="37" t="str">
        <f t="shared" si="132"/>
        <v/>
      </c>
      <c r="T335" s="176" t="str">
        <f>IF(L335="","",VLOOKUP(L335,classifications!C:K,9,FALSE))</f>
        <v/>
      </c>
      <c r="U335" s="183" t="str">
        <f t="shared" si="124"/>
        <v/>
      </c>
      <c r="V335" s="184" t="str">
        <f>IF(U335="","",IF($I$8="A",(RANK(U335,U$11:U$368)+COUNTIF(U$11:U335,U335)-1),(RANK(U335,U$11:U$368,1)+COUNTIF(U$11:U335,U335)-1)))</f>
        <v/>
      </c>
      <c r="W335" s="185"/>
      <c r="X335" s="38" t="str">
        <f>IF(L335="","",VLOOKUP($L335,classifications!$C:$J,6,FALSE))</f>
        <v/>
      </c>
      <c r="Y335" s="26" t="str">
        <f t="shared" si="125"/>
        <v/>
      </c>
      <c r="Z335" s="34" t="str">
        <f>IF(Y335="","",IF(I$8="A",(RANK(Y335,Y$11:Y$368,1)+COUNTIF(Y$11:Y335,Y335)-1),(RANK(Y335,Y$11:Y$368)+COUNTIF(Y$11:Y335,Y335)-1)))</f>
        <v/>
      </c>
      <c r="AA335" s="188" t="str">
        <f>IF(L335="","",VLOOKUP($L335,classifications!C:I,7,FALSE))</f>
        <v/>
      </c>
      <c r="AB335" s="184" t="str">
        <f t="shared" si="133"/>
        <v/>
      </c>
      <c r="AC335" s="184" t="str">
        <f>IF(AB335="","",IF($I$8="A",(RANK(AB335,AB$11:AB$368)+COUNTIF(AB$11:AB335,AB335)-1),(RANK(AB335,AB$11:AB$368,1)+COUNTIF(AB$11:AB335,AB335)-1)))</f>
        <v/>
      </c>
      <c r="AD335" s="184"/>
      <c r="AE335" s="28" t="str">
        <f t="shared" si="119"/>
        <v/>
      </c>
      <c r="AG335" s="96"/>
      <c r="AH335" s="29"/>
      <c r="AI335" s="38" t="str">
        <f>IF(L335="","",VLOOKUP($L335,classifications!$C:$J,8,FALSE))</f>
        <v/>
      </c>
      <c r="AJ335" s="39" t="str">
        <f t="shared" si="126"/>
        <v/>
      </c>
      <c r="AK335" s="34" t="str">
        <f>IF(AJ335="","",IF(I$8="A",(RANK(AJ335,AJ$11:AJ$368,1)+COUNTIF(AJ$11:AJ335,AJ335)-1),(RANK(AJ335,AJ$11:AJ$368)+COUNTIF(AJ$11:AJ335,AJ335)-1)))</f>
        <v/>
      </c>
      <c r="AL335" s="29" t="str">
        <f t="shared" si="134"/>
        <v/>
      </c>
      <c r="AM335" s="8" t="str">
        <f t="shared" si="127"/>
        <v/>
      </c>
      <c r="AN335" s="8" t="str">
        <f t="shared" si="135"/>
        <v/>
      </c>
      <c r="AP335" s="38" t="str">
        <f>IF(L335="","",VLOOKUP($L335,classifications!$C:$E,3,FALSE))</f>
        <v/>
      </c>
      <c r="AQ335" s="39" t="str">
        <f t="shared" si="136"/>
        <v/>
      </c>
      <c r="AR335" s="34" t="str">
        <f>IF(AQ335="","",IF(I$8="A",(RANK(AQ335,AQ$11:AQ$368,1)+COUNTIF(AQ$11:AQ335,AQ335)-1),(RANK(AQ335,AQ$11:AQ$368)+COUNTIF(AQ$11:AQ335,AQ335)-1)))</f>
        <v/>
      </c>
      <c r="AS335" s="29" t="str">
        <f t="shared" si="137"/>
        <v/>
      </c>
      <c r="AT335" s="34" t="str">
        <f t="shared" si="128"/>
        <v/>
      </c>
      <c r="AU335" s="39" t="str">
        <f t="shared" si="118"/>
        <v/>
      </c>
      <c r="AX335" s="21">
        <f>HLOOKUP($AX$9&amp;$AX$10,Data!$A$1:$ZZ$2000,(MATCH($C335,Data!$A$1:$A$2000,0)),FALSE)</f>
        <v>76.543581719686102</v>
      </c>
      <c r="AY335" s="103"/>
      <c r="AZ335" s="21"/>
    </row>
    <row r="336" spans="1:52">
      <c r="A336" s="56" t="str">
        <f>$D$1&amp;326</f>
        <v>SD326</v>
      </c>
      <c r="B336" s="57">
        <f>IF(ISERROR(VLOOKUP(A336,classifications!A:C,3,FALSE)),0,VLOOKUP(A336,classifications!A:C,3,FALSE))</f>
        <v>0</v>
      </c>
      <c r="C336" s="8" t="s">
        <v>175</v>
      </c>
      <c r="D336" s="26" t="str">
        <f>VLOOKUP($C336,classifications!$C:$J,4,FALSE)</f>
        <v>SD</v>
      </c>
      <c r="E336" s="26">
        <f>VLOOKUP(C336,classifications!C:K,9,FALSE)</f>
        <v>0</v>
      </c>
      <c r="F336" s="36">
        <f t="shared" si="120"/>
        <v>79.921381954611164</v>
      </c>
      <c r="G336" s="71"/>
      <c r="H336" s="37">
        <f t="shared" si="121"/>
        <v>79.921381954611164</v>
      </c>
      <c r="I336" s="77">
        <f>IF(H336="","",IF($I$8="A",(RANK(H336,H$11:H$368,1)+COUNTIF(H$11:H336,H336)-1),(RANK(H336,H$11:H$368)+COUNTIF(H$11:H336,H336)-1)))</f>
        <v>117</v>
      </c>
      <c r="J336" s="35"/>
      <c r="K336" s="28" t="str">
        <f t="shared" si="129"/>
        <v/>
      </c>
      <c r="L336" s="36" t="str">
        <f t="shared" si="122"/>
        <v/>
      </c>
      <c r="M336" s="102" t="str">
        <f t="shared" si="130"/>
        <v/>
      </c>
      <c r="N336" s="101" t="str">
        <f t="shared" si="131"/>
        <v/>
      </c>
      <c r="O336" s="94" t="str">
        <f t="shared" si="123"/>
        <v/>
      </c>
      <c r="P336" s="94" t="str">
        <f t="shared" si="138"/>
        <v/>
      </c>
      <c r="Q336" s="94" t="str">
        <f t="shared" si="139"/>
        <v/>
      </c>
      <c r="R336" s="90" t="str">
        <f t="shared" si="140"/>
        <v/>
      </c>
      <c r="S336" s="37" t="str">
        <f t="shared" si="132"/>
        <v/>
      </c>
      <c r="T336" s="176" t="str">
        <f>IF(L336="","",VLOOKUP(L336,classifications!C:K,9,FALSE))</f>
        <v/>
      </c>
      <c r="U336" s="183" t="str">
        <f t="shared" si="124"/>
        <v/>
      </c>
      <c r="V336" s="184" t="str">
        <f>IF(U336="","",IF($I$8="A",(RANK(U336,U$11:U$368)+COUNTIF(U$11:U336,U336)-1),(RANK(U336,U$11:U$368,1)+COUNTIF(U$11:U336,U336)-1)))</f>
        <v/>
      </c>
      <c r="W336" s="185"/>
      <c r="X336" s="38" t="str">
        <f>IF(L336="","",VLOOKUP($L336,classifications!$C:$J,6,FALSE))</f>
        <v/>
      </c>
      <c r="Y336" s="26" t="str">
        <f t="shared" si="125"/>
        <v/>
      </c>
      <c r="Z336" s="34" t="str">
        <f>IF(Y336="","",IF(I$8="A",(RANK(Y336,Y$11:Y$368,1)+COUNTIF(Y$11:Y336,Y336)-1),(RANK(Y336,Y$11:Y$368)+COUNTIF(Y$11:Y336,Y336)-1)))</f>
        <v/>
      </c>
      <c r="AA336" s="188" t="str">
        <f>IF(L336="","",VLOOKUP($L336,classifications!C:I,7,FALSE))</f>
        <v/>
      </c>
      <c r="AB336" s="184" t="str">
        <f t="shared" si="133"/>
        <v/>
      </c>
      <c r="AC336" s="184" t="str">
        <f>IF(AB336="","",IF($I$8="A",(RANK(AB336,AB$11:AB$368)+COUNTIF(AB$11:AB336,AB336)-1),(RANK(AB336,AB$11:AB$368,1)+COUNTIF(AB$11:AB336,AB336)-1)))</f>
        <v/>
      </c>
      <c r="AD336" s="184"/>
      <c r="AE336" s="28" t="str">
        <f t="shared" si="119"/>
        <v/>
      </c>
      <c r="AG336" s="96"/>
      <c r="AH336" s="29"/>
      <c r="AI336" s="38" t="str">
        <f>IF(L336="","",VLOOKUP($L336,classifications!$C:$J,8,FALSE))</f>
        <v/>
      </c>
      <c r="AJ336" s="39" t="str">
        <f t="shared" si="126"/>
        <v/>
      </c>
      <c r="AK336" s="34" t="str">
        <f>IF(AJ336="","",IF(I$8="A",(RANK(AJ336,AJ$11:AJ$368,1)+COUNTIF(AJ$11:AJ336,AJ336)-1),(RANK(AJ336,AJ$11:AJ$368)+COUNTIF(AJ$11:AJ336,AJ336)-1)))</f>
        <v/>
      </c>
      <c r="AL336" s="29" t="str">
        <f t="shared" si="134"/>
        <v/>
      </c>
      <c r="AM336" s="8" t="str">
        <f t="shared" si="127"/>
        <v/>
      </c>
      <c r="AN336" s="8" t="str">
        <f t="shared" si="135"/>
        <v/>
      </c>
      <c r="AP336" s="38" t="str">
        <f>IF(L336="","",VLOOKUP($L336,classifications!$C:$E,3,FALSE))</f>
        <v/>
      </c>
      <c r="AQ336" s="39" t="str">
        <f t="shared" si="136"/>
        <v/>
      </c>
      <c r="AR336" s="34" t="str">
        <f>IF(AQ336="","",IF(I$8="A",(RANK(AQ336,AQ$11:AQ$368,1)+COUNTIF(AQ$11:AQ336,AQ336)-1),(RANK(AQ336,AQ$11:AQ$368)+COUNTIF(AQ$11:AQ336,AQ336)-1)))</f>
        <v/>
      </c>
      <c r="AS336" s="29" t="str">
        <f t="shared" si="137"/>
        <v/>
      </c>
      <c r="AT336" s="34" t="str">
        <f t="shared" si="128"/>
        <v/>
      </c>
      <c r="AU336" s="39" t="str">
        <f t="shared" si="118"/>
        <v/>
      </c>
      <c r="AX336" s="21">
        <f>HLOOKUP($AX$9&amp;$AX$10,Data!$A$1:$ZZ$2000,(MATCH($C336,Data!$A$1:$A$2000,0)),FALSE)</f>
        <v>79.921381954611164</v>
      </c>
      <c r="AY336" s="103"/>
      <c r="AZ336" s="21"/>
    </row>
    <row r="337" spans="1:52">
      <c r="A337" s="56" t="str">
        <f>$D$1&amp;327</f>
        <v>SD327</v>
      </c>
      <c r="B337" s="57">
        <f>IF(ISERROR(VLOOKUP(A337,classifications!A:C,3,FALSE)),0,VLOOKUP(A337,classifications!A:C,3,FALSE))</f>
        <v>0</v>
      </c>
      <c r="C337" s="8" t="s">
        <v>176</v>
      </c>
      <c r="D337" s="26" t="str">
        <f>VLOOKUP($C337,classifications!$C:$J,4,FALSE)</f>
        <v>SD</v>
      </c>
      <c r="E337" s="26" t="str">
        <f>VLOOKUP(C337,classifications!C:K,9,FALSE)</f>
        <v>Sparse</v>
      </c>
      <c r="F337" s="36" t="str">
        <f t="shared" si="120"/>
        <v>-</v>
      </c>
      <c r="G337" s="71"/>
      <c r="H337" s="37" t="str">
        <f t="shared" si="121"/>
        <v>-</v>
      </c>
      <c r="I337" s="77" t="e">
        <f>IF(H337="","",IF($I$8="A",(RANK(H337,H$11:H$368,1)+COUNTIF(H$11:H337,H337)-1),(RANK(H337,H$11:H$368)+COUNTIF(H$11:H337,H337)-1)))</f>
        <v>#VALUE!</v>
      </c>
      <c r="J337" s="35"/>
      <c r="K337" s="28" t="str">
        <f t="shared" si="129"/>
        <v/>
      </c>
      <c r="L337" s="36" t="str">
        <f t="shared" si="122"/>
        <v/>
      </c>
      <c r="M337" s="102" t="str">
        <f t="shared" si="130"/>
        <v/>
      </c>
      <c r="N337" s="101" t="str">
        <f t="shared" si="131"/>
        <v/>
      </c>
      <c r="O337" s="94" t="str">
        <f t="shared" si="123"/>
        <v/>
      </c>
      <c r="P337" s="94" t="str">
        <f t="shared" si="138"/>
        <v/>
      </c>
      <c r="Q337" s="94" t="str">
        <f t="shared" si="139"/>
        <v/>
      </c>
      <c r="R337" s="90" t="str">
        <f t="shared" si="140"/>
        <v/>
      </c>
      <c r="S337" s="37" t="str">
        <f t="shared" si="132"/>
        <v/>
      </c>
      <c r="T337" s="176" t="str">
        <f>IF(L337="","",VLOOKUP(L337,classifications!C:K,9,FALSE))</f>
        <v/>
      </c>
      <c r="U337" s="183" t="str">
        <f t="shared" si="124"/>
        <v/>
      </c>
      <c r="V337" s="184" t="str">
        <f>IF(U337="","",IF($I$8="A",(RANK(U337,U$11:U$368)+COUNTIF(U$11:U337,U337)-1),(RANK(U337,U$11:U$368,1)+COUNTIF(U$11:U337,U337)-1)))</f>
        <v/>
      </c>
      <c r="W337" s="185"/>
      <c r="X337" s="38" t="str">
        <f>IF(L337="","",VLOOKUP($L337,classifications!$C:$J,6,FALSE))</f>
        <v/>
      </c>
      <c r="Y337" s="26" t="str">
        <f t="shared" si="125"/>
        <v/>
      </c>
      <c r="Z337" s="34" t="str">
        <f>IF(Y337="","",IF(I$8="A",(RANK(Y337,Y$11:Y$368,1)+COUNTIF(Y$11:Y337,Y337)-1),(RANK(Y337,Y$11:Y$368)+COUNTIF(Y$11:Y337,Y337)-1)))</f>
        <v/>
      </c>
      <c r="AA337" s="188" t="str">
        <f>IF(L337="","",VLOOKUP($L337,classifications!C:I,7,FALSE))</f>
        <v/>
      </c>
      <c r="AB337" s="184" t="str">
        <f t="shared" si="133"/>
        <v/>
      </c>
      <c r="AC337" s="184" t="str">
        <f>IF(AB337="","",IF($I$8="A",(RANK(AB337,AB$11:AB$368)+COUNTIF(AB$11:AB337,AB337)-1),(RANK(AB337,AB$11:AB$368,1)+COUNTIF(AB$11:AB337,AB337)-1)))</f>
        <v/>
      </c>
      <c r="AD337" s="184"/>
      <c r="AE337" s="28" t="str">
        <f t="shared" si="119"/>
        <v/>
      </c>
      <c r="AG337" s="96"/>
      <c r="AH337" s="29"/>
      <c r="AI337" s="38" t="str">
        <f>IF(L337="","",VLOOKUP($L337,classifications!$C:$J,8,FALSE))</f>
        <v/>
      </c>
      <c r="AJ337" s="39" t="str">
        <f t="shared" si="126"/>
        <v/>
      </c>
      <c r="AK337" s="34" t="str">
        <f>IF(AJ337="","",IF(I$8="A",(RANK(AJ337,AJ$11:AJ$368,1)+COUNTIF(AJ$11:AJ337,AJ337)-1),(RANK(AJ337,AJ$11:AJ$368)+COUNTIF(AJ$11:AJ337,AJ337)-1)))</f>
        <v/>
      </c>
      <c r="AL337" s="29" t="str">
        <f t="shared" si="134"/>
        <v/>
      </c>
      <c r="AM337" s="8" t="str">
        <f t="shared" si="127"/>
        <v/>
      </c>
      <c r="AN337" s="8" t="str">
        <f t="shared" si="135"/>
        <v/>
      </c>
      <c r="AP337" s="38" t="str">
        <f>IF(L337="","",VLOOKUP($L337,classifications!$C:$E,3,FALSE))</f>
        <v/>
      </c>
      <c r="AQ337" s="39" t="str">
        <f t="shared" si="136"/>
        <v/>
      </c>
      <c r="AR337" s="34" t="str">
        <f>IF(AQ337="","",IF(I$8="A",(RANK(AQ337,AQ$11:AQ$368,1)+COUNTIF(AQ$11:AQ337,AQ337)-1),(RANK(AQ337,AQ$11:AQ$368)+COUNTIF(AQ$11:AQ337,AQ337)-1)))</f>
        <v/>
      </c>
      <c r="AS337" s="29" t="str">
        <f t="shared" si="137"/>
        <v/>
      </c>
      <c r="AT337" s="34" t="str">
        <f t="shared" si="128"/>
        <v/>
      </c>
      <c r="AU337" s="39" t="str">
        <f t="shared" si="118"/>
        <v/>
      </c>
      <c r="AX337" s="21" t="str">
        <f>HLOOKUP($AX$9&amp;$AX$10,Data!$A$1:$ZZ$2000,(MATCH($C337,Data!$A$1:$A$2000,0)),FALSE)</f>
        <v>-</v>
      </c>
      <c r="AY337" s="103"/>
      <c r="AZ337" s="21"/>
    </row>
    <row r="338" spans="1:52">
      <c r="A338" s="56" t="str">
        <f>$D$1&amp;328</f>
        <v>SD328</v>
      </c>
      <c r="B338" s="57">
        <f>IF(ISERROR(VLOOKUP(A338,classifications!A:C,3,FALSE)),0,VLOOKUP(A338,classifications!A:C,3,FALSE))</f>
        <v>0</v>
      </c>
      <c r="C338" s="8" t="s">
        <v>177</v>
      </c>
      <c r="D338" s="26" t="str">
        <f>VLOOKUP($C338,classifications!$C:$J,4,FALSE)</f>
        <v>SD</v>
      </c>
      <c r="E338" s="26">
        <f>VLOOKUP(C338,classifications!C:K,9,FALSE)</f>
        <v>0</v>
      </c>
      <c r="F338" s="36">
        <f t="shared" si="120"/>
        <v>87.271203980687972</v>
      </c>
      <c r="G338" s="71"/>
      <c r="H338" s="37">
        <f t="shared" si="121"/>
        <v>87.271203980687972</v>
      </c>
      <c r="I338" s="77">
        <f>IF(H338="","",IF($I$8="A",(RANK(H338,H$11:H$368,1)+COUNTIF(H$11:H338,H338)-1),(RANK(H338,H$11:H$368)+COUNTIF(H$11:H338,H338)-1)))</f>
        <v>4</v>
      </c>
      <c r="J338" s="35"/>
      <c r="K338" s="28" t="str">
        <f t="shared" si="129"/>
        <v/>
      </c>
      <c r="L338" s="36" t="str">
        <f t="shared" si="122"/>
        <v/>
      </c>
      <c r="M338" s="102" t="str">
        <f t="shared" si="130"/>
        <v/>
      </c>
      <c r="N338" s="101" t="str">
        <f t="shared" si="131"/>
        <v/>
      </c>
      <c r="O338" s="94" t="str">
        <f t="shared" si="123"/>
        <v/>
      </c>
      <c r="P338" s="94" t="str">
        <f t="shared" si="138"/>
        <v/>
      </c>
      <c r="Q338" s="94" t="str">
        <f t="shared" si="139"/>
        <v/>
      </c>
      <c r="R338" s="90" t="str">
        <f t="shared" si="140"/>
        <v/>
      </c>
      <c r="S338" s="37" t="str">
        <f t="shared" si="132"/>
        <v/>
      </c>
      <c r="T338" s="176" t="str">
        <f>IF(L338="","",VLOOKUP(L338,classifications!C:K,9,FALSE))</f>
        <v/>
      </c>
      <c r="U338" s="183" t="str">
        <f t="shared" si="124"/>
        <v/>
      </c>
      <c r="V338" s="184" t="str">
        <f>IF(U338="","",IF($I$8="A",(RANK(U338,U$11:U$368)+COUNTIF(U$11:U338,U338)-1),(RANK(U338,U$11:U$368,1)+COUNTIF(U$11:U338,U338)-1)))</f>
        <v/>
      </c>
      <c r="W338" s="185"/>
      <c r="X338" s="38" t="str">
        <f>IF(L338="","",VLOOKUP($L338,classifications!$C:$J,6,FALSE))</f>
        <v/>
      </c>
      <c r="Y338" s="26" t="str">
        <f t="shared" si="125"/>
        <v/>
      </c>
      <c r="Z338" s="34" t="str">
        <f>IF(Y338="","",IF(I$8="A",(RANK(Y338,Y$11:Y$368,1)+COUNTIF(Y$11:Y338,Y338)-1),(RANK(Y338,Y$11:Y$368)+COUNTIF(Y$11:Y338,Y338)-1)))</f>
        <v/>
      </c>
      <c r="AA338" s="188" t="str">
        <f>IF(L338="","",VLOOKUP($L338,classifications!C:I,7,FALSE))</f>
        <v/>
      </c>
      <c r="AB338" s="184" t="str">
        <f t="shared" si="133"/>
        <v/>
      </c>
      <c r="AC338" s="184" t="str">
        <f>IF(AB338="","",IF($I$8="A",(RANK(AB338,AB$11:AB$368)+COUNTIF(AB$11:AB338,AB338)-1),(RANK(AB338,AB$11:AB$368,1)+COUNTIF(AB$11:AB338,AB338)-1)))</f>
        <v/>
      </c>
      <c r="AD338" s="184"/>
      <c r="AE338" s="28" t="str">
        <f t="shared" si="119"/>
        <v/>
      </c>
      <c r="AG338" s="96"/>
      <c r="AH338" s="29"/>
      <c r="AI338" s="38" t="str">
        <f>IF(L338="","",VLOOKUP($L338,classifications!$C:$J,8,FALSE))</f>
        <v/>
      </c>
      <c r="AJ338" s="39" t="str">
        <f t="shared" si="126"/>
        <v/>
      </c>
      <c r="AK338" s="34" t="str">
        <f>IF(AJ338="","",IF(I$8="A",(RANK(AJ338,AJ$11:AJ$368,1)+COUNTIF(AJ$11:AJ338,AJ338)-1),(RANK(AJ338,AJ$11:AJ$368)+COUNTIF(AJ$11:AJ338,AJ338)-1)))</f>
        <v/>
      </c>
      <c r="AL338" s="29" t="str">
        <f t="shared" si="134"/>
        <v/>
      </c>
      <c r="AM338" s="8" t="str">
        <f t="shared" si="127"/>
        <v/>
      </c>
      <c r="AN338" s="8" t="str">
        <f t="shared" si="135"/>
        <v/>
      </c>
      <c r="AP338" s="38" t="str">
        <f>IF(L338="","",VLOOKUP($L338,classifications!$C:$E,3,FALSE))</f>
        <v/>
      </c>
      <c r="AQ338" s="39" t="str">
        <f t="shared" si="136"/>
        <v/>
      </c>
      <c r="AR338" s="34" t="str">
        <f>IF(AQ338="","",IF(I$8="A",(RANK(AQ338,AQ$11:AQ$368,1)+COUNTIF(AQ$11:AQ338,AQ338)-1),(RANK(AQ338,AQ$11:AQ$368)+COUNTIF(AQ$11:AQ338,AQ338)-1)))</f>
        <v/>
      </c>
      <c r="AS338" s="29" t="str">
        <f t="shared" si="137"/>
        <v/>
      </c>
      <c r="AT338" s="34" t="str">
        <f t="shared" si="128"/>
        <v/>
      </c>
      <c r="AU338" s="39" t="str">
        <f t="shared" ref="AU338:AU363" si="141">IF(AT338="","",VLOOKUP(AT338,L:M,2,FALSE))</f>
        <v/>
      </c>
      <c r="AX338" s="21">
        <f>HLOOKUP($AX$9&amp;$AX$10,Data!$A$1:$ZZ$2000,(MATCH($C338,Data!$A$1:$A$2000,0)),FALSE)</f>
        <v>87.271203980687972</v>
      </c>
      <c r="AY338" s="103"/>
      <c r="AZ338" s="21"/>
    </row>
    <row r="339" spans="1:52">
      <c r="A339" s="56" t="str">
        <f>$D$1&amp;329</f>
        <v>SD329</v>
      </c>
      <c r="B339" s="57">
        <f>IF(ISERROR(VLOOKUP(A339,classifications!A:C,3,FALSE)),0,VLOOKUP(A339,classifications!A:C,3,FALSE))</f>
        <v>0</v>
      </c>
      <c r="C339" s="8" t="s">
        <v>178</v>
      </c>
      <c r="D339" s="26" t="str">
        <f>VLOOKUP($C339,classifications!$C:$J,4,FALSE)</f>
        <v>SD</v>
      </c>
      <c r="E339" s="26" t="str">
        <f>VLOOKUP(C339,classifications!C:K,9,FALSE)</f>
        <v>Sparse</v>
      </c>
      <c r="F339" s="36">
        <f t="shared" si="120"/>
        <v>80.817995230448389</v>
      </c>
      <c r="G339" s="71"/>
      <c r="H339" s="37">
        <f t="shared" si="121"/>
        <v>80.817995230448389</v>
      </c>
      <c r="I339" s="77">
        <f>IF(H339="","",IF($I$8="A",(RANK(H339,H$11:H$368,1)+COUNTIF(H$11:H339,H339)-1),(RANK(H339,H$11:H$368)+COUNTIF(H$11:H339,H339)-1)))</f>
        <v>98</v>
      </c>
      <c r="J339" s="35"/>
      <c r="K339" s="28" t="str">
        <f t="shared" si="129"/>
        <v/>
      </c>
      <c r="L339" s="36" t="str">
        <f t="shared" si="122"/>
        <v/>
      </c>
      <c r="M339" s="102" t="str">
        <f t="shared" si="130"/>
        <v/>
      </c>
      <c r="N339" s="101" t="str">
        <f t="shared" si="131"/>
        <v/>
      </c>
      <c r="O339" s="94" t="str">
        <f t="shared" si="123"/>
        <v/>
      </c>
      <c r="P339" s="94" t="str">
        <f t="shared" si="138"/>
        <v/>
      </c>
      <c r="Q339" s="94" t="str">
        <f t="shared" si="139"/>
        <v/>
      </c>
      <c r="R339" s="90" t="str">
        <f t="shared" si="140"/>
        <v/>
      </c>
      <c r="S339" s="37" t="str">
        <f t="shared" si="132"/>
        <v/>
      </c>
      <c r="T339" s="176" t="str">
        <f>IF(L339="","",VLOOKUP(L339,classifications!C:K,9,FALSE))</f>
        <v/>
      </c>
      <c r="U339" s="183" t="str">
        <f t="shared" si="124"/>
        <v/>
      </c>
      <c r="V339" s="184" t="str">
        <f>IF(U339="","",IF($I$8="A",(RANK(U339,U$11:U$368)+COUNTIF(U$11:U339,U339)-1),(RANK(U339,U$11:U$368,1)+COUNTIF(U$11:U339,U339)-1)))</f>
        <v/>
      </c>
      <c r="W339" s="185"/>
      <c r="X339" s="38" t="str">
        <f>IF(L339="","",VLOOKUP($L339,classifications!$C:$J,6,FALSE))</f>
        <v/>
      </c>
      <c r="Y339" s="26" t="str">
        <f t="shared" si="125"/>
        <v/>
      </c>
      <c r="Z339" s="34" t="str">
        <f>IF(Y339="","",IF(I$8="A",(RANK(Y339,Y$11:Y$368,1)+COUNTIF(Y$11:Y339,Y339)-1),(RANK(Y339,Y$11:Y$368)+COUNTIF(Y$11:Y339,Y339)-1)))</f>
        <v/>
      </c>
      <c r="AA339" s="188" t="str">
        <f>IF(L339="","",VLOOKUP($L339,classifications!C:I,7,FALSE))</f>
        <v/>
      </c>
      <c r="AB339" s="184" t="str">
        <f t="shared" si="133"/>
        <v/>
      </c>
      <c r="AC339" s="184" t="str">
        <f>IF(AB339="","",IF($I$8="A",(RANK(AB339,AB$11:AB$368)+COUNTIF(AB$11:AB339,AB339)-1),(RANK(AB339,AB$11:AB$368,1)+COUNTIF(AB$11:AB339,AB339)-1)))</f>
        <v/>
      </c>
      <c r="AD339" s="184"/>
      <c r="AE339" s="28" t="str">
        <f t="shared" si="119"/>
        <v/>
      </c>
      <c r="AG339" s="96"/>
      <c r="AH339" s="29"/>
      <c r="AI339" s="38" t="str">
        <f>IF(L339="","",VLOOKUP($L339,classifications!$C:$J,8,FALSE))</f>
        <v/>
      </c>
      <c r="AJ339" s="39" t="str">
        <f t="shared" si="126"/>
        <v/>
      </c>
      <c r="AK339" s="34" t="str">
        <f>IF(AJ339="","",IF(I$8="A",(RANK(AJ339,AJ$11:AJ$368,1)+COUNTIF(AJ$11:AJ339,AJ339)-1),(RANK(AJ339,AJ$11:AJ$368)+COUNTIF(AJ$11:AJ339,AJ339)-1)))</f>
        <v/>
      </c>
      <c r="AL339" s="29" t="str">
        <f t="shared" si="134"/>
        <v/>
      </c>
      <c r="AM339" s="8" t="str">
        <f t="shared" si="127"/>
        <v/>
      </c>
      <c r="AN339" s="8" t="str">
        <f t="shared" si="135"/>
        <v/>
      </c>
      <c r="AP339" s="38" t="str">
        <f>IF(L339="","",VLOOKUP($L339,classifications!$C:$E,3,FALSE))</f>
        <v/>
      </c>
      <c r="AQ339" s="39" t="str">
        <f t="shared" si="136"/>
        <v/>
      </c>
      <c r="AR339" s="34" t="str">
        <f>IF(AQ339="","",IF(I$8="A",(RANK(AQ339,AQ$11:AQ$368,1)+COUNTIF(AQ$11:AQ339,AQ339)-1),(RANK(AQ339,AQ$11:AQ$368)+COUNTIF(AQ$11:AQ339,AQ339)-1)))</f>
        <v/>
      </c>
      <c r="AS339" s="29" t="str">
        <f t="shared" si="137"/>
        <v/>
      </c>
      <c r="AT339" s="34" t="str">
        <f t="shared" si="128"/>
        <v/>
      </c>
      <c r="AU339" s="39" t="str">
        <f t="shared" si="141"/>
        <v/>
      </c>
      <c r="AX339" s="21">
        <f>HLOOKUP($AX$9&amp;$AX$10,Data!$A$1:$ZZ$2000,(MATCH($C339,Data!$A$1:$A$2000,0)),FALSE)</f>
        <v>80.817995230448389</v>
      </c>
      <c r="AY339" s="103"/>
      <c r="AZ339" s="21"/>
    </row>
    <row r="340" spans="1:52">
      <c r="A340" s="56" t="str">
        <f>$D$1&amp;330</f>
        <v>SD330</v>
      </c>
      <c r="B340" s="57">
        <f>IF(ISERROR(VLOOKUP(A340,classifications!A:C,3,FALSE)),0,VLOOKUP(A340,classifications!A:C,3,FALSE))</f>
        <v>0</v>
      </c>
      <c r="C340" s="8" t="s">
        <v>179</v>
      </c>
      <c r="D340" s="26" t="str">
        <f>VLOOKUP($C340,classifications!$C:$J,4,FALSE)</f>
        <v>SD</v>
      </c>
      <c r="E340" s="26">
        <f>VLOOKUP(C340,classifications!C:K,9,FALSE)</f>
        <v>0</v>
      </c>
      <c r="F340" s="36">
        <f t="shared" si="120"/>
        <v>80.166102948644138</v>
      </c>
      <c r="G340" s="71"/>
      <c r="H340" s="37">
        <f t="shared" si="121"/>
        <v>80.166102948644138</v>
      </c>
      <c r="I340" s="77">
        <f>IF(H340="","",IF($I$8="A",(RANK(H340,H$11:H$368,1)+COUNTIF(H$11:H340,H340)-1),(RANK(H340,H$11:H$368)+COUNTIF(H$11:H340,H340)-1)))</f>
        <v>114</v>
      </c>
      <c r="J340" s="35"/>
      <c r="K340" s="28" t="str">
        <f t="shared" si="129"/>
        <v/>
      </c>
      <c r="L340" s="36" t="str">
        <f t="shared" si="122"/>
        <v/>
      </c>
      <c r="M340" s="102" t="str">
        <f t="shared" si="130"/>
        <v/>
      </c>
      <c r="N340" s="101" t="str">
        <f t="shared" si="131"/>
        <v/>
      </c>
      <c r="O340" s="94" t="str">
        <f t="shared" si="123"/>
        <v/>
      </c>
      <c r="P340" s="94" t="str">
        <f t="shared" si="138"/>
        <v/>
      </c>
      <c r="Q340" s="94" t="str">
        <f t="shared" si="139"/>
        <v/>
      </c>
      <c r="R340" s="90" t="str">
        <f t="shared" si="140"/>
        <v/>
      </c>
      <c r="S340" s="37" t="str">
        <f t="shared" si="132"/>
        <v/>
      </c>
      <c r="T340" s="176" t="str">
        <f>IF(L340="","",VLOOKUP(L340,classifications!C:K,9,FALSE))</f>
        <v/>
      </c>
      <c r="U340" s="183" t="str">
        <f t="shared" si="124"/>
        <v/>
      </c>
      <c r="V340" s="184" t="str">
        <f>IF(U340="","",IF($I$8="A",(RANK(U340,U$11:U$368)+COUNTIF(U$11:U340,U340)-1),(RANK(U340,U$11:U$368,1)+COUNTIF(U$11:U340,U340)-1)))</f>
        <v/>
      </c>
      <c r="W340" s="185"/>
      <c r="X340" s="38" t="str">
        <f>IF(L340="","",VLOOKUP($L340,classifications!$C:$J,6,FALSE))</f>
        <v/>
      </c>
      <c r="Y340" s="26" t="str">
        <f t="shared" si="125"/>
        <v/>
      </c>
      <c r="Z340" s="34" t="str">
        <f>IF(Y340="","",IF(I$8="A",(RANK(Y340,Y$11:Y$368,1)+COUNTIF(Y$11:Y340,Y340)-1),(RANK(Y340,Y$11:Y$368)+COUNTIF(Y$11:Y340,Y340)-1)))</f>
        <v/>
      </c>
      <c r="AA340" s="188" t="str">
        <f>IF(L340="","",VLOOKUP($L340,classifications!C:I,7,FALSE))</f>
        <v/>
      </c>
      <c r="AB340" s="184" t="str">
        <f t="shared" si="133"/>
        <v/>
      </c>
      <c r="AC340" s="184" t="str">
        <f>IF(AB340="","",IF($I$8="A",(RANK(AB340,AB$11:AB$368)+COUNTIF(AB$11:AB340,AB340)-1),(RANK(AB340,AB$11:AB$368,1)+COUNTIF(AB$11:AB340,AB340)-1)))</f>
        <v/>
      </c>
      <c r="AD340" s="184"/>
      <c r="AE340" s="28" t="str">
        <f t="shared" si="119"/>
        <v/>
      </c>
      <c r="AG340" s="96"/>
      <c r="AH340" s="29"/>
      <c r="AI340" s="38" t="str">
        <f>IF(L340="","",VLOOKUP($L340,classifications!$C:$J,8,FALSE))</f>
        <v/>
      </c>
      <c r="AJ340" s="39" t="str">
        <f t="shared" si="126"/>
        <v/>
      </c>
      <c r="AK340" s="34" t="str">
        <f>IF(AJ340="","",IF(I$8="A",(RANK(AJ340,AJ$11:AJ$368,1)+COUNTIF(AJ$11:AJ340,AJ340)-1),(RANK(AJ340,AJ$11:AJ$368)+COUNTIF(AJ$11:AJ340,AJ340)-1)))</f>
        <v/>
      </c>
      <c r="AL340" s="29" t="str">
        <f t="shared" si="134"/>
        <v/>
      </c>
      <c r="AM340" s="8" t="str">
        <f t="shared" si="127"/>
        <v/>
      </c>
      <c r="AN340" s="8" t="str">
        <f t="shared" si="135"/>
        <v/>
      </c>
      <c r="AP340" s="38" t="str">
        <f>IF(L340="","",VLOOKUP($L340,classifications!$C:$E,3,FALSE))</f>
        <v/>
      </c>
      <c r="AQ340" s="39" t="str">
        <f t="shared" si="136"/>
        <v/>
      </c>
      <c r="AR340" s="34" t="str">
        <f>IF(AQ340="","",IF(I$8="A",(RANK(AQ340,AQ$11:AQ$368,1)+COUNTIF(AQ$11:AQ340,AQ340)-1),(RANK(AQ340,AQ$11:AQ$368)+COUNTIF(AQ$11:AQ340,AQ340)-1)))</f>
        <v/>
      </c>
      <c r="AS340" s="29" t="str">
        <f t="shared" si="137"/>
        <v/>
      </c>
      <c r="AT340" s="34" t="str">
        <f t="shared" si="128"/>
        <v/>
      </c>
      <c r="AU340" s="39" t="str">
        <f t="shared" si="141"/>
        <v/>
      </c>
      <c r="AX340" s="21">
        <f>HLOOKUP($AX$9&amp;$AX$10,Data!$A$1:$ZZ$2000,(MATCH($C340,Data!$A$1:$A$2000,0)),FALSE)</f>
        <v>80.166102948644138</v>
      </c>
      <c r="AY340" s="103"/>
      <c r="AZ340" s="21"/>
    </row>
    <row r="341" spans="1:52">
      <c r="A341" s="56" t="str">
        <f>$D$1&amp;331</f>
        <v>SD331</v>
      </c>
      <c r="B341" s="57">
        <f>IF(ISERROR(VLOOKUP(A341,classifications!A:C,3,FALSE)),0,VLOOKUP(A341,classifications!A:C,3,FALSE))</f>
        <v>0</v>
      </c>
      <c r="C341" s="8" t="s">
        <v>180</v>
      </c>
      <c r="D341" s="26" t="str">
        <f>VLOOKUP($C341,classifications!$C:$J,4,FALSE)</f>
        <v>SD</v>
      </c>
      <c r="E341" s="26">
        <f>VLOOKUP(C341,classifications!C:K,9,FALSE)</f>
        <v>0</v>
      </c>
      <c r="F341" s="36">
        <f t="shared" si="120"/>
        <v>79.473990455873462</v>
      </c>
      <c r="G341" s="71"/>
      <c r="H341" s="37">
        <f t="shared" si="121"/>
        <v>79.473990455873462</v>
      </c>
      <c r="I341" s="77">
        <f>IF(H341="","",IF($I$8="A",(RANK(H341,H$11:H$368,1)+COUNTIF(H$11:H341,H341)-1),(RANK(H341,H$11:H$368)+COUNTIF(H$11:H341,H341)-1)))</f>
        <v>128</v>
      </c>
      <c r="J341" s="35"/>
      <c r="K341" s="28" t="str">
        <f t="shared" si="129"/>
        <v/>
      </c>
      <c r="L341" s="36" t="str">
        <f t="shared" si="122"/>
        <v/>
      </c>
      <c r="M341" s="102" t="str">
        <f t="shared" si="130"/>
        <v/>
      </c>
      <c r="N341" s="101" t="str">
        <f t="shared" si="131"/>
        <v/>
      </c>
      <c r="O341" s="94" t="str">
        <f t="shared" si="123"/>
        <v/>
      </c>
      <c r="P341" s="94" t="str">
        <f t="shared" si="138"/>
        <v/>
      </c>
      <c r="Q341" s="94" t="str">
        <f t="shared" si="139"/>
        <v/>
      </c>
      <c r="R341" s="90" t="str">
        <f t="shared" si="140"/>
        <v/>
      </c>
      <c r="S341" s="37" t="str">
        <f t="shared" si="132"/>
        <v/>
      </c>
      <c r="T341" s="176" t="str">
        <f>IF(L341="","",VLOOKUP(L341,classifications!C:K,9,FALSE))</f>
        <v/>
      </c>
      <c r="U341" s="183" t="str">
        <f t="shared" si="124"/>
        <v/>
      </c>
      <c r="V341" s="184" t="str">
        <f>IF(U341="","",IF($I$8="A",(RANK(U341,U$11:U$368)+COUNTIF(U$11:U341,U341)-1),(RANK(U341,U$11:U$368,1)+COUNTIF(U$11:U341,U341)-1)))</f>
        <v/>
      </c>
      <c r="W341" s="185"/>
      <c r="X341" s="38" t="str">
        <f>IF(L341="","",VLOOKUP($L341,classifications!$C:$J,6,FALSE))</f>
        <v/>
      </c>
      <c r="Y341" s="26" t="str">
        <f t="shared" si="125"/>
        <v/>
      </c>
      <c r="Z341" s="34" t="str">
        <f>IF(Y341="","",IF(I$8="A",(RANK(Y341,Y$11:Y$368,1)+COUNTIF(Y$11:Y341,Y341)-1),(RANK(Y341,Y$11:Y$368)+COUNTIF(Y$11:Y341,Y341)-1)))</f>
        <v/>
      </c>
      <c r="AA341" s="188" t="str">
        <f>IF(L341="","",VLOOKUP($L341,classifications!C:I,7,FALSE))</f>
        <v/>
      </c>
      <c r="AB341" s="184" t="str">
        <f t="shared" si="133"/>
        <v/>
      </c>
      <c r="AC341" s="184" t="str">
        <f>IF(AB341="","",IF($I$8="A",(RANK(AB341,AB$11:AB$368)+COUNTIF(AB$11:AB341,AB341)-1),(RANK(AB341,AB$11:AB$368,1)+COUNTIF(AB$11:AB341,AB341)-1)))</f>
        <v/>
      </c>
      <c r="AD341" s="184"/>
      <c r="AE341" s="28" t="str">
        <f t="shared" si="119"/>
        <v/>
      </c>
      <c r="AG341" s="96"/>
      <c r="AH341" s="29"/>
      <c r="AI341" s="38" t="str">
        <f>IF(L341="","",VLOOKUP($L341,classifications!$C:$J,8,FALSE))</f>
        <v/>
      </c>
      <c r="AJ341" s="39" t="str">
        <f t="shared" si="126"/>
        <v/>
      </c>
      <c r="AK341" s="34" t="str">
        <f>IF(AJ341="","",IF(I$8="A",(RANK(AJ341,AJ$11:AJ$368,1)+COUNTIF(AJ$11:AJ341,AJ341)-1),(RANK(AJ341,AJ$11:AJ$368)+COUNTIF(AJ$11:AJ341,AJ341)-1)))</f>
        <v/>
      </c>
      <c r="AL341" s="29" t="str">
        <f t="shared" si="134"/>
        <v/>
      </c>
      <c r="AM341" s="8" t="str">
        <f t="shared" si="127"/>
        <v/>
      </c>
      <c r="AN341" s="8" t="str">
        <f t="shared" si="135"/>
        <v/>
      </c>
      <c r="AP341" s="38" t="str">
        <f>IF(L341="","",VLOOKUP($L341,classifications!$C:$E,3,FALSE))</f>
        <v/>
      </c>
      <c r="AQ341" s="39" t="str">
        <f t="shared" si="136"/>
        <v/>
      </c>
      <c r="AR341" s="34" t="str">
        <f>IF(AQ341="","",IF(I$8="A",(RANK(AQ341,AQ$11:AQ$368,1)+COUNTIF(AQ$11:AQ341,AQ341)-1),(RANK(AQ341,AQ$11:AQ$368)+COUNTIF(AQ$11:AQ341,AQ341)-1)))</f>
        <v/>
      </c>
      <c r="AS341" s="29" t="str">
        <f t="shared" si="137"/>
        <v/>
      </c>
      <c r="AT341" s="34" t="str">
        <f t="shared" si="128"/>
        <v/>
      </c>
      <c r="AU341" s="39" t="str">
        <f t="shared" si="141"/>
        <v/>
      </c>
      <c r="AX341" s="21">
        <f>HLOOKUP($AX$9&amp;$AX$10,Data!$A$1:$ZZ$2000,(MATCH($C341,Data!$A$1:$A$2000,0)),FALSE)</f>
        <v>79.473990455873462</v>
      </c>
      <c r="AY341" s="103"/>
      <c r="AZ341" s="21"/>
    </row>
    <row r="342" spans="1:52">
      <c r="A342" s="56" t="str">
        <f>$D$1&amp;332</f>
        <v>SD332</v>
      </c>
      <c r="B342" s="57">
        <f>IF(ISERROR(VLOOKUP(A342,classifications!A:C,3,FALSE)),0,VLOOKUP(A342,classifications!A:C,3,FALSE))</f>
        <v>0</v>
      </c>
      <c r="C342" s="8" t="s">
        <v>296</v>
      </c>
      <c r="D342" s="26" t="str">
        <f>VLOOKUP($C342,classifications!$C:$J,4,FALSE)</f>
        <v>UA</v>
      </c>
      <c r="E342" s="26">
        <f>VLOOKUP(C342,classifications!C:K,9,FALSE)</f>
        <v>0</v>
      </c>
      <c r="F342" s="36">
        <f t="shared" si="120"/>
        <v>81.870590387599051</v>
      </c>
      <c r="G342" s="71"/>
      <c r="H342" s="37" t="str">
        <f t="shared" si="121"/>
        <v/>
      </c>
      <c r="I342" s="77" t="str">
        <f>IF(H342="","",IF($I$8="A",(RANK(H342,H$11:H$368,1)+COUNTIF(H$11:H342,H342)-1),(RANK(H342,H$11:H$368)+COUNTIF(H$11:H342,H342)-1)))</f>
        <v/>
      </c>
      <c r="J342" s="35"/>
      <c r="K342" s="28" t="str">
        <f t="shared" si="129"/>
        <v/>
      </c>
      <c r="L342" s="36" t="str">
        <f t="shared" si="122"/>
        <v/>
      </c>
      <c r="M342" s="102" t="str">
        <f t="shared" si="130"/>
        <v/>
      </c>
      <c r="N342" s="101" t="str">
        <f t="shared" si="131"/>
        <v/>
      </c>
      <c r="O342" s="94" t="str">
        <f t="shared" si="123"/>
        <v/>
      </c>
      <c r="P342" s="94" t="str">
        <f t="shared" si="138"/>
        <v/>
      </c>
      <c r="Q342" s="94" t="str">
        <f t="shared" si="139"/>
        <v/>
      </c>
      <c r="R342" s="90" t="str">
        <f t="shared" si="140"/>
        <v/>
      </c>
      <c r="S342" s="37" t="str">
        <f t="shared" si="132"/>
        <v/>
      </c>
      <c r="T342" s="176" t="str">
        <f>IF(L342="","",VLOOKUP(L342,classifications!C:K,9,FALSE))</f>
        <v/>
      </c>
      <c r="U342" s="183" t="str">
        <f t="shared" si="124"/>
        <v/>
      </c>
      <c r="V342" s="184" t="str">
        <f>IF(U342="","",IF($I$8="A",(RANK(U342,U$11:U$368)+COUNTIF(U$11:U342,U342)-1),(RANK(U342,U$11:U$368,1)+COUNTIF(U$11:U342,U342)-1)))</f>
        <v/>
      </c>
      <c r="W342" s="185"/>
      <c r="X342" s="38" t="str">
        <f>IF(L342="","",VLOOKUP($L342,classifications!$C:$J,6,FALSE))</f>
        <v/>
      </c>
      <c r="Y342" s="26" t="str">
        <f t="shared" si="125"/>
        <v/>
      </c>
      <c r="Z342" s="34" t="str">
        <f>IF(Y342="","",IF(I$8="A",(RANK(Y342,Y$11:Y$368,1)+COUNTIF(Y$11:Y342,Y342)-1),(RANK(Y342,Y$11:Y$368)+COUNTIF(Y$11:Y342,Y342)-1)))</f>
        <v/>
      </c>
      <c r="AA342" s="188" t="str">
        <f>IF(L342="","",VLOOKUP($L342,classifications!C:I,7,FALSE))</f>
        <v/>
      </c>
      <c r="AB342" s="184" t="str">
        <f t="shared" si="133"/>
        <v/>
      </c>
      <c r="AC342" s="184" t="str">
        <f>IF(AB342="","",IF($I$8="A",(RANK(AB342,AB$11:AB$368)+COUNTIF(AB$11:AB342,AB342)-1),(RANK(AB342,AB$11:AB$368,1)+COUNTIF(AB$11:AB342,AB342)-1)))</f>
        <v/>
      </c>
      <c r="AD342" s="184"/>
      <c r="AE342" s="28" t="str">
        <f t="shared" si="119"/>
        <v/>
      </c>
      <c r="AG342" s="96"/>
      <c r="AH342" s="29"/>
      <c r="AI342" s="38" t="str">
        <f>IF(L342="","",VLOOKUP($L342,classifications!$C:$J,8,FALSE))</f>
        <v/>
      </c>
      <c r="AJ342" s="39" t="str">
        <f t="shared" si="126"/>
        <v/>
      </c>
      <c r="AK342" s="34" t="str">
        <f>IF(AJ342="","",IF(I$8="A",(RANK(AJ342,AJ$11:AJ$368,1)+COUNTIF(AJ$11:AJ342,AJ342)-1),(RANK(AJ342,AJ$11:AJ$368)+COUNTIF(AJ$11:AJ342,AJ342)-1)))</f>
        <v/>
      </c>
      <c r="AL342" s="29" t="str">
        <f t="shared" si="134"/>
        <v/>
      </c>
      <c r="AM342" s="8" t="str">
        <f t="shared" si="127"/>
        <v/>
      </c>
      <c r="AN342" s="8" t="str">
        <f t="shared" si="135"/>
        <v/>
      </c>
      <c r="AP342" s="38" t="str">
        <f>IF(L342="","",VLOOKUP($L342,classifications!$C:$E,3,FALSE))</f>
        <v/>
      </c>
      <c r="AQ342" s="39" t="str">
        <f t="shared" si="136"/>
        <v/>
      </c>
      <c r="AR342" s="34" t="str">
        <f>IF(AQ342="","",IF(I$8="A",(RANK(AQ342,AQ$11:AQ$368,1)+COUNTIF(AQ$11:AQ342,AQ342)-1),(RANK(AQ342,AQ$11:AQ$368)+COUNTIF(AQ$11:AQ342,AQ342)-1)))</f>
        <v/>
      </c>
      <c r="AS342" s="29" t="str">
        <f t="shared" si="137"/>
        <v/>
      </c>
      <c r="AT342" s="34" t="str">
        <f t="shared" si="128"/>
        <v/>
      </c>
      <c r="AU342" s="39" t="str">
        <f t="shared" si="141"/>
        <v/>
      </c>
      <c r="AX342" s="21">
        <f>HLOOKUP($AX$9&amp;$AX$10,Data!$A$1:$ZZ$2000,(MATCH($C342,Data!$A$1:$A$2000,0)),FALSE)</f>
        <v>81.870590387599051</v>
      </c>
      <c r="AY342" s="103"/>
      <c r="AZ342" s="21"/>
    </row>
    <row r="343" spans="1:52">
      <c r="A343" s="56" t="str">
        <f>$D$1&amp;333</f>
        <v>SD333</v>
      </c>
      <c r="B343" s="57">
        <f>IF(ISERROR(VLOOKUP(A343,classifications!A:C,3,FALSE)),0,VLOOKUP(A343,classifications!A:C,3,FALSE))</f>
        <v>0</v>
      </c>
      <c r="C343" s="8" t="s">
        <v>181</v>
      </c>
      <c r="D343" s="26" t="str">
        <f>VLOOKUP($C343,classifications!$C:$J,4,FALSE)</f>
        <v>SD</v>
      </c>
      <c r="E343" s="26" t="str">
        <f>VLOOKUP(C343,classifications!C:K,9,FALSE)</f>
        <v>Sparse</v>
      </c>
      <c r="F343" s="36">
        <f t="shared" si="120"/>
        <v>84.247914936955652</v>
      </c>
      <c r="G343" s="71"/>
      <c r="H343" s="37">
        <f t="shared" si="121"/>
        <v>84.247914936955652</v>
      </c>
      <c r="I343" s="77">
        <f>IF(H343="","",IF($I$8="A",(RANK(H343,H$11:H$368,1)+COUNTIF(H$11:H343,H343)-1),(RANK(H343,H$11:H$368)+COUNTIF(H$11:H343,H343)-1)))</f>
        <v>43</v>
      </c>
      <c r="J343" s="35"/>
      <c r="K343" s="28" t="str">
        <f t="shared" si="129"/>
        <v/>
      </c>
      <c r="L343" s="36" t="str">
        <f t="shared" si="122"/>
        <v/>
      </c>
      <c r="M343" s="102" t="str">
        <f t="shared" si="130"/>
        <v/>
      </c>
      <c r="N343" s="101" t="str">
        <f t="shared" si="131"/>
        <v/>
      </c>
      <c r="O343" s="94" t="str">
        <f t="shared" si="123"/>
        <v/>
      </c>
      <c r="P343" s="94" t="str">
        <f t="shared" si="138"/>
        <v/>
      </c>
      <c r="Q343" s="94" t="str">
        <f t="shared" si="139"/>
        <v/>
      </c>
      <c r="R343" s="90" t="str">
        <f t="shared" si="140"/>
        <v/>
      </c>
      <c r="S343" s="37" t="str">
        <f t="shared" si="132"/>
        <v/>
      </c>
      <c r="T343" s="176" t="str">
        <f>IF(L343="","",VLOOKUP(L343,classifications!C:K,9,FALSE))</f>
        <v/>
      </c>
      <c r="U343" s="183" t="str">
        <f t="shared" si="124"/>
        <v/>
      </c>
      <c r="V343" s="184" t="str">
        <f>IF(U343="","",IF($I$8="A",(RANK(U343,U$11:U$368)+COUNTIF(U$11:U343,U343)-1),(RANK(U343,U$11:U$368,1)+COUNTIF(U$11:U343,U343)-1)))</f>
        <v/>
      </c>
      <c r="W343" s="185"/>
      <c r="X343" s="38" t="str">
        <f>IF(L343="","",VLOOKUP($L343,classifications!$C:$J,6,FALSE))</f>
        <v/>
      </c>
      <c r="Y343" s="26" t="str">
        <f t="shared" si="125"/>
        <v/>
      </c>
      <c r="Z343" s="34" t="str">
        <f>IF(Y343="","",IF(I$8="A",(RANK(Y343,Y$11:Y$368,1)+COUNTIF(Y$11:Y343,Y343)-1),(RANK(Y343,Y$11:Y$368)+COUNTIF(Y$11:Y343,Y343)-1)))</f>
        <v/>
      </c>
      <c r="AA343" s="188" t="str">
        <f>IF(L343="","",VLOOKUP($L343,classifications!C:I,7,FALSE))</f>
        <v/>
      </c>
      <c r="AB343" s="184" t="str">
        <f t="shared" si="133"/>
        <v/>
      </c>
      <c r="AC343" s="184" t="str">
        <f>IF(AB343="","",IF($I$8="A",(RANK(AB343,AB$11:AB$368)+COUNTIF(AB$11:AB343,AB343)-1),(RANK(AB343,AB$11:AB$368,1)+COUNTIF(AB$11:AB343,AB343)-1)))</f>
        <v/>
      </c>
      <c r="AD343" s="184"/>
      <c r="AE343" s="28" t="str">
        <f t="shared" si="119"/>
        <v/>
      </c>
      <c r="AG343" s="96"/>
      <c r="AH343" s="29"/>
      <c r="AI343" s="38" t="str">
        <f>IF(L343="","",VLOOKUP($L343,classifications!$C:$J,8,FALSE))</f>
        <v/>
      </c>
      <c r="AJ343" s="39" t="str">
        <f t="shared" si="126"/>
        <v/>
      </c>
      <c r="AK343" s="34" t="str">
        <f>IF(AJ343="","",IF(I$8="A",(RANK(AJ343,AJ$11:AJ$368,1)+COUNTIF(AJ$11:AJ343,AJ343)-1),(RANK(AJ343,AJ$11:AJ$368)+COUNTIF(AJ$11:AJ343,AJ343)-1)))</f>
        <v/>
      </c>
      <c r="AL343" s="29" t="str">
        <f t="shared" si="134"/>
        <v/>
      </c>
      <c r="AM343" s="8" t="str">
        <f t="shared" si="127"/>
        <v/>
      </c>
      <c r="AN343" s="8" t="str">
        <f t="shared" si="135"/>
        <v/>
      </c>
      <c r="AP343" s="38" t="str">
        <f>IF(L343="","",VLOOKUP($L343,classifications!$C:$E,3,FALSE))</f>
        <v/>
      </c>
      <c r="AQ343" s="39" t="str">
        <f t="shared" si="136"/>
        <v/>
      </c>
      <c r="AR343" s="34" t="str">
        <f>IF(AQ343="","",IF(I$8="A",(RANK(AQ343,AQ$11:AQ$368,1)+COUNTIF(AQ$11:AQ343,AQ343)-1),(RANK(AQ343,AQ$11:AQ$368)+COUNTIF(AQ$11:AQ343,AQ343)-1)))</f>
        <v/>
      </c>
      <c r="AS343" s="29" t="str">
        <f t="shared" si="137"/>
        <v/>
      </c>
      <c r="AT343" s="34" t="str">
        <f t="shared" si="128"/>
        <v/>
      </c>
      <c r="AU343" s="39" t="str">
        <f t="shared" si="141"/>
        <v/>
      </c>
      <c r="AX343" s="21">
        <f>HLOOKUP($AX$9&amp;$AX$10,Data!$A$1:$ZZ$2000,(MATCH($C343,Data!$A$1:$A$2000,0)),FALSE)</f>
        <v>84.247914936955652</v>
      </c>
      <c r="AY343" s="103"/>
      <c r="AZ343" s="21"/>
    </row>
    <row r="344" spans="1:52">
      <c r="A344" s="56" t="str">
        <f>$D$1&amp;334</f>
        <v>SD334</v>
      </c>
      <c r="B344" s="57">
        <f>IF(ISERROR(VLOOKUP(A344,classifications!A:C,3,FALSE)),0,VLOOKUP(A344,classifications!A:C,3,FALSE))</f>
        <v>0</v>
      </c>
      <c r="C344" s="8" t="s">
        <v>182</v>
      </c>
      <c r="D344" s="26" t="str">
        <f>VLOOKUP($C344,classifications!$C:$J,4,FALSE)</f>
        <v>SD</v>
      </c>
      <c r="E344" s="26">
        <f>VLOOKUP(C344,classifications!C:K,9,FALSE)</f>
        <v>0</v>
      </c>
      <c r="F344" s="36" t="str">
        <f t="shared" si="120"/>
        <v>-</v>
      </c>
      <c r="G344" s="71"/>
      <c r="H344" s="37" t="str">
        <f t="shared" si="121"/>
        <v>-</v>
      </c>
      <c r="I344" s="77" t="e">
        <f>IF(H344="","",IF($I$8="A",(RANK(H344,H$11:H$368,1)+COUNTIF(H$11:H344,H344)-1),(RANK(H344,H$11:H$368)+COUNTIF(H$11:H344,H344)-1)))</f>
        <v>#VALUE!</v>
      </c>
      <c r="J344" s="35"/>
      <c r="K344" s="28" t="str">
        <f t="shared" si="129"/>
        <v/>
      </c>
      <c r="L344" s="36" t="str">
        <f t="shared" si="122"/>
        <v/>
      </c>
      <c r="M344" s="102" t="str">
        <f t="shared" si="130"/>
        <v/>
      </c>
      <c r="N344" s="101" t="str">
        <f t="shared" si="131"/>
        <v/>
      </c>
      <c r="O344" s="94" t="str">
        <f t="shared" si="123"/>
        <v/>
      </c>
      <c r="P344" s="94" t="str">
        <f t="shared" si="138"/>
        <v/>
      </c>
      <c r="Q344" s="94" t="str">
        <f t="shared" si="139"/>
        <v/>
      </c>
      <c r="R344" s="90" t="str">
        <f t="shared" si="140"/>
        <v/>
      </c>
      <c r="S344" s="37" t="str">
        <f t="shared" si="132"/>
        <v/>
      </c>
      <c r="T344" s="176" t="str">
        <f>IF(L344="","",VLOOKUP(L344,classifications!C:K,9,FALSE))</f>
        <v/>
      </c>
      <c r="U344" s="183" t="str">
        <f t="shared" si="124"/>
        <v/>
      </c>
      <c r="V344" s="184" t="str">
        <f>IF(U344="","",IF($I$8="A",(RANK(U344,U$11:U$368)+COUNTIF(U$11:U344,U344)-1),(RANK(U344,U$11:U$368,1)+COUNTIF(U$11:U344,U344)-1)))</f>
        <v/>
      </c>
      <c r="W344" s="185"/>
      <c r="X344" s="38" t="str">
        <f>IF(L344="","",VLOOKUP($L344,classifications!$C:$J,6,FALSE))</f>
        <v/>
      </c>
      <c r="Y344" s="26" t="str">
        <f t="shared" si="125"/>
        <v/>
      </c>
      <c r="Z344" s="34" t="str">
        <f>IF(Y344="","",IF(I$8="A",(RANK(Y344,Y$11:Y$368,1)+COUNTIF(Y$11:Y344,Y344)-1),(RANK(Y344,Y$11:Y$368)+COUNTIF(Y$11:Y344,Y344)-1)))</f>
        <v/>
      </c>
      <c r="AA344" s="188" t="str">
        <f>IF(L344="","",VLOOKUP($L344,classifications!C:I,7,FALSE))</f>
        <v/>
      </c>
      <c r="AB344" s="184" t="str">
        <f t="shared" si="133"/>
        <v/>
      </c>
      <c r="AC344" s="184" t="str">
        <f>IF(AB344="","",IF($I$8="A",(RANK(AB344,AB$11:AB$368)+COUNTIF(AB$11:AB344,AB344)-1),(RANK(AB344,AB$11:AB$368,1)+COUNTIF(AB$11:AB344,AB344)-1)))</f>
        <v/>
      </c>
      <c r="AD344" s="184"/>
      <c r="AE344" s="28" t="str">
        <f t="shared" si="119"/>
        <v/>
      </c>
      <c r="AG344" s="96"/>
      <c r="AH344" s="29"/>
      <c r="AI344" s="38" t="str">
        <f>IF(L344="","",VLOOKUP($L344,classifications!$C:$J,8,FALSE))</f>
        <v/>
      </c>
      <c r="AJ344" s="39" t="str">
        <f t="shared" si="126"/>
        <v/>
      </c>
      <c r="AK344" s="34" t="str">
        <f>IF(AJ344="","",IF(I$8="A",(RANK(AJ344,AJ$11:AJ$368,1)+COUNTIF(AJ$11:AJ344,AJ344)-1),(RANK(AJ344,AJ$11:AJ$368)+COUNTIF(AJ$11:AJ344,AJ344)-1)))</f>
        <v/>
      </c>
      <c r="AL344" s="29" t="str">
        <f t="shared" si="134"/>
        <v/>
      </c>
      <c r="AM344" s="8" t="str">
        <f t="shared" si="127"/>
        <v/>
      </c>
      <c r="AN344" s="8" t="str">
        <f t="shared" si="135"/>
        <v/>
      </c>
      <c r="AP344" s="38" t="str">
        <f>IF(L344="","",VLOOKUP($L344,classifications!$C:$E,3,FALSE))</f>
        <v/>
      </c>
      <c r="AQ344" s="39" t="str">
        <f t="shared" si="136"/>
        <v/>
      </c>
      <c r="AR344" s="34" t="str">
        <f>IF(AQ344="","",IF(I$8="A",(RANK(AQ344,AQ$11:AQ$368,1)+COUNTIF(AQ$11:AQ344,AQ344)-1),(RANK(AQ344,AQ$11:AQ$368)+COUNTIF(AQ$11:AQ344,AQ344)-1)))</f>
        <v/>
      </c>
      <c r="AS344" s="29" t="str">
        <f t="shared" si="137"/>
        <v/>
      </c>
      <c r="AT344" s="34" t="str">
        <f t="shared" si="128"/>
        <v/>
      </c>
      <c r="AU344" s="39" t="str">
        <f t="shared" si="141"/>
        <v/>
      </c>
      <c r="AX344" s="21" t="str">
        <f>HLOOKUP($AX$9&amp;$AX$10,Data!$A$1:$ZZ$2000,(MATCH($C344,Data!$A$1:$A$2000,0)),FALSE)</f>
        <v>-</v>
      </c>
      <c r="AY344" s="103"/>
      <c r="AZ344" s="21"/>
    </row>
    <row r="345" spans="1:52">
      <c r="A345" s="56" t="str">
        <f>$D$1&amp;335</f>
        <v>SD335</v>
      </c>
      <c r="B345" s="57">
        <f>IF(ISERROR(VLOOKUP(A345,classifications!A:C,3,FALSE)),0,VLOOKUP(A345,classifications!A:C,3,FALSE))</f>
        <v>0</v>
      </c>
      <c r="C345" s="8" t="s">
        <v>183</v>
      </c>
      <c r="D345" s="26" t="str">
        <f>VLOOKUP($C345,classifications!$C:$J,4,FALSE)</f>
        <v>SD</v>
      </c>
      <c r="E345" s="26">
        <f>VLOOKUP(C345,classifications!C:K,9,FALSE)</f>
        <v>0</v>
      </c>
      <c r="F345" s="36">
        <f t="shared" si="120"/>
        <v>74.741479084428349</v>
      </c>
      <c r="G345" s="71"/>
      <c r="H345" s="37">
        <f t="shared" si="121"/>
        <v>74.741479084428349</v>
      </c>
      <c r="I345" s="77">
        <f>IF(H345="","",IF($I$8="A",(RANK(H345,H$11:H$368,1)+COUNTIF(H$11:H345,H345)-1),(RANK(H345,H$11:H$368)+COUNTIF(H$11:H345,H345)-1)))</f>
        <v>180</v>
      </c>
      <c r="J345" s="35"/>
      <c r="K345" s="28" t="str">
        <f t="shared" si="129"/>
        <v/>
      </c>
      <c r="L345" s="36" t="str">
        <f t="shared" si="122"/>
        <v/>
      </c>
      <c r="M345" s="102" t="str">
        <f t="shared" si="130"/>
        <v/>
      </c>
      <c r="N345" s="101" t="str">
        <f t="shared" si="131"/>
        <v/>
      </c>
      <c r="O345" s="94" t="str">
        <f t="shared" si="123"/>
        <v/>
      </c>
      <c r="P345" s="94" t="str">
        <f t="shared" si="138"/>
        <v/>
      </c>
      <c r="Q345" s="94" t="str">
        <f t="shared" si="139"/>
        <v/>
      </c>
      <c r="R345" s="90" t="str">
        <f t="shared" si="140"/>
        <v/>
      </c>
      <c r="S345" s="37" t="str">
        <f t="shared" si="132"/>
        <v/>
      </c>
      <c r="T345" s="176" t="str">
        <f>IF(L345="","",VLOOKUP(L345,classifications!C:K,9,FALSE))</f>
        <v/>
      </c>
      <c r="U345" s="183" t="str">
        <f t="shared" si="124"/>
        <v/>
      </c>
      <c r="V345" s="184" t="str">
        <f>IF(U345="","",IF($I$8="A",(RANK(U345,U$11:U$368)+COUNTIF(U$11:U345,U345)-1),(RANK(U345,U$11:U$368,1)+COUNTIF(U$11:U345,U345)-1)))</f>
        <v/>
      </c>
      <c r="W345" s="185"/>
      <c r="X345" s="38" t="str">
        <f>IF(L345="","",VLOOKUP($L345,classifications!$C:$J,6,FALSE))</f>
        <v/>
      </c>
      <c r="Y345" s="26" t="str">
        <f t="shared" si="125"/>
        <v/>
      </c>
      <c r="Z345" s="34" t="str">
        <f>IF(Y345="","",IF(I$8="A",(RANK(Y345,Y$11:Y$368,1)+COUNTIF(Y$11:Y345,Y345)-1),(RANK(Y345,Y$11:Y$368)+COUNTIF(Y$11:Y345,Y345)-1)))</f>
        <v/>
      </c>
      <c r="AA345" s="188" t="str">
        <f>IF(L345="","",VLOOKUP($L345,classifications!C:I,7,FALSE))</f>
        <v/>
      </c>
      <c r="AB345" s="184" t="str">
        <f t="shared" si="133"/>
        <v/>
      </c>
      <c r="AC345" s="184" t="str">
        <f>IF(AB345="","",IF($I$8="A",(RANK(AB345,AB$11:AB$368)+COUNTIF(AB$11:AB345,AB345)-1),(RANK(AB345,AB$11:AB$368,1)+COUNTIF(AB$11:AB345,AB345)-1)))</f>
        <v/>
      </c>
      <c r="AD345" s="184"/>
      <c r="AE345" s="28" t="str">
        <f t="shared" si="119"/>
        <v/>
      </c>
      <c r="AG345" s="96"/>
      <c r="AH345" s="29"/>
      <c r="AI345" s="38" t="str">
        <f>IF(L345="","",VLOOKUP($L345,classifications!$C:$J,8,FALSE))</f>
        <v/>
      </c>
      <c r="AJ345" s="39" t="str">
        <f t="shared" si="126"/>
        <v/>
      </c>
      <c r="AK345" s="34" t="str">
        <f>IF(AJ345="","",IF(I$8="A",(RANK(AJ345,AJ$11:AJ$368,1)+COUNTIF(AJ$11:AJ345,AJ345)-1),(RANK(AJ345,AJ$11:AJ$368)+COUNTIF(AJ$11:AJ345,AJ345)-1)))</f>
        <v/>
      </c>
      <c r="AL345" s="29" t="str">
        <f t="shared" si="134"/>
        <v/>
      </c>
      <c r="AM345" s="8" t="str">
        <f t="shared" si="127"/>
        <v/>
      </c>
      <c r="AN345" s="8" t="str">
        <f t="shared" si="135"/>
        <v/>
      </c>
      <c r="AP345" s="38" t="str">
        <f>IF(L345="","",VLOOKUP($L345,classifications!$C:$E,3,FALSE))</f>
        <v/>
      </c>
      <c r="AQ345" s="39" t="str">
        <f t="shared" si="136"/>
        <v/>
      </c>
      <c r="AR345" s="34" t="str">
        <f>IF(AQ345="","",IF(I$8="A",(RANK(AQ345,AQ$11:AQ$368,1)+COUNTIF(AQ$11:AQ345,AQ345)-1),(RANK(AQ345,AQ$11:AQ$368)+COUNTIF(AQ$11:AQ345,AQ345)-1)))</f>
        <v/>
      </c>
      <c r="AS345" s="29" t="str">
        <f t="shared" si="137"/>
        <v/>
      </c>
      <c r="AT345" s="34" t="str">
        <f t="shared" si="128"/>
        <v/>
      </c>
      <c r="AU345" s="39" t="str">
        <f t="shared" si="141"/>
        <v/>
      </c>
      <c r="AX345" s="21">
        <f>HLOOKUP($AX$9&amp;$AX$10,Data!$A$1:$ZZ$2000,(MATCH($C345,Data!$A$1:$A$2000,0)),FALSE)</f>
        <v>74.741479084428349</v>
      </c>
      <c r="AY345" s="103"/>
      <c r="AZ345" s="21"/>
    </row>
    <row r="346" spans="1:52">
      <c r="A346" s="56" t="str">
        <f>$D$1&amp;336</f>
        <v>SD336</v>
      </c>
      <c r="B346" s="57">
        <f>IF(ISERROR(VLOOKUP(A346,classifications!A:C,3,FALSE)),0,VLOOKUP(A346,classifications!A:C,3,FALSE))</f>
        <v>0</v>
      </c>
      <c r="C346" s="8" t="s">
        <v>184</v>
      </c>
      <c r="D346" s="26" t="str">
        <f>VLOOKUP($C346,classifications!$C:$J,4,FALSE)</f>
        <v>SD</v>
      </c>
      <c r="E346" s="26" t="str">
        <f>VLOOKUP(C346,classifications!C:K,9,FALSE)</f>
        <v>Sparse</v>
      </c>
      <c r="F346" s="36">
        <f t="shared" si="120"/>
        <v>70.443513596076485</v>
      </c>
      <c r="G346" s="71"/>
      <c r="H346" s="37">
        <f t="shared" si="121"/>
        <v>70.443513596076485</v>
      </c>
      <c r="I346" s="77">
        <f>IF(H346="","",IF($I$8="A",(RANK(H346,H$11:H$368,1)+COUNTIF(H$11:H346,H346)-1),(RANK(H346,H$11:H$368)+COUNTIF(H$11:H346,H346)-1)))</f>
        <v>192</v>
      </c>
      <c r="J346" s="35"/>
      <c r="K346" s="28" t="str">
        <f t="shared" si="129"/>
        <v/>
      </c>
      <c r="L346" s="36" t="str">
        <f t="shared" si="122"/>
        <v/>
      </c>
      <c r="M346" s="102" t="str">
        <f t="shared" si="130"/>
        <v/>
      </c>
      <c r="N346" s="101" t="str">
        <f t="shared" si="131"/>
        <v/>
      </c>
      <c r="O346" s="94" t="str">
        <f t="shared" si="123"/>
        <v/>
      </c>
      <c r="P346" s="94" t="str">
        <f t="shared" si="138"/>
        <v/>
      </c>
      <c r="Q346" s="94" t="str">
        <f t="shared" si="139"/>
        <v/>
      </c>
      <c r="R346" s="90" t="str">
        <f t="shared" si="140"/>
        <v/>
      </c>
      <c r="S346" s="37" t="str">
        <f t="shared" si="132"/>
        <v/>
      </c>
      <c r="T346" s="176" t="str">
        <f>IF(L346="","",VLOOKUP(L346,classifications!C:K,9,FALSE))</f>
        <v/>
      </c>
      <c r="U346" s="183" t="str">
        <f t="shared" si="124"/>
        <v/>
      </c>
      <c r="V346" s="184" t="str">
        <f>IF(U346="","",IF($I$8="A",(RANK(U346,U$11:U$368)+COUNTIF(U$11:U346,U346)-1),(RANK(U346,U$11:U$368,1)+COUNTIF(U$11:U346,U346)-1)))</f>
        <v/>
      </c>
      <c r="W346" s="185"/>
      <c r="X346" s="38" t="str">
        <f>IF(L346="","",VLOOKUP($L346,classifications!$C:$J,6,FALSE))</f>
        <v/>
      </c>
      <c r="Y346" s="26" t="str">
        <f t="shared" si="125"/>
        <v/>
      </c>
      <c r="Z346" s="34" t="str">
        <f>IF(Y346="","",IF(I$8="A",(RANK(Y346,Y$11:Y$368,1)+COUNTIF(Y$11:Y346,Y346)-1),(RANK(Y346,Y$11:Y$368)+COUNTIF(Y$11:Y346,Y346)-1)))</f>
        <v/>
      </c>
      <c r="AA346" s="188" t="str">
        <f>IF(L346="","",VLOOKUP($L346,classifications!C:I,7,FALSE))</f>
        <v/>
      </c>
      <c r="AB346" s="184" t="str">
        <f t="shared" si="133"/>
        <v/>
      </c>
      <c r="AC346" s="184" t="str">
        <f>IF(AB346="","",IF($I$8="A",(RANK(AB346,AB$11:AB$368)+COUNTIF(AB$11:AB346,AB346)-1),(RANK(AB346,AB$11:AB$368,1)+COUNTIF(AB$11:AB346,AB346)-1)))</f>
        <v/>
      </c>
      <c r="AD346" s="184"/>
      <c r="AE346" s="28" t="str">
        <f t="shared" si="119"/>
        <v/>
      </c>
      <c r="AG346" s="96"/>
      <c r="AH346" s="29"/>
      <c r="AI346" s="38" t="str">
        <f>IF(L346="","",VLOOKUP($L346,classifications!$C:$J,8,FALSE))</f>
        <v/>
      </c>
      <c r="AJ346" s="39" t="str">
        <f t="shared" si="126"/>
        <v/>
      </c>
      <c r="AK346" s="34" t="str">
        <f>IF(AJ346="","",IF(I$8="A",(RANK(AJ346,AJ$11:AJ$368,1)+COUNTIF(AJ$11:AJ346,AJ346)-1),(RANK(AJ346,AJ$11:AJ$368)+COUNTIF(AJ$11:AJ346,AJ346)-1)))</f>
        <v/>
      </c>
      <c r="AL346" s="29" t="str">
        <f t="shared" si="134"/>
        <v/>
      </c>
      <c r="AM346" s="8" t="str">
        <f t="shared" si="127"/>
        <v/>
      </c>
      <c r="AN346" s="8" t="str">
        <f t="shared" si="135"/>
        <v/>
      </c>
      <c r="AP346" s="38" t="str">
        <f>IF(L346="","",VLOOKUP($L346,classifications!$C:$E,3,FALSE))</f>
        <v/>
      </c>
      <c r="AQ346" s="39" t="str">
        <f t="shared" si="136"/>
        <v/>
      </c>
      <c r="AR346" s="34" t="str">
        <f>IF(AQ346="","",IF(I$8="A",(RANK(AQ346,AQ$11:AQ$368,1)+COUNTIF(AQ$11:AQ346,AQ346)-1),(RANK(AQ346,AQ$11:AQ$368)+COUNTIF(AQ$11:AQ346,AQ346)-1)))</f>
        <v/>
      </c>
      <c r="AS346" s="29" t="str">
        <f t="shared" si="137"/>
        <v/>
      </c>
      <c r="AT346" s="34" t="str">
        <f t="shared" si="128"/>
        <v/>
      </c>
      <c r="AU346" s="39" t="str">
        <f t="shared" si="141"/>
        <v/>
      </c>
      <c r="AX346" s="21">
        <f>HLOOKUP($AX$9&amp;$AX$10,Data!$A$1:$ZZ$2000,(MATCH($C346,Data!$A$1:$A$2000,0)),FALSE)</f>
        <v>70.443513596076485</v>
      </c>
      <c r="AY346" s="103"/>
      <c r="AZ346" s="21"/>
    </row>
    <row r="347" spans="1:52">
      <c r="A347" s="56" t="str">
        <f>$D$1&amp;337</f>
        <v>SD337</v>
      </c>
      <c r="B347" s="57">
        <f>IF(ISERROR(VLOOKUP(A347,classifications!A:C,3,FALSE)),0,VLOOKUP(A347,classifications!A:C,3,FALSE))</f>
        <v>0</v>
      </c>
      <c r="C347" s="8" t="s">
        <v>185</v>
      </c>
      <c r="D347" s="26" t="str">
        <f>VLOOKUP($C347,classifications!$C:$J,4,FALSE)</f>
        <v>SD</v>
      </c>
      <c r="E347" s="26" t="str">
        <f>VLOOKUP(C347,classifications!C:K,9,FALSE)</f>
        <v>Sparse</v>
      </c>
      <c r="F347" s="36">
        <f t="shared" si="120"/>
        <v>84.701153180655609</v>
      </c>
      <c r="G347" s="71"/>
      <c r="H347" s="37">
        <f t="shared" si="121"/>
        <v>84.701153180655609</v>
      </c>
      <c r="I347" s="77">
        <f>IF(H347="","",IF($I$8="A",(RANK(H347,H$11:H$368,1)+COUNTIF(H$11:H347,H347)-1),(RANK(H347,H$11:H$368)+COUNTIF(H$11:H347,H347)-1)))</f>
        <v>38</v>
      </c>
      <c r="J347" s="35"/>
      <c r="K347" s="28" t="str">
        <f t="shared" si="129"/>
        <v/>
      </c>
      <c r="L347" s="36" t="str">
        <f t="shared" si="122"/>
        <v/>
      </c>
      <c r="M347" s="102" t="str">
        <f t="shared" si="130"/>
        <v/>
      </c>
      <c r="N347" s="101" t="str">
        <f t="shared" si="131"/>
        <v/>
      </c>
      <c r="O347" s="94" t="str">
        <f t="shared" si="123"/>
        <v/>
      </c>
      <c r="P347" s="94" t="str">
        <f t="shared" si="138"/>
        <v/>
      </c>
      <c r="Q347" s="94" t="str">
        <f t="shared" si="139"/>
        <v/>
      </c>
      <c r="R347" s="90" t="str">
        <f t="shared" si="140"/>
        <v/>
      </c>
      <c r="S347" s="37" t="str">
        <f t="shared" si="132"/>
        <v/>
      </c>
      <c r="T347" s="176" t="str">
        <f>IF(L347="","",VLOOKUP(L347,classifications!C:K,9,FALSE))</f>
        <v/>
      </c>
      <c r="U347" s="183" t="str">
        <f t="shared" si="124"/>
        <v/>
      </c>
      <c r="V347" s="184" t="str">
        <f>IF(U347="","",IF($I$8="A",(RANK(U347,U$11:U$368)+COUNTIF(U$11:U347,U347)-1),(RANK(U347,U$11:U$368,1)+COUNTIF(U$11:U347,U347)-1)))</f>
        <v/>
      </c>
      <c r="W347" s="185"/>
      <c r="X347" s="38" t="str">
        <f>IF(L347="","",VLOOKUP($L347,classifications!$C:$J,6,FALSE))</f>
        <v/>
      </c>
      <c r="Y347" s="26" t="str">
        <f t="shared" si="125"/>
        <v/>
      </c>
      <c r="Z347" s="34" t="str">
        <f>IF(Y347="","",IF(I$8="A",(RANK(Y347,Y$11:Y$368,1)+COUNTIF(Y$11:Y347,Y347)-1),(RANK(Y347,Y$11:Y$368)+COUNTIF(Y$11:Y347,Y347)-1)))</f>
        <v/>
      </c>
      <c r="AA347" s="188" t="str">
        <f>IF(L347="","",VLOOKUP($L347,classifications!C:I,7,FALSE))</f>
        <v/>
      </c>
      <c r="AB347" s="184" t="str">
        <f t="shared" si="133"/>
        <v/>
      </c>
      <c r="AC347" s="184" t="str">
        <f>IF(AB347="","",IF($I$8="A",(RANK(AB347,AB$11:AB$368)+COUNTIF(AB$11:AB347,AB347)-1),(RANK(AB347,AB$11:AB$368,1)+COUNTIF(AB$11:AB347,AB347)-1)))</f>
        <v/>
      </c>
      <c r="AD347" s="184"/>
      <c r="AE347" s="28" t="str">
        <f t="shared" si="119"/>
        <v/>
      </c>
      <c r="AG347" s="96"/>
      <c r="AH347" s="29"/>
      <c r="AI347" s="38" t="str">
        <f>IF(L347="","",VLOOKUP($L347,classifications!$C:$J,8,FALSE))</f>
        <v/>
      </c>
      <c r="AJ347" s="39" t="str">
        <f t="shared" si="126"/>
        <v/>
      </c>
      <c r="AK347" s="34" t="str">
        <f>IF(AJ347="","",IF(I$8="A",(RANK(AJ347,AJ$11:AJ$368,1)+COUNTIF(AJ$11:AJ347,AJ347)-1),(RANK(AJ347,AJ$11:AJ$368)+COUNTIF(AJ$11:AJ347,AJ347)-1)))</f>
        <v/>
      </c>
      <c r="AL347" s="29" t="str">
        <f t="shared" si="134"/>
        <v/>
      </c>
      <c r="AM347" s="8" t="str">
        <f t="shared" si="127"/>
        <v/>
      </c>
      <c r="AN347" s="8" t="str">
        <f t="shared" si="135"/>
        <v/>
      </c>
      <c r="AP347" s="38" t="str">
        <f>IF(L347="","",VLOOKUP($L347,classifications!$C:$E,3,FALSE))</f>
        <v/>
      </c>
      <c r="AQ347" s="39" t="str">
        <f t="shared" si="136"/>
        <v/>
      </c>
      <c r="AR347" s="34" t="str">
        <f>IF(AQ347="","",IF(I$8="A",(RANK(AQ347,AQ$11:AQ$368,1)+COUNTIF(AQ$11:AQ347,AQ347)-1),(RANK(AQ347,AQ$11:AQ$368)+COUNTIF(AQ$11:AQ347,AQ347)-1)))</f>
        <v/>
      </c>
      <c r="AS347" s="29" t="str">
        <f t="shared" si="137"/>
        <v/>
      </c>
      <c r="AT347" s="34" t="str">
        <f t="shared" si="128"/>
        <v/>
      </c>
      <c r="AU347" s="39" t="str">
        <f t="shared" si="141"/>
        <v/>
      </c>
      <c r="AX347" s="21">
        <f>HLOOKUP($AX$9&amp;$AX$10,Data!$A$1:$ZZ$2000,(MATCH($C347,Data!$A$1:$A$2000,0)),FALSE)</f>
        <v>84.701153180655609</v>
      </c>
      <c r="AY347" s="103"/>
      <c r="AZ347" s="21"/>
    </row>
    <row r="348" spans="1:52">
      <c r="A348" s="56" t="str">
        <f>$D$1&amp;338</f>
        <v>SD338</v>
      </c>
      <c r="B348" s="57">
        <f>IF(ISERROR(VLOOKUP(A348,classifications!A:C,3,FALSE)),0,VLOOKUP(A348,classifications!A:C,3,FALSE))</f>
        <v>0</v>
      </c>
      <c r="C348" s="8" t="s">
        <v>186</v>
      </c>
      <c r="D348" s="26" t="str">
        <f>VLOOKUP($C348,classifications!$C:$J,4,FALSE)</f>
        <v>SD</v>
      </c>
      <c r="E348" s="26" t="str">
        <f>VLOOKUP(C348,classifications!C:K,9,FALSE)</f>
        <v>Sparse</v>
      </c>
      <c r="F348" s="36" t="str">
        <f t="shared" si="120"/>
        <v>-</v>
      </c>
      <c r="G348" s="71"/>
      <c r="H348" s="37" t="str">
        <f t="shared" si="121"/>
        <v>-</v>
      </c>
      <c r="I348" s="77" t="e">
        <f>IF(H348="","",IF($I$8="A",(RANK(H348,H$11:H$368,1)+COUNTIF(H$11:H348,H348)-1),(RANK(H348,H$11:H$368)+COUNTIF(H$11:H348,H348)-1)))</f>
        <v>#VALUE!</v>
      </c>
      <c r="J348" s="35"/>
      <c r="K348" s="28" t="str">
        <f t="shared" si="129"/>
        <v/>
      </c>
      <c r="L348" s="36" t="str">
        <f t="shared" si="122"/>
        <v/>
      </c>
      <c r="M348" s="102" t="str">
        <f t="shared" si="130"/>
        <v/>
      </c>
      <c r="N348" s="101" t="str">
        <f t="shared" si="131"/>
        <v/>
      </c>
      <c r="O348" s="94" t="str">
        <f t="shared" si="123"/>
        <v/>
      </c>
      <c r="P348" s="94" t="str">
        <f t="shared" si="138"/>
        <v/>
      </c>
      <c r="Q348" s="94" t="str">
        <f t="shared" si="139"/>
        <v/>
      </c>
      <c r="R348" s="90" t="str">
        <f t="shared" si="140"/>
        <v/>
      </c>
      <c r="S348" s="37" t="str">
        <f t="shared" si="132"/>
        <v/>
      </c>
      <c r="T348" s="176" t="str">
        <f>IF(L348="","",VLOOKUP(L348,classifications!C:K,9,FALSE))</f>
        <v/>
      </c>
      <c r="U348" s="183" t="str">
        <f t="shared" si="124"/>
        <v/>
      </c>
      <c r="V348" s="184" t="str">
        <f>IF(U348="","",IF($I$8="A",(RANK(U348,U$11:U$368)+COUNTIF(U$11:U348,U348)-1),(RANK(U348,U$11:U$368,1)+COUNTIF(U$11:U348,U348)-1)))</f>
        <v/>
      </c>
      <c r="W348" s="185"/>
      <c r="X348" s="38" t="str">
        <f>IF(L348="","",VLOOKUP($L348,classifications!$C:$J,6,FALSE))</f>
        <v/>
      </c>
      <c r="Y348" s="26" t="str">
        <f t="shared" si="125"/>
        <v/>
      </c>
      <c r="Z348" s="34" t="str">
        <f>IF(Y348="","",IF(I$8="A",(RANK(Y348,Y$11:Y$368,1)+COUNTIF(Y$11:Y348,Y348)-1),(RANK(Y348,Y$11:Y$368)+COUNTIF(Y$11:Y348,Y348)-1)))</f>
        <v/>
      </c>
      <c r="AA348" s="188" t="str">
        <f>IF(L348="","",VLOOKUP($L348,classifications!C:I,7,FALSE))</f>
        <v/>
      </c>
      <c r="AB348" s="184" t="str">
        <f t="shared" si="133"/>
        <v/>
      </c>
      <c r="AC348" s="184" t="str">
        <f>IF(AB348="","",IF($I$8="A",(RANK(AB348,AB$11:AB$368)+COUNTIF(AB$11:AB348,AB348)-1),(RANK(AB348,AB$11:AB$368,1)+COUNTIF(AB$11:AB348,AB348)-1)))</f>
        <v/>
      </c>
      <c r="AD348" s="184"/>
      <c r="AE348" s="28" t="str">
        <f t="shared" si="119"/>
        <v/>
      </c>
      <c r="AG348" s="96"/>
      <c r="AH348" s="29"/>
      <c r="AI348" s="38" t="str">
        <f>IF(L348="","",VLOOKUP($L348,classifications!$C:$J,8,FALSE))</f>
        <v/>
      </c>
      <c r="AJ348" s="39" t="str">
        <f t="shared" si="126"/>
        <v/>
      </c>
      <c r="AK348" s="34" t="str">
        <f>IF(AJ348="","",IF(I$8="A",(RANK(AJ348,AJ$11:AJ$368,1)+COUNTIF(AJ$11:AJ348,AJ348)-1),(RANK(AJ348,AJ$11:AJ$368)+COUNTIF(AJ$11:AJ348,AJ348)-1)))</f>
        <v/>
      </c>
      <c r="AL348" s="29" t="str">
        <f t="shared" si="134"/>
        <v/>
      </c>
      <c r="AM348" s="8" t="str">
        <f t="shared" si="127"/>
        <v/>
      </c>
      <c r="AN348" s="8" t="str">
        <f t="shared" si="135"/>
        <v/>
      </c>
      <c r="AP348" s="38" t="str">
        <f>IF(L348="","",VLOOKUP($L348,classifications!$C:$E,3,FALSE))</f>
        <v/>
      </c>
      <c r="AQ348" s="39" t="str">
        <f t="shared" si="136"/>
        <v/>
      </c>
      <c r="AR348" s="34" t="str">
        <f>IF(AQ348="","",IF(I$8="A",(RANK(AQ348,AQ$11:AQ$368,1)+COUNTIF(AQ$11:AQ348,AQ348)-1),(RANK(AQ348,AQ$11:AQ$368)+COUNTIF(AQ$11:AQ348,AQ348)-1)))</f>
        <v/>
      </c>
      <c r="AS348" s="29" t="str">
        <f t="shared" si="137"/>
        <v/>
      </c>
      <c r="AT348" s="34" t="str">
        <f t="shared" si="128"/>
        <v/>
      </c>
      <c r="AU348" s="39" t="str">
        <f t="shared" si="141"/>
        <v/>
      </c>
      <c r="AX348" s="21" t="str">
        <f>HLOOKUP($AX$9&amp;$AX$10,Data!$A$1:$ZZ$2000,(MATCH($C348,Data!$A$1:$A$2000,0)),FALSE)</f>
        <v>-</v>
      </c>
      <c r="AY348" s="103"/>
      <c r="AZ348" s="21"/>
    </row>
    <row r="349" spans="1:52">
      <c r="A349" s="56" t="str">
        <f>$D$1&amp;339</f>
        <v>SD339</v>
      </c>
      <c r="B349" s="57">
        <f>IF(ISERROR(VLOOKUP(A349,classifications!A:C,3,FALSE)),0,VLOOKUP(A349,classifications!A:C,3,FALSE))</f>
        <v>0</v>
      </c>
      <c r="C349" s="8" t="s">
        <v>910</v>
      </c>
      <c r="D349" s="26" t="str">
        <f>VLOOKUP($C349,classifications!$C:$J,4,FALSE)</f>
        <v>SD</v>
      </c>
      <c r="E349" s="26" t="str">
        <f>VLOOKUP(C349,classifications!C:K,9,FALSE)</f>
        <v>Sparse</v>
      </c>
      <c r="F349" s="36">
        <f t="shared" si="120"/>
        <v>82.281951366995557</v>
      </c>
      <c r="G349" s="71"/>
      <c r="H349" s="37">
        <f t="shared" si="121"/>
        <v>82.281951366995557</v>
      </c>
      <c r="I349" s="77">
        <f>IF(H349="","",IF($I$8="A",(RANK(H349,H$11:H$368,1)+COUNTIF(H$11:H349,H349)-1),(RANK(H349,H$11:H$368)+COUNTIF(H$11:H349,H349)-1)))</f>
        <v>74</v>
      </c>
      <c r="J349" s="35"/>
      <c r="K349" s="28" t="str">
        <f t="shared" si="129"/>
        <v/>
      </c>
      <c r="L349" s="36" t="str">
        <f t="shared" si="122"/>
        <v/>
      </c>
      <c r="M349" s="102" t="str">
        <f t="shared" si="130"/>
        <v/>
      </c>
      <c r="N349" s="101" t="str">
        <f t="shared" si="131"/>
        <v/>
      </c>
      <c r="O349" s="94" t="str">
        <f t="shared" si="123"/>
        <v/>
      </c>
      <c r="P349" s="94" t="str">
        <f t="shared" si="138"/>
        <v/>
      </c>
      <c r="Q349" s="94" t="str">
        <f t="shared" si="139"/>
        <v/>
      </c>
      <c r="R349" s="90" t="str">
        <f t="shared" si="140"/>
        <v/>
      </c>
      <c r="S349" s="37" t="str">
        <f t="shared" si="132"/>
        <v/>
      </c>
      <c r="T349" s="176" t="str">
        <f>IF(L349="","",VLOOKUP(L349,classifications!C:K,9,FALSE))</f>
        <v/>
      </c>
      <c r="U349" s="183" t="str">
        <f t="shared" si="124"/>
        <v/>
      </c>
      <c r="V349" s="184" t="str">
        <f>IF(U349="","",IF($I$8="A",(RANK(U349,U$11:U$368)+COUNTIF(U$11:U349,U349)-1),(RANK(U349,U$11:U$368,1)+COUNTIF(U$11:U349,U349)-1)))</f>
        <v/>
      </c>
      <c r="W349" s="185"/>
      <c r="X349" s="38" t="str">
        <f>IF(L349="","",VLOOKUP($L349,classifications!$C:$J,6,FALSE))</f>
        <v/>
      </c>
      <c r="Y349" s="26" t="str">
        <f t="shared" si="125"/>
        <v/>
      </c>
      <c r="Z349" s="34" t="str">
        <f>IF(Y349="","",IF(I$8="A",(RANK(Y349,Y$11:Y$368,1)+COUNTIF(Y$11:Y349,Y349)-1),(RANK(Y349,Y$11:Y$368)+COUNTIF(Y$11:Y349,Y349)-1)))</f>
        <v/>
      </c>
      <c r="AA349" s="188" t="str">
        <f>IF(L349="","",VLOOKUP($L349,classifications!C:I,7,FALSE))</f>
        <v/>
      </c>
      <c r="AB349" s="184" t="str">
        <f t="shared" si="133"/>
        <v/>
      </c>
      <c r="AC349" s="184" t="str">
        <f>IF(AB349="","",IF($I$8="A",(RANK(AB349,AB$11:AB$368)+COUNTIF(AB$11:AB349,AB349)-1),(RANK(AB349,AB$11:AB$368,1)+COUNTIF(AB$11:AB349,AB349)-1)))</f>
        <v/>
      </c>
      <c r="AD349" s="184"/>
      <c r="AE349" s="28" t="str">
        <f t="shared" si="119"/>
        <v/>
      </c>
      <c r="AG349" s="96"/>
      <c r="AH349" s="29"/>
      <c r="AI349" s="38" t="str">
        <f>IF(L349="","",VLOOKUP($L349,classifications!$C:$J,8,FALSE))</f>
        <v/>
      </c>
      <c r="AJ349" s="39" t="str">
        <f t="shared" si="126"/>
        <v/>
      </c>
      <c r="AK349" s="34" t="str">
        <f>IF(AJ349="","",IF(I$8="A",(RANK(AJ349,AJ$11:AJ$368,1)+COUNTIF(AJ$11:AJ349,AJ349)-1),(RANK(AJ349,AJ$11:AJ$368)+COUNTIF(AJ$11:AJ349,AJ349)-1)))</f>
        <v/>
      </c>
      <c r="AL349" s="29" t="str">
        <f t="shared" si="134"/>
        <v/>
      </c>
      <c r="AM349" s="8" t="str">
        <f t="shared" si="127"/>
        <v/>
      </c>
      <c r="AN349" s="8" t="str">
        <f t="shared" si="135"/>
        <v/>
      </c>
      <c r="AP349" s="38" t="str">
        <f>IF(L349="","",VLOOKUP($L349,classifications!$C:$E,3,FALSE))</f>
        <v/>
      </c>
      <c r="AQ349" s="39" t="str">
        <f t="shared" si="136"/>
        <v/>
      </c>
      <c r="AR349" s="34" t="str">
        <f>IF(AQ349="","",IF(I$8="A",(RANK(AQ349,AQ$11:AQ$368,1)+COUNTIF(AQ$11:AQ349,AQ349)-1),(RANK(AQ349,AQ$11:AQ$368)+COUNTIF(AQ$11:AQ349,AQ349)-1)))</f>
        <v/>
      </c>
      <c r="AS349" s="29" t="str">
        <f t="shared" si="137"/>
        <v/>
      </c>
      <c r="AT349" s="34" t="str">
        <f t="shared" si="128"/>
        <v/>
      </c>
      <c r="AU349" s="39" t="str">
        <f t="shared" si="141"/>
        <v/>
      </c>
      <c r="AX349" s="21">
        <f>HLOOKUP($AX$9&amp;$AX$10,Data!$A$1:$ZZ$2000,(MATCH($C349,Data!$A$1:$A$2000,0)),FALSE)</f>
        <v>82.281951366995557</v>
      </c>
      <c r="AY349" s="103"/>
      <c r="AZ349" s="21"/>
    </row>
    <row r="350" spans="1:52">
      <c r="A350" s="56" t="str">
        <f>$D$1&amp;340</f>
        <v>SD340</v>
      </c>
      <c r="B350" s="57">
        <f>IF(ISERROR(VLOOKUP(A350,classifications!A:C,3,FALSE)),0,VLOOKUP(A350,classifications!A:C,3,FALSE))</f>
        <v>0</v>
      </c>
      <c r="C350" s="8" t="s">
        <v>331</v>
      </c>
      <c r="D350" s="26" t="str">
        <f>VLOOKUP($C350,classifications!$C:$J,4,FALSE)</f>
        <v>SC</v>
      </c>
      <c r="E350" s="26">
        <f>VLOOKUP(C350,classifications!C:K,9,FALSE)</f>
        <v>0</v>
      </c>
      <c r="F350" s="36">
        <f t="shared" si="120"/>
        <v>83.163723407627913</v>
      </c>
      <c r="G350" s="71"/>
      <c r="H350" s="37" t="str">
        <f t="shared" si="121"/>
        <v/>
      </c>
      <c r="I350" s="77" t="str">
        <f>IF(H350="","",IF($I$8="A",(RANK(H350,H$11:H$368,1)+COUNTIF(H$11:H350,H350)-1),(RANK(H350,H$11:H$368)+COUNTIF(H$11:H350,H350)-1)))</f>
        <v/>
      </c>
      <c r="J350" s="35"/>
      <c r="K350" s="28" t="str">
        <f t="shared" si="129"/>
        <v/>
      </c>
      <c r="L350" s="36" t="str">
        <f t="shared" si="122"/>
        <v/>
      </c>
      <c r="M350" s="102" t="str">
        <f t="shared" si="130"/>
        <v/>
      </c>
      <c r="N350" s="101" t="str">
        <f t="shared" si="131"/>
        <v/>
      </c>
      <c r="O350" s="94" t="str">
        <f t="shared" si="123"/>
        <v/>
      </c>
      <c r="P350" s="94" t="str">
        <f t="shared" si="138"/>
        <v/>
      </c>
      <c r="Q350" s="94" t="str">
        <f t="shared" si="139"/>
        <v/>
      </c>
      <c r="R350" s="90" t="str">
        <f t="shared" si="140"/>
        <v/>
      </c>
      <c r="S350" s="37" t="str">
        <f t="shared" si="132"/>
        <v/>
      </c>
      <c r="T350" s="176" t="str">
        <f>IF(L350="","",VLOOKUP(L350,classifications!C:K,9,FALSE))</f>
        <v/>
      </c>
      <c r="U350" s="183" t="str">
        <f t="shared" si="124"/>
        <v/>
      </c>
      <c r="V350" s="184" t="str">
        <f>IF(U350="","",IF($I$8="A",(RANK(U350,U$11:U$368)+COUNTIF(U$11:U350,U350)-1),(RANK(U350,U$11:U$368,1)+COUNTIF(U$11:U350,U350)-1)))</f>
        <v/>
      </c>
      <c r="W350" s="185"/>
      <c r="X350" s="38" t="str">
        <f>IF(L350="","",VLOOKUP($L350,classifications!$C:$J,6,FALSE))</f>
        <v/>
      </c>
      <c r="Y350" s="26" t="str">
        <f t="shared" si="125"/>
        <v/>
      </c>
      <c r="Z350" s="34" t="str">
        <f>IF(Y350="","",IF(I$8="A",(RANK(Y350,Y$11:Y$368,1)+COUNTIF(Y$11:Y350,Y350)-1),(RANK(Y350,Y$11:Y$368)+COUNTIF(Y$11:Y350,Y350)-1)))</f>
        <v/>
      </c>
      <c r="AA350" s="188" t="str">
        <f>IF(L350="","",VLOOKUP($L350,classifications!C:I,7,FALSE))</f>
        <v/>
      </c>
      <c r="AB350" s="184" t="str">
        <f t="shared" si="133"/>
        <v/>
      </c>
      <c r="AC350" s="184" t="str">
        <f>IF(AB350="","",IF($I$8="A",(RANK(AB350,AB$11:AB$368)+COUNTIF(AB$11:AB350,AB350)-1),(RANK(AB350,AB$11:AB$368,1)+COUNTIF(AB$11:AB350,AB350)-1)))</f>
        <v/>
      </c>
      <c r="AD350" s="184"/>
      <c r="AE350" s="28" t="str">
        <f t="shared" si="119"/>
        <v/>
      </c>
      <c r="AG350" s="96"/>
      <c r="AH350" s="29"/>
      <c r="AI350" s="38" t="str">
        <f>IF(L350="","",VLOOKUP($L350,classifications!$C:$J,8,FALSE))</f>
        <v/>
      </c>
      <c r="AJ350" s="39" t="str">
        <f t="shared" si="126"/>
        <v/>
      </c>
      <c r="AK350" s="34" t="str">
        <f>IF(AJ350="","",IF(I$8="A",(RANK(AJ350,AJ$11:AJ$368,1)+COUNTIF(AJ$11:AJ350,AJ350)-1),(RANK(AJ350,AJ$11:AJ$368)+COUNTIF(AJ$11:AJ350,AJ350)-1)))</f>
        <v/>
      </c>
      <c r="AL350" s="29" t="str">
        <f t="shared" si="134"/>
        <v/>
      </c>
      <c r="AM350" s="8" t="str">
        <f t="shared" si="127"/>
        <v/>
      </c>
      <c r="AN350" s="8" t="str">
        <f t="shared" si="135"/>
        <v/>
      </c>
      <c r="AP350" s="38" t="str">
        <f>IF(L350="","",VLOOKUP($L350,classifications!$C:$E,3,FALSE))</f>
        <v/>
      </c>
      <c r="AQ350" s="39" t="str">
        <f t="shared" si="136"/>
        <v/>
      </c>
      <c r="AR350" s="34" t="str">
        <f>IF(AQ350="","",IF(I$8="A",(RANK(AQ350,AQ$11:AQ$368,1)+COUNTIF(AQ$11:AQ350,AQ350)-1),(RANK(AQ350,AQ$11:AQ$368)+COUNTIF(AQ$11:AQ350,AQ350)-1)))</f>
        <v/>
      </c>
      <c r="AS350" s="29" t="str">
        <f t="shared" si="137"/>
        <v/>
      </c>
      <c r="AT350" s="34" t="str">
        <f t="shared" si="128"/>
        <v/>
      </c>
      <c r="AU350" s="39" t="str">
        <f t="shared" si="141"/>
        <v/>
      </c>
      <c r="AX350" s="21">
        <f>HLOOKUP($AX$9&amp;$AX$10,Data!$A$1:$ZZ$2000,(MATCH($C350,Data!$A$1:$A$2000,0)),FALSE)</f>
        <v>83.163723407627913</v>
      </c>
      <c r="AY350" s="103"/>
      <c r="AZ350" s="21"/>
    </row>
    <row r="351" spans="1:52">
      <c r="A351" s="56" t="str">
        <f>$D$1&amp;341</f>
        <v>SD341</v>
      </c>
      <c r="B351" s="57">
        <f>IF(ISERROR(VLOOKUP(A351,classifications!A:C,3,FALSE)),0,VLOOKUP(A351,classifications!A:C,3,FALSE))</f>
        <v>0</v>
      </c>
      <c r="C351" s="8" t="s">
        <v>187</v>
      </c>
      <c r="D351" s="26" t="str">
        <f>VLOOKUP($C351,classifications!$C:$J,4,FALSE)</f>
        <v>L</v>
      </c>
      <c r="E351" s="26">
        <f>VLOOKUP(C351,classifications!C:K,9,FALSE)</f>
        <v>0</v>
      </c>
      <c r="F351" s="36">
        <f t="shared" si="120"/>
        <v>88.187621304019942</v>
      </c>
      <c r="G351" s="71"/>
      <c r="H351" s="37" t="str">
        <f t="shared" si="121"/>
        <v/>
      </c>
      <c r="I351" s="77" t="str">
        <f>IF(H351="","",IF($I$8="A",(RANK(H351,H$11:H$368,1)+COUNTIF(H$11:H351,H351)-1),(RANK(H351,H$11:H$368)+COUNTIF(H$11:H351,H351)-1)))</f>
        <v/>
      </c>
      <c r="J351" s="35"/>
      <c r="K351" s="28" t="str">
        <f t="shared" si="129"/>
        <v/>
      </c>
      <c r="L351" s="36" t="str">
        <f t="shared" si="122"/>
        <v/>
      </c>
      <c r="M351" s="102" t="str">
        <f t="shared" si="130"/>
        <v/>
      </c>
      <c r="N351" s="101" t="str">
        <f t="shared" si="131"/>
        <v/>
      </c>
      <c r="O351" s="94" t="str">
        <f t="shared" si="123"/>
        <v/>
      </c>
      <c r="P351" s="94" t="str">
        <f t="shared" si="138"/>
        <v/>
      </c>
      <c r="Q351" s="94" t="str">
        <f t="shared" si="139"/>
        <v/>
      </c>
      <c r="R351" s="90" t="str">
        <f t="shared" si="140"/>
        <v/>
      </c>
      <c r="S351" s="37" t="str">
        <f t="shared" si="132"/>
        <v/>
      </c>
      <c r="T351" s="176" t="str">
        <f>IF(L351="","",VLOOKUP(L351,classifications!C:K,9,FALSE))</f>
        <v/>
      </c>
      <c r="U351" s="183" t="str">
        <f t="shared" si="124"/>
        <v/>
      </c>
      <c r="V351" s="184" t="str">
        <f>IF(U351="","",IF($I$8="A",(RANK(U351,U$11:U$368)+COUNTIF(U$11:U351,U351)-1),(RANK(U351,U$11:U$368,1)+COUNTIF(U$11:U351,U351)-1)))</f>
        <v/>
      </c>
      <c r="W351" s="185"/>
      <c r="X351" s="38" t="str">
        <f>IF(L351="","",VLOOKUP($L351,classifications!$C:$J,6,FALSE))</f>
        <v/>
      </c>
      <c r="Y351" s="26" t="str">
        <f t="shared" si="125"/>
        <v/>
      </c>
      <c r="Z351" s="34" t="str">
        <f>IF(Y351="","",IF(I$8="A",(RANK(Y351,Y$11:Y$368,1)+COUNTIF(Y$11:Y351,Y351)-1),(RANK(Y351,Y$11:Y$368)+COUNTIF(Y$11:Y351,Y351)-1)))</f>
        <v/>
      </c>
      <c r="AA351" s="188" t="str">
        <f>IF(L351="","",VLOOKUP($L351,classifications!C:I,7,FALSE))</f>
        <v/>
      </c>
      <c r="AB351" s="184" t="str">
        <f t="shared" si="133"/>
        <v/>
      </c>
      <c r="AC351" s="184" t="str">
        <f>IF(AB351="","",IF($I$8="A",(RANK(AB351,AB$11:AB$368)+COUNTIF(AB$11:AB351,AB351)-1),(RANK(AB351,AB$11:AB$368,1)+COUNTIF(AB$11:AB351,AB351)-1)))</f>
        <v/>
      </c>
      <c r="AD351" s="184"/>
      <c r="AE351" s="28" t="str">
        <f t="shared" si="119"/>
        <v/>
      </c>
      <c r="AG351" s="96"/>
      <c r="AH351" s="29"/>
      <c r="AI351" s="38" t="str">
        <f>IF(L351="","",VLOOKUP($L351,classifications!$C:$J,8,FALSE))</f>
        <v/>
      </c>
      <c r="AJ351" s="39" t="str">
        <f t="shared" si="126"/>
        <v/>
      </c>
      <c r="AK351" s="34" t="str">
        <f>IF(AJ351="","",IF(I$8="A",(RANK(AJ351,AJ$11:AJ$368,1)+COUNTIF(AJ$11:AJ351,AJ351)-1),(RANK(AJ351,AJ$11:AJ$368)+COUNTIF(AJ$11:AJ351,AJ351)-1)))</f>
        <v/>
      </c>
      <c r="AL351" s="29" t="str">
        <f t="shared" si="134"/>
        <v/>
      </c>
      <c r="AM351" s="8" t="str">
        <f t="shared" si="127"/>
        <v/>
      </c>
      <c r="AN351" s="8" t="str">
        <f t="shared" si="135"/>
        <v/>
      </c>
      <c r="AP351" s="38" t="str">
        <f>IF(L351="","",VLOOKUP($L351,classifications!$C:$E,3,FALSE))</f>
        <v/>
      </c>
      <c r="AQ351" s="39" t="str">
        <f t="shared" si="136"/>
        <v/>
      </c>
      <c r="AR351" s="34" t="str">
        <f>IF(AQ351="","",IF(I$8="A",(RANK(AQ351,AQ$11:AQ$368,1)+COUNTIF(AQ$11:AQ351,AQ351)-1),(RANK(AQ351,AQ$11:AQ$368)+COUNTIF(AQ$11:AQ351,AQ351)-1)))</f>
        <v/>
      </c>
      <c r="AS351" s="29" t="str">
        <f t="shared" si="137"/>
        <v/>
      </c>
      <c r="AT351" s="34" t="str">
        <f t="shared" si="128"/>
        <v/>
      </c>
      <c r="AU351" s="39" t="str">
        <f t="shared" si="141"/>
        <v/>
      </c>
      <c r="AX351" s="21">
        <f>HLOOKUP($AX$9&amp;$AX$10,Data!$A$1:$ZZ$2000,(MATCH($C351,Data!$A$1:$A$2000,0)),FALSE)</f>
        <v>88.187621304019942</v>
      </c>
      <c r="AY351" s="103"/>
      <c r="AZ351" s="21"/>
    </row>
    <row r="352" spans="1:52">
      <c r="A352" s="56" t="str">
        <f>$D$1&amp;342</f>
        <v>SD342</v>
      </c>
      <c r="B352" s="57">
        <f>IF(ISERROR(VLOOKUP(A352,classifications!A:C,3,FALSE)),0,VLOOKUP(A352,classifications!A:C,3,FALSE))</f>
        <v>0</v>
      </c>
      <c r="C352" s="8" t="s">
        <v>350</v>
      </c>
      <c r="D352" s="26" t="str">
        <f>VLOOKUP($C352,classifications!$C:$J,4,FALSE)</f>
        <v>SD</v>
      </c>
      <c r="E352" s="26">
        <f>VLOOKUP(C352,classifications!C:K,9,FALSE)</f>
        <v>0</v>
      </c>
      <c r="F352" s="36" t="str">
        <f t="shared" si="120"/>
        <v>-</v>
      </c>
      <c r="G352" s="71"/>
      <c r="H352" s="37" t="str">
        <f t="shared" si="121"/>
        <v>-</v>
      </c>
      <c r="I352" s="77" t="e">
        <f>IF(H352="","",IF($I$8="A",(RANK(H352,H$11:H$368,1)+COUNTIF(H$11:H352,H352)-1),(RANK(H352,H$11:H$368)+COUNTIF(H$11:H352,H352)-1)))</f>
        <v>#VALUE!</v>
      </c>
      <c r="J352" s="35"/>
      <c r="K352" s="28" t="str">
        <f t="shared" si="129"/>
        <v/>
      </c>
      <c r="L352" s="36" t="str">
        <f t="shared" si="122"/>
        <v/>
      </c>
      <c r="M352" s="102" t="str">
        <f t="shared" si="130"/>
        <v/>
      </c>
      <c r="N352" s="101" t="str">
        <f t="shared" si="131"/>
        <v/>
      </c>
      <c r="O352" s="94" t="str">
        <f t="shared" si="123"/>
        <v/>
      </c>
      <c r="P352" s="94" t="str">
        <f t="shared" si="138"/>
        <v/>
      </c>
      <c r="Q352" s="94" t="str">
        <f t="shared" si="139"/>
        <v/>
      </c>
      <c r="R352" s="90" t="str">
        <f t="shared" si="140"/>
        <v/>
      </c>
      <c r="S352" s="37" t="str">
        <f t="shared" si="132"/>
        <v/>
      </c>
      <c r="T352" s="176" t="str">
        <f>IF(L352="","",VLOOKUP(L352,classifications!C:K,9,FALSE))</f>
        <v/>
      </c>
      <c r="U352" s="183" t="str">
        <f t="shared" si="124"/>
        <v/>
      </c>
      <c r="V352" s="184" t="str">
        <f>IF(U352="","",IF($I$8="A",(RANK(U352,U$11:U$368)+COUNTIF(U$11:U352,U352)-1),(RANK(U352,U$11:U$368,1)+COUNTIF(U$11:U352,U352)-1)))</f>
        <v/>
      </c>
      <c r="W352" s="185"/>
      <c r="X352" s="38" t="str">
        <f>IF(L352="","",VLOOKUP($L352,classifications!$C:$J,6,FALSE))</f>
        <v/>
      </c>
      <c r="Y352" s="26" t="str">
        <f t="shared" si="125"/>
        <v/>
      </c>
      <c r="Z352" s="34" t="str">
        <f>IF(Y352="","",IF(I$8="A",(RANK(Y352,Y$11:Y$368,1)+COUNTIF(Y$11:Y352,Y352)-1),(RANK(Y352,Y$11:Y$368)+COUNTIF(Y$11:Y352,Y352)-1)))</f>
        <v/>
      </c>
      <c r="AA352" s="188" t="str">
        <f>IF(L352="","",VLOOKUP($L352,classifications!C:I,7,FALSE))</f>
        <v/>
      </c>
      <c r="AB352" s="184" t="str">
        <f t="shared" si="133"/>
        <v/>
      </c>
      <c r="AC352" s="184" t="str">
        <f>IF(AB352="","",IF($I$8="A",(RANK(AB352,AB$11:AB$368)+COUNTIF(AB$11:AB352,AB352)-1),(RANK(AB352,AB$11:AB$368,1)+COUNTIF(AB$11:AB352,AB352)-1)))</f>
        <v/>
      </c>
      <c r="AD352" s="184"/>
      <c r="AE352" s="28" t="str">
        <f t="shared" si="119"/>
        <v/>
      </c>
      <c r="AG352" s="96"/>
      <c r="AH352" s="29"/>
      <c r="AI352" s="38" t="str">
        <f>IF(L352="","",VLOOKUP($L352,classifications!$C:$J,8,FALSE))</f>
        <v/>
      </c>
      <c r="AJ352" s="39" t="str">
        <f t="shared" si="126"/>
        <v/>
      </c>
      <c r="AK352" s="34" t="str">
        <f>IF(AJ352="","",IF(I$8="A",(RANK(AJ352,AJ$11:AJ$368,1)+COUNTIF(AJ$11:AJ352,AJ352)-1),(RANK(AJ352,AJ$11:AJ$368)+COUNTIF(AJ$11:AJ352,AJ352)-1)))</f>
        <v/>
      </c>
      <c r="AL352" s="29" t="str">
        <f t="shared" si="134"/>
        <v/>
      </c>
      <c r="AM352" s="8" t="str">
        <f t="shared" si="127"/>
        <v/>
      </c>
      <c r="AN352" s="8" t="str">
        <f t="shared" si="135"/>
        <v/>
      </c>
      <c r="AP352" s="38" t="str">
        <f>IF(L352="","",VLOOKUP($L352,classifications!$C:$E,3,FALSE))</f>
        <v/>
      </c>
      <c r="AQ352" s="39" t="str">
        <f t="shared" si="136"/>
        <v/>
      </c>
      <c r="AR352" s="34" t="str">
        <f>IF(AQ352="","",IF(I$8="A",(RANK(AQ352,AQ$11:AQ$368,1)+COUNTIF(AQ$11:AQ352,AQ352)-1),(RANK(AQ352,AQ$11:AQ$368)+COUNTIF(AQ$11:AQ352,AQ352)-1)))</f>
        <v/>
      </c>
      <c r="AS352" s="29" t="str">
        <f t="shared" si="137"/>
        <v/>
      </c>
      <c r="AT352" s="34" t="str">
        <f t="shared" si="128"/>
        <v/>
      </c>
      <c r="AU352" s="39" t="str">
        <f t="shared" si="141"/>
        <v/>
      </c>
      <c r="AX352" s="21" t="str">
        <f>HLOOKUP($AX$9&amp;$AX$10,Data!$A$1:$ZZ$2000,(MATCH($C352,Data!$A$1:$A$2000,0)),FALSE)</f>
        <v>-</v>
      </c>
      <c r="AY352" s="103"/>
      <c r="AZ352" s="21"/>
    </row>
    <row r="353" spans="1:735">
      <c r="A353" s="56" t="str">
        <f>$D$1&amp;343</f>
        <v>SD343</v>
      </c>
      <c r="B353" s="57">
        <f>IF(ISERROR(VLOOKUP(A353,classifications!A:C,3,FALSE)),0,VLOOKUP(A353,classifications!A:C,3,FALSE))</f>
        <v>0</v>
      </c>
      <c r="C353" s="8" t="s">
        <v>255</v>
      </c>
      <c r="D353" s="26" t="str">
        <f>VLOOKUP($C353,classifications!$C:$J,4,FALSE)</f>
        <v>MD</v>
      </c>
      <c r="E353" s="26">
        <f>VLOOKUP(C353,classifications!C:K,9,FALSE)</f>
        <v>0</v>
      </c>
      <c r="F353" s="36">
        <f t="shared" si="120"/>
        <v>77.173816903465536</v>
      </c>
      <c r="G353" s="71"/>
      <c r="H353" s="37" t="str">
        <f t="shared" si="121"/>
        <v/>
      </c>
      <c r="I353" s="77" t="str">
        <f>IF(H353="","",IF($I$8="A",(RANK(H353,H$11:H$368,1)+COUNTIF(H$11:H353,H353)-1),(RANK(H353,H$11:H$368)+COUNTIF(H$11:H353,H353)-1)))</f>
        <v/>
      </c>
      <c r="J353" s="35"/>
      <c r="K353" s="28" t="str">
        <f t="shared" si="129"/>
        <v/>
      </c>
      <c r="L353" s="36" t="str">
        <f t="shared" si="122"/>
        <v/>
      </c>
      <c r="M353" s="102" t="str">
        <f t="shared" si="130"/>
        <v/>
      </c>
      <c r="N353" s="101" t="str">
        <f t="shared" si="131"/>
        <v/>
      </c>
      <c r="O353" s="94" t="str">
        <f t="shared" si="123"/>
        <v/>
      </c>
      <c r="P353" s="94" t="str">
        <f t="shared" si="138"/>
        <v/>
      </c>
      <c r="Q353" s="94" t="str">
        <f t="shared" si="139"/>
        <v/>
      </c>
      <c r="R353" s="90" t="str">
        <f t="shared" si="140"/>
        <v/>
      </c>
      <c r="S353" s="37" t="str">
        <f t="shared" si="132"/>
        <v/>
      </c>
      <c r="T353" s="176" t="str">
        <f>IF(L353="","",VLOOKUP(L353,classifications!C:K,9,FALSE))</f>
        <v/>
      </c>
      <c r="U353" s="183" t="str">
        <f t="shared" si="124"/>
        <v/>
      </c>
      <c r="V353" s="184" t="str">
        <f>IF(U353="","",IF($I$8="A",(RANK(U353,U$11:U$368)+COUNTIF(U$11:U353,U353)-1),(RANK(U353,U$11:U$368,1)+COUNTIF(U$11:U353,U353)-1)))</f>
        <v/>
      </c>
      <c r="W353" s="185"/>
      <c r="X353" s="38" t="str">
        <f>IF(L353="","",VLOOKUP($L353,classifications!$C:$J,6,FALSE))</f>
        <v/>
      </c>
      <c r="Y353" s="26" t="str">
        <f t="shared" si="125"/>
        <v/>
      </c>
      <c r="Z353" s="34" t="str">
        <f>IF(Y353="","",IF(I$8="A",(RANK(Y353,Y$11:Y$368,1)+COUNTIF(Y$11:Y353,Y353)-1),(RANK(Y353,Y$11:Y$368)+COUNTIF(Y$11:Y353,Y353)-1)))</f>
        <v/>
      </c>
      <c r="AA353" s="188" t="str">
        <f>IF(L353="","",VLOOKUP($L353,classifications!C:I,7,FALSE))</f>
        <v/>
      </c>
      <c r="AB353" s="184" t="str">
        <f t="shared" si="133"/>
        <v/>
      </c>
      <c r="AC353" s="184" t="str">
        <f>IF(AB353="","",IF($I$8="A",(RANK(AB353,AB$11:AB$368)+COUNTIF(AB$11:AB353,AB353)-1),(RANK(AB353,AB$11:AB$368,1)+COUNTIF(AB$11:AB353,AB353)-1)))</f>
        <v/>
      </c>
      <c r="AD353" s="184"/>
      <c r="AE353" s="28" t="str">
        <f t="shared" si="119"/>
        <v/>
      </c>
      <c r="AG353" s="96"/>
      <c r="AH353" s="29"/>
      <c r="AI353" s="38" t="str">
        <f>IF(L353="","",VLOOKUP($L353,classifications!$C:$J,8,FALSE))</f>
        <v/>
      </c>
      <c r="AJ353" s="39" t="str">
        <f t="shared" si="126"/>
        <v/>
      </c>
      <c r="AK353" s="34" t="str">
        <f>IF(AJ353="","",IF(I$8="A",(RANK(AJ353,AJ$11:AJ$368,1)+COUNTIF(AJ$11:AJ353,AJ353)-1),(RANK(AJ353,AJ$11:AJ$368)+COUNTIF(AJ$11:AJ353,AJ353)-1)))</f>
        <v/>
      </c>
      <c r="AL353" s="29" t="str">
        <f t="shared" si="134"/>
        <v/>
      </c>
      <c r="AM353" s="8" t="str">
        <f t="shared" si="127"/>
        <v/>
      </c>
      <c r="AN353" s="8" t="str">
        <f t="shared" si="135"/>
        <v/>
      </c>
      <c r="AP353" s="38" t="str">
        <f>IF(L353="","",VLOOKUP($L353,classifications!$C:$E,3,FALSE))</f>
        <v/>
      </c>
      <c r="AQ353" s="39" t="str">
        <f t="shared" si="136"/>
        <v/>
      </c>
      <c r="AR353" s="34" t="str">
        <f>IF(AQ353="","",IF(I$8="A",(RANK(AQ353,AQ$11:AQ$368,1)+COUNTIF(AQ$11:AQ353,AQ353)-1),(RANK(AQ353,AQ$11:AQ$368)+COUNTIF(AQ$11:AQ353,AQ353)-1)))</f>
        <v/>
      </c>
      <c r="AS353" s="29" t="str">
        <f t="shared" si="137"/>
        <v/>
      </c>
      <c r="AT353" s="34" t="str">
        <f t="shared" si="128"/>
        <v/>
      </c>
      <c r="AU353" s="39" t="str">
        <f t="shared" si="141"/>
        <v/>
      </c>
      <c r="AX353" s="21">
        <f>HLOOKUP($AX$9&amp;$AX$10,Data!$A$1:$ZZ$2000,(MATCH($C353,Data!$A$1:$A$2000,0)),FALSE)</f>
        <v>77.173816903465536</v>
      </c>
      <c r="AY353" s="103"/>
      <c r="AZ353" s="21"/>
    </row>
    <row r="354" spans="1:735">
      <c r="A354" s="56" t="str">
        <f>$D$1&amp;344</f>
        <v>SD344</v>
      </c>
      <c r="B354" s="57">
        <f>IF(ISERROR(VLOOKUP(A354,classifications!A:C,3,FALSE)),0,VLOOKUP(A354,classifications!A:C,3,FALSE))</f>
        <v>0</v>
      </c>
      <c r="C354" s="8" t="s">
        <v>297</v>
      </c>
      <c r="D354" s="26" t="str">
        <f>VLOOKUP($C354,classifications!$C:$J,4,FALSE)</f>
        <v>UA</v>
      </c>
      <c r="E354" s="26">
        <f>VLOOKUP(C354,classifications!C:K,9,FALSE)</f>
        <v>0</v>
      </c>
      <c r="F354" s="36">
        <f t="shared" si="120"/>
        <v>85.738323629749004</v>
      </c>
      <c r="G354" s="71"/>
      <c r="H354" s="37" t="str">
        <f t="shared" si="121"/>
        <v/>
      </c>
      <c r="I354" s="77" t="str">
        <f>IF(H354="","",IF($I$8="A",(RANK(H354,H$11:H$368,1)+COUNTIF(H$11:H354,H354)-1),(RANK(H354,H$11:H$368)+COUNTIF(H$11:H354,H354)-1)))</f>
        <v/>
      </c>
      <c r="J354" s="35"/>
      <c r="K354" s="28" t="str">
        <f t="shared" si="129"/>
        <v/>
      </c>
      <c r="L354" s="36" t="str">
        <f t="shared" si="122"/>
        <v/>
      </c>
      <c r="M354" s="102" t="str">
        <f t="shared" si="130"/>
        <v/>
      </c>
      <c r="N354" s="101" t="str">
        <f t="shared" si="131"/>
        <v/>
      </c>
      <c r="O354" s="94" t="str">
        <f t="shared" si="123"/>
        <v/>
      </c>
      <c r="P354" s="94" t="str">
        <f t="shared" si="138"/>
        <v/>
      </c>
      <c r="Q354" s="94" t="str">
        <f t="shared" si="139"/>
        <v/>
      </c>
      <c r="R354" s="90" t="str">
        <f t="shared" si="140"/>
        <v/>
      </c>
      <c r="S354" s="37" t="str">
        <f t="shared" si="132"/>
        <v/>
      </c>
      <c r="T354" s="176" t="str">
        <f>IF(L354="","",VLOOKUP(L354,classifications!C:K,9,FALSE))</f>
        <v/>
      </c>
      <c r="U354" s="183" t="str">
        <f t="shared" si="124"/>
        <v/>
      </c>
      <c r="V354" s="184" t="str">
        <f>IF(U354="","",IF($I$8="A",(RANK(U354,U$11:U$368)+COUNTIF(U$11:U354,U354)-1),(RANK(U354,U$11:U$368,1)+COUNTIF(U$11:U354,U354)-1)))</f>
        <v/>
      </c>
      <c r="W354" s="185"/>
      <c r="X354" s="38" t="str">
        <f>IF(L354="","",VLOOKUP($L354,classifications!$C:$J,6,FALSE))</f>
        <v/>
      </c>
      <c r="Y354" s="26" t="str">
        <f t="shared" si="125"/>
        <v/>
      </c>
      <c r="Z354" s="34" t="str">
        <f>IF(Y354="","",IF(I$8="A",(RANK(Y354,Y$11:Y$368,1)+COUNTIF(Y$11:Y354,Y354)-1),(RANK(Y354,Y$11:Y$368)+COUNTIF(Y$11:Y354,Y354)-1)))</f>
        <v/>
      </c>
      <c r="AA354" s="188" t="str">
        <f>IF(L354="","",VLOOKUP($L354,classifications!C:I,7,FALSE))</f>
        <v/>
      </c>
      <c r="AB354" s="184" t="str">
        <f t="shared" si="133"/>
        <v/>
      </c>
      <c r="AC354" s="184" t="str">
        <f>IF(AB354="","",IF($I$8="A",(RANK(AB354,AB$11:AB$368)+COUNTIF(AB$11:AB354,AB354)-1),(RANK(AB354,AB$11:AB$368,1)+COUNTIF(AB$11:AB354,AB354)-1)))</f>
        <v/>
      </c>
      <c r="AD354" s="184"/>
      <c r="AE354" s="28" t="str">
        <f t="shared" si="119"/>
        <v/>
      </c>
      <c r="AG354" s="96"/>
      <c r="AH354" s="29"/>
      <c r="AI354" s="38" t="str">
        <f>IF(L354="","",VLOOKUP($L354,classifications!$C:$J,8,FALSE))</f>
        <v/>
      </c>
      <c r="AJ354" s="39" t="str">
        <f t="shared" si="126"/>
        <v/>
      </c>
      <c r="AK354" s="34" t="str">
        <f>IF(AJ354="","",IF(I$8="A",(RANK(AJ354,AJ$11:AJ$368,1)+COUNTIF(AJ$11:AJ354,AJ354)-1),(RANK(AJ354,AJ$11:AJ$368)+COUNTIF(AJ$11:AJ354,AJ354)-1)))</f>
        <v/>
      </c>
      <c r="AL354" s="29" t="str">
        <f t="shared" si="134"/>
        <v/>
      </c>
      <c r="AM354" s="8" t="str">
        <f t="shared" si="127"/>
        <v/>
      </c>
      <c r="AN354" s="8" t="str">
        <f t="shared" si="135"/>
        <v/>
      </c>
      <c r="AP354" s="38" t="str">
        <f>IF(L354="","",VLOOKUP($L354,classifications!$C:$E,3,FALSE))</f>
        <v/>
      </c>
      <c r="AQ354" s="39" t="str">
        <f t="shared" si="136"/>
        <v/>
      </c>
      <c r="AR354" s="34" t="str">
        <f>IF(AQ354="","",IF(I$8="A",(RANK(AQ354,AQ$11:AQ$368,1)+COUNTIF(AQ$11:AQ354,AQ354)-1),(RANK(AQ354,AQ$11:AQ$368)+COUNTIF(AQ$11:AQ354,AQ354)-1)))</f>
        <v/>
      </c>
      <c r="AS354" s="29" t="str">
        <f t="shared" si="137"/>
        <v/>
      </c>
      <c r="AT354" s="34" t="str">
        <f t="shared" si="128"/>
        <v/>
      </c>
      <c r="AU354" s="39" t="str">
        <f t="shared" si="141"/>
        <v/>
      </c>
      <c r="AX354" s="21">
        <f>HLOOKUP($AX$9&amp;$AX$10,Data!$A$1:$ZZ$2000,(MATCH($C354,Data!$A$1:$A$2000,0)),FALSE)</f>
        <v>85.738323629749004</v>
      </c>
      <c r="AY354" s="103"/>
      <c r="AZ354" s="21"/>
    </row>
    <row r="355" spans="1:735">
      <c r="A355" s="56" t="str">
        <f>$D$1&amp;345</f>
        <v>SD345</v>
      </c>
      <c r="B355" s="57">
        <f>IF(ISERROR(VLOOKUP(A355,classifications!A:C,3,FALSE)),0,VLOOKUP(A355,classifications!A:C,3,FALSE))</f>
        <v>0</v>
      </c>
      <c r="C355" s="8" t="s">
        <v>188</v>
      </c>
      <c r="D355" s="26" t="str">
        <f>VLOOKUP($C355,classifications!$C:$J,4,FALSE)</f>
        <v>SD</v>
      </c>
      <c r="E355" s="26">
        <f>VLOOKUP(C355,classifications!C:K,9,FALSE)</f>
        <v>0</v>
      </c>
      <c r="F355" s="36">
        <f t="shared" si="120"/>
        <v>86.887516701888018</v>
      </c>
      <c r="G355" s="71"/>
      <c r="H355" s="37">
        <f t="shared" si="121"/>
        <v>86.887516701888018</v>
      </c>
      <c r="I355" s="77">
        <f>IF(H355="","",IF($I$8="A",(RANK(H355,H$11:H$368,1)+COUNTIF(H$11:H355,H355)-1),(RANK(H355,H$11:H$368)+COUNTIF(H$11:H355,H355)-1)))</f>
        <v>9</v>
      </c>
      <c r="J355" s="35"/>
      <c r="K355" s="28" t="str">
        <f t="shared" si="129"/>
        <v/>
      </c>
      <c r="L355" s="36" t="str">
        <f t="shared" si="122"/>
        <v/>
      </c>
      <c r="M355" s="102" t="str">
        <f t="shared" si="130"/>
        <v/>
      </c>
      <c r="N355" s="101" t="str">
        <f t="shared" si="131"/>
        <v/>
      </c>
      <c r="O355" s="94" t="str">
        <f t="shared" si="123"/>
        <v/>
      </c>
      <c r="P355" s="94" t="str">
        <f t="shared" si="138"/>
        <v/>
      </c>
      <c r="Q355" s="94" t="str">
        <f t="shared" si="139"/>
        <v/>
      </c>
      <c r="R355" s="90" t="str">
        <f t="shared" si="140"/>
        <v/>
      </c>
      <c r="S355" s="37" t="str">
        <f t="shared" si="132"/>
        <v/>
      </c>
      <c r="T355" s="176" t="str">
        <f>IF(L355="","",VLOOKUP(L355,classifications!C:K,9,FALSE))</f>
        <v/>
      </c>
      <c r="U355" s="183" t="str">
        <f t="shared" si="124"/>
        <v/>
      </c>
      <c r="V355" s="184" t="str">
        <f>IF(U355="","",IF($I$8="A",(RANK(U355,U$11:U$368)+COUNTIF(U$11:U355,U355)-1),(RANK(U355,U$11:U$368,1)+COUNTIF(U$11:U355,U355)-1)))</f>
        <v/>
      </c>
      <c r="W355" s="185"/>
      <c r="X355" s="38" t="str">
        <f>IF(L355="","",VLOOKUP($L355,classifications!$C:$J,6,FALSE))</f>
        <v/>
      </c>
      <c r="Y355" s="26" t="str">
        <f t="shared" si="125"/>
        <v/>
      </c>
      <c r="Z355" s="34" t="str">
        <f>IF(Y355="","",IF(I$8="A",(RANK(Y355,Y$11:Y$368,1)+COUNTIF(Y$11:Y355,Y355)-1),(RANK(Y355,Y$11:Y$368)+COUNTIF(Y$11:Y355,Y355)-1)))</f>
        <v/>
      </c>
      <c r="AA355" s="188" t="str">
        <f>IF(L355="","",VLOOKUP($L355,classifications!C:I,7,FALSE))</f>
        <v/>
      </c>
      <c r="AB355" s="184" t="str">
        <f t="shared" si="133"/>
        <v/>
      </c>
      <c r="AC355" s="184" t="str">
        <f>IF(AB355="","",IF($I$8="A",(RANK(AB355,AB$11:AB$368)+COUNTIF(AB$11:AB355,AB355)-1),(RANK(AB355,AB$11:AB$368,1)+COUNTIF(AB$11:AB355,AB355)-1)))</f>
        <v/>
      </c>
      <c r="AD355" s="184"/>
      <c r="AE355" s="28" t="str">
        <f t="shared" ref="AE355:AE363" si="142">IF(AE354="","",IF(AE354+1&gt;(COUNT(AG:AG)),"",AE354+1))</f>
        <v/>
      </c>
      <c r="AG355" s="96"/>
      <c r="AH355" s="29"/>
      <c r="AI355" s="38" t="str">
        <f>IF(L355="","",VLOOKUP($L355,classifications!$C:$J,8,FALSE))</f>
        <v/>
      </c>
      <c r="AJ355" s="39" t="str">
        <f t="shared" si="126"/>
        <v/>
      </c>
      <c r="AK355" s="34" t="str">
        <f>IF(AJ355="","",IF(I$8="A",(RANK(AJ355,AJ$11:AJ$368,1)+COUNTIF(AJ$11:AJ355,AJ355)-1),(RANK(AJ355,AJ$11:AJ$368)+COUNTIF(AJ$11:AJ355,AJ355)-1)))</f>
        <v/>
      </c>
      <c r="AL355" s="29" t="str">
        <f t="shared" si="134"/>
        <v/>
      </c>
      <c r="AM355" s="8" t="str">
        <f t="shared" si="127"/>
        <v/>
      </c>
      <c r="AN355" s="8" t="str">
        <f t="shared" si="135"/>
        <v/>
      </c>
      <c r="AP355" s="38" t="str">
        <f>IF(L355="","",VLOOKUP($L355,classifications!$C:$E,3,FALSE))</f>
        <v/>
      </c>
      <c r="AQ355" s="39" t="str">
        <f t="shared" si="136"/>
        <v/>
      </c>
      <c r="AR355" s="34" t="str">
        <f>IF(AQ355="","",IF(I$8="A",(RANK(AQ355,AQ$11:AQ$368,1)+COUNTIF(AQ$11:AQ355,AQ355)-1),(RANK(AQ355,AQ$11:AQ$368)+COUNTIF(AQ$11:AQ355,AQ355)-1)))</f>
        <v/>
      </c>
      <c r="AS355" s="29" t="str">
        <f t="shared" si="137"/>
        <v/>
      </c>
      <c r="AT355" s="34" t="str">
        <f t="shared" si="128"/>
        <v/>
      </c>
      <c r="AU355" s="39" t="str">
        <f t="shared" si="141"/>
        <v/>
      </c>
      <c r="AX355" s="21">
        <f>HLOOKUP($AX$9&amp;$AX$10,Data!$A$1:$ZZ$2000,(MATCH($C355,Data!$A$1:$A$2000,0)),FALSE)</f>
        <v>86.887516701888018</v>
      </c>
      <c r="AY355" s="103"/>
      <c r="AZ355" s="21"/>
    </row>
    <row r="356" spans="1:735">
      <c r="A356" s="56" t="str">
        <f>$D$1&amp;346</f>
        <v>SD346</v>
      </c>
      <c r="B356" s="57">
        <f>IF(ISERROR(VLOOKUP(A356,classifications!A:C,3,FALSE)),0,VLOOKUP(A356,classifications!A:C,3,FALSE))</f>
        <v>0</v>
      </c>
      <c r="C356" s="8" t="s">
        <v>814</v>
      </c>
      <c r="D356" s="26" t="str">
        <f>VLOOKUP($C356,classifications!$C:$J,4,FALSE)</f>
        <v>UA</v>
      </c>
      <c r="E356" s="26">
        <f>VLOOKUP(C356,classifications!C:K,9,FALSE)</f>
        <v>0</v>
      </c>
      <c r="F356" s="36">
        <f t="shared" si="120"/>
        <v>86.655867467218172</v>
      </c>
      <c r="G356" s="71"/>
      <c r="H356" s="37" t="str">
        <f t="shared" si="121"/>
        <v/>
      </c>
      <c r="I356" s="77" t="str">
        <f>IF(H356="","",IF($I$8="A",(RANK(H356,H$11:H$368,1)+COUNTIF(H$11:H356,H356)-1),(RANK(H356,H$11:H$368)+COUNTIF(H$11:H356,H356)-1)))</f>
        <v/>
      </c>
      <c r="J356" s="35"/>
      <c r="K356" s="28" t="str">
        <f t="shared" si="129"/>
        <v/>
      </c>
      <c r="L356" s="36" t="str">
        <f t="shared" si="122"/>
        <v/>
      </c>
      <c r="M356" s="102" t="str">
        <f t="shared" si="130"/>
        <v/>
      </c>
      <c r="N356" s="101" t="str">
        <f t="shared" si="131"/>
        <v/>
      </c>
      <c r="O356" s="94" t="str">
        <f t="shared" si="123"/>
        <v/>
      </c>
      <c r="P356" s="94" t="str">
        <f t="shared" si="138"/>
        <v/>
      </c>
      <c r="Q356" s="94" t="str">
        <f t="shared" si="139"/>
        <v/>
      </c>
      <c r="R356" s="90" t="str">
        <f t="shared" si="140"/>
        <v/>
      </c>
      <c r="S356" s="37" t="str">
        <f t="shared" si="132"/>
        <v/>
      </c>
      <c r="T356" s="176" t="str">
        <f>IF(L356="","",VLOOKUP(L356,classifications!C:K,9,FALSE))</f>
        <v/>
      </c>
      <c r="U356" s="183" t="str">
        <f t="shared" si="124"/>
        <v/>
      </c>
      <c r="V356" s="184" t="str">
        <f>IF(U356="","",IF($I$8="A",(RANK(U356,U$11:U$368)+COUNTIF(U$11:U356,U356)-1),(RANK(U356,U$11:U$368,1)+COUNTIF(U$11:U356,U356)-1)))</f>
        <v/>
      </c>
      <c r="W356" s="185"/>
      <c r="X356" s="38" t="str">
        <f>IF(L356="","",VLOOKUP($L356,classifications!$C:$J,6,FALSE))</f>
        <v/>
      </c>
      <c r="Y356" s="26" t="str">
        <f t="shared" si="125"/>
        <v/>
      </c>
      <c r="Z356" s="34" t="str">
        <f>IF(Y356="","",IF(I$8="A",(RANK(Y356,Y$11:Y$368,1)+COUNTIF(Y$11:Y356,Y356)-1),(RANK(Y356,Y$11:Y$368)+COUNTIF(Y$11:Y356,Y356)-1)))</f>
        <v/>
      </c>
      <c r="AA356" s="188" t="str">
        <f>IF(L356="","",VLOOKUP($L356,classifications!C:I,7,FALSE))</f>
        <v/>
      </c>
      <c r="AB356" s="184" t="str">
        <f t="shared" si="133"/>
        <v/>
      </c>
      <c r="AC356" s="184" t="str">
        <f>IF(AB356="","",IF($I$8="A",(RANK(AB356,AB$11:AB$368)+COUNTIF(AB$11:AB356,AB356)-1),(RANK(AB356,AB$11:AB$368,1)+COUNTIF(AB$11:AB356,AB356)-1)))</f>
        <v/>
      </c>
      <c r="AD356" s="184"/>
      <c r="AE356" s="28" t="str">
        <f t="shared" si="142"/>
        <v/>
      </c>
      <c r="AG356" s="96"/>
      <c r="AH356" s="29"/>
      <c r="AI356" s="38" t="str">
        <f>IF(L356="","",VLOOKUP($L356,classifications!$C:$J,8,FALSE))</f>
        <v/>
      </c>
      <c r="AJ356" s="39" t="str">
        <f t="shared" si="126"/>
        <v/>
      </c>
      <c r="AK356" s="34" t="str">
        <f>IF(AJ356="","",IF(I$8="A",(RANK(AJ356,AJ$11:AJ$368,1)+COUNTIF(AJ$11:AJ356,AJ356)-1),(RANK(AJ356,AJ$11:AJ$368)+COUNTIF(AJ$11:AJ356,AJ356)-1)))</f>
        <v/>
      </c>
      <c r="AL356" s="29" t="str">
        <f t="shared" si="134"/>
        <v/>
      </c>
      <c r="AM356" s="8" t="str">
        <f t="shared" si="127"/>
        <v/>
      </c>
      <c r="AN356" s="8" t="str">
        <f t="shared" si="135"/>
        <v/>
      </c>
      <c r="AP356" s="38" t="str">
        <f>IF(L356="","",VLOOKUP($L356,classifications!$C:$E,3,FALSE))</f>
        <v/>
      </c>
      <c r="AQ356" s="39" t="str">
        <f t="shared" si="136"/>
        <v/>
      </c>
      <c r="AR356" s="34" t="str">
        <f>IF(AQ356="","",IF(I$8="A",(RANK(AQ356,AQ$11:AQ$368,1)+COUNTIF(AQ$11:AQ356,AQ356)-1),(RANK(AQ356,AQ$11:AQ$368)+COUNTIF(AQ$11:AQ356,AQ356)-1)))</f>
        <v/>
      </c>
      <c r="AS356" s="29" t="str">
        <f t="shared" si="137"/>
        <v/>
      </c>
      <c r="AT356" s="34" t="str">
        <f t="shared" si="128"/>
        <v/>
      </c>
      <c r="AU356" s="39" t="str">
        <f t="shared" si="141"/>
        <v/>
      </c>
      <c r="AX356" s="21">
        <f>HLOOKUP($AX$9&amp;$AX$10,Data!$A$1:$ZZ$2000,(MATCH($C356,Data!$A$1:$A$2000,0)),FALSE)</f>
        <v>86.655867467218172</v>
      </c>
      <c r="AY356" s="103"/>
      <c r="AZ356" s="21"/>
    </row>
    <row r="357" spans="1:735">
      <c r="A357" s="56" t="str">
        <f>$D$1&amp;347</f>
        <v>SD347</v>
      </c>
      <c r="B357" s="57">
        <f>IF(ISERROR(VLOOKUP(A357,classifications!A:C,3,FALSE)),0,VLOOKUP(A357,classifications!A:C,3,FALSE))</f>
        <v>0</v>
      </c>
      <c r="C357" s="8" t="s">
        <v>256</v>
      </c>
      <c r="D357" s="26" t="str">
        <f>VLOOKUP($C357,classifications!$C:$J,4,FALSE)</f>
        <v>MD</v>
      </c>
      <c r="E357" s="26">
        <f>VLOOKUP(C357,classifications!C:K,9,FALSE)</f>
        <v>0</v>
      </c>
      <c r="F357" s="36">
        <f t="shared" si="120"/>
        <v>79.406448974889969</v>
      </c>
      <c r="G357" s="71"/>
      <c r="H357" s="37" t="str">
        <f t="shared" si="121"/>
        <v/>
      </c>
      <c r="I357" s="77" t="str">
        <f>IF(H357="","",IF($I$8="A",(RANK(H357,H$11:H$368,1)+COUNTIF(H$11:H357,H357)-1),(RANK(H357,H$11:H$368)+COUNTIF(H$11:H357,H357)-1)))</f>
        <v/>
      </c>
      <c r="J357" s="35"/>
      <c r="K357" s="28" t="str">
        <f t="shared" si="129"/>
        <v/>
      </c>
      <c r="L357" s="36" t="str">
        <f t="shared" si="122"/>
        <v/>
      </c>
      <c r="M357" s="102" t="str">
        <f t="shared" si="130"/>
        <v/>
      </c>
      <c r="N357" s="101" t="str">
        <f t="shared" si="131"/>
        <v/>
      </c>
      <c r="O357" s="94" t="str">
        <f t="shared" si="123"/>
        <v/>
      </c>
      <c r="P357" s="94" t="str">
        <f t="shared" si="138"/>
        <v/>
      </c>
      <c r="Q357" s="94" t="str">
        <f t="shared" si="139"/>
        <v/>
      </c>
      <c r="R357" s="90" t="str">
        <f t="shared" si="140"/>
        <v/>
      </c>
      <c r="S357" s="37" t="str">
        <f t="shared" si="132"/>
        <v/>
      </c>
      <c r="T357" s="176" t="str">
        <f>IF(L357="","",VLOOKUP(L357,classifications!C:K,9,FALSE))</f>
        <v/>
      </c>
      <c r="U357" s="183" t="str">
        <f t="shared" si="124"/>
        <v/>
      </c>
      <c r="V357" s="184" t="str">
        <f>IF(U357="","",IF($I$8="A",(RANK(U357,U$11:U$368)+COUNTIF(U$11:U357,U357)-1),(RANK(U357,U$11:U$368,1)+COUNTIF(U$11:U357,U357)-1)))</f>
        <v/>
      </c>
      <c r="W357" s="185"/>
      <c r="X357" s="38" t="str">
        <f>IF(L357="","",VLOOKUP($L357,classifications!$C:$J,6,FALSE))</f>
        <v/>
      </c>
      <c r="Y357" s="26" t="str">
        <f t="shared" si="125"/>
        <v/>
      </c>
      <c r="Z357" s="34" t="str">
        <f>IF(Y357="","",IF(I$8="A",(RANK(Y357,Y$11:Y$368,1)+COUNTIF(Y$11:Y357,Y357)-1),(RANK(Y357,Y$11:Y$368)+COUNTIF(Y$11:Y357,Y357)-1)))</f>
        <v/>
      </c>
      <c r="AA357" s="188" t="str">
        <f>IF(L357="","",VLOOKUP($L357,classifications!C:I,7,FALSE))</f>
        <v/>
      </c>
      <c r="AB357" s="184" t="str">
        <f t="shared" si="133"/>
        <v/>
      </c>
      <c r="AC357" s="184" t="str">
        <f>IF(AB357="","",IF($I$8="A",(RANK(AB357,AB$11:AB$368)+COUNTIF(AB$11:AB357,AB357)-1),(RANK(AB357,AB$11:AB$368,1)+COUNTIF(AB$11:AB357,AB357)-1)))</f>
        <v/>
      </c>
      <c r="AD357" s="184"/>
      <c r="AE357" s="28" t="str">
        <f t="shared" si="142"/>
        <v/>
      </c>
      <c r="AG357" s="96"/>
      <c r="AH357" s="29"/>
      <c r="AI357" s="38" t="str">
        <f>IF(L357="","",VLOOKUP($L357,classifications!$C:$J,8,FALSE))</f>
        <v/>
      </c>
      <c r="AJ357" s="39" t="str">
        <f t="shared" si="126"/>
        <v/>
      </c>
      <c r="AK357" s="34" t="str">
        <f>IF(AJ357="","",IF(I$8="A",(RANK(AJ357,AJ$11:AJ$368,1)+COUNTIF(AJ$11:AJ357,AJ357)-1),(RANK(AJ357,AJ$11:AJ$368)+COUNTIF(AJ$11:AJ357,AJ357)-1)))</f>
        <v/>
      </c>
      <c r="AL357" s="29" t="str">
        <f t="shared" si="134"/>
        <v/>
      </c>
      <c r="AM357" s="8" t="str">
        <f t="shared" si="127"/>
        <v/>
      </c>
      <c r="AN357" s="8" t="str">
        <f t="shared" si="135"/>
        <v/>
      </c>
      <c r="AP357" s="38" t="str">
        <f>IF(L357="","",VLOOKUP($L357,classifications!$C:$E,3,FALSE))</f>
        <v/>
      </c>
      <c r="AQ357" s="39" t="str">
        <f t="shared" si="136"/>
        <v/>
      </c>
      <c r="AR357" s="34" t="str">
        <f>IF(AQ357="","",IF(I$8="A",(RANK(AQ357,AQ$11:AQ$368,1)+COUNTIF(AQ$11:AQ357,AQ357)-1),(RANK(AQ357,AQ$11:AQ$368)+COUNTIF(AQ$11:AQ357,AQ357)-1)))</f>
        <v/>
      </c>
      <c r="AS357" s="29" t="str">
        <f t="shared" si="137"/>
        <v/>
      </c>
      <c r="AT357" s="34" t="str">
        <f t="shared" si="128"/>
        <v/>
      </c>
      <c r="AU357" s="39" t="str">
        <f t="shared" si="141"/>
        <v/>
      </c>
      <c r="AX357" s="21">
        <f>HLOOKUP($AX$9&amp;$AX$10,Data!$A$1:$ZZ$2000,(MATCH($C357,Data!$A$1:$A$2000,0)),FALSE)</f>
        <v>79.406448974889969</v>
      </c>
      <c r="AY357" s="103"/>
      <c r="AZ357" s="21"/>
    </row>
    <row r="358" spans="1:735">
      <c r="A358" s="56" t="str">
        <f>$D$1&amp;348</f>
        <v>SD348</v>
      </c>
      <c r="B358" s="57">
        <f>IF(ISERROR(VLOOKUP(A358,classifications!A:C,3,FALSE)),0,VLOOKUP(A358,classifications!A:C,3,FALSE))</f>
        <v>0</v>
      </c>
      <c r="C358" s="8" t="s">
        <v>189</v>
      </c>
      <c r="D358" s="26" t="str">
        <f>VLOOKUP($C358,classifications!$C:$J,4,FALSE)</f>
        <v>SD</v>
      </c>
      <c r="E358" s="26">
        <f>VLOOKUP(C358,classifications!C:K,9,FALSE)</f>
        <v>0</v>
      </c>
      <c r="F358" s="36">
        <f t="shared" si="120"/>
        <v>80.450599677789896</v>
      </c>
      <c r="G358" s="71"/>
      <c r="H358" s="37">
        <f t="shared" si="121"/>
        <v>80.450599677789896</v>
      </c>
      <c r="I358" s="77">
        <f>IF(H358="","",IF($I$8="A",(RANK(H358,H$11:H$368,1)+COUNTIF(H$11:H358,H358)-1),(RANK(H358,H$11:H$368)+COUNTIF(H$11:H358,H358)-1)))</f>
        <v>111</v>
      </c>
      <c r="J358" s="35"/>
      <c r="K358" s="28" t="str">
        <f t="shared" si="129"/>
        <v/>
      </c>
      <c r="L358" s="36" t="str">
        <f t="shared" si="122"/>
        <v/>
      </c>
      <c r="M358" s="102" t="str">
        <f t="shared" si="130"/>
        <v/>
      </c>
      <c r="N358" s="101" t="str">
        <f t="shared" si="131"/>
        <v/>
      </c>
      <c r="O358" s="94" t="str">
        <f t="shared" si="123"/>
        <v/>
      </c>
      <c r="P358" s="94" t="str">
        <f t="shared" si="138"/>
        <v/>
      </c>
      <c r="Q358" s="94" t="str">
        <f t="shared" si="139"/>
        <v/>
      </c>
      <c r="R358" s="90" t="str">
        <f t="shared" si="140"/>
        <v/>
      </c>
      <c r="S358" s="37" t="str">
        <f t="shared" si="132"/>
        <v/>
      </c>
      <c r="T358" s="176" t="str">
        <f>IF(L358="","",VLOOKUP(L358,classifications!C:K,9,FALSE))</f>
        <v/>
      </c>
      <c r="U358" s="183" t="str">
        <f t="shared" si="124"/>
        <v/>
      </c>
      <c r="V358" s="184" t="str">
        <f>IF(U358="","",IF($I$8="A",(RANK(U358,U$11:U$368)+COUNTIF(U$11:U358,U358)-1),(RANK(U358,U$11:U$368,1)+COUNTIF(U$11:U358,U358)-1)))</f>
        <v/>
      </c>
      <c r="W358" s="185"/>
      <c r="X358" s="38" t="str">
        <f>IF(L358="","",VLOOKUP($L358,classifications!$C:$J,6,FALSE))</f>
        <v/>
      </c>
      <c r="Y358" s="26" t="str">
        <f t="shared" si="125"/>
        <v/>
      </c>
      <c r="Z358" s="34" t="str">
        <f>IF(Y358="","",IF(I$8="A",(RANK(Y358,Y$11:Y$368,1)+COUNTIF(Y$11:Y358,Y358)-1),(RANK(Y358,Y$11:Y$368)+COUNTIF(Y$11:Y358,Y358)-1)))</f>
        <v/>
      </c>
      <c r="AA358" s="188" t="str">
        <f>IF(L358="","",VLOOKUP($L358,classifications!C:I,7,FALSE))</f>
        <v/>
      </c>
      <c r="AB358" s="184" t="str">
        <f t="shared" si="133"/>
        <v/>
      </c>
      <c r="AC358" s="184" t="str">
        <f>IF(AB358="","",IF($I$8="A",(RANK(AB358,AB$11:AB$368)+COUNTIF(AB$11:AB358,AB358)-1),(RANK(AB358,AB$11:AB$368,1)+COUNTIF(AB$11:AB358,AB358)-1)))</f>
        <v/>
      </c>
      <c r="AD358" s="184"/>
      <c r="AE358" s="28" t="str">
        <f t="shared" si="142"/>
        <v/>
      </c>
      <c r="AG358" s="96"/>
      <c r="AH358" s="29"/>
      <c r="AI358" s="38" t="str">
        <f>IF(L358="","",VLOOKUP($L358,classifications!$C:$J,8,FALSE))</f>
        <v/>
      </c>
      <c r="AJ358" s="39" t="str">
        <f t="shared" si="126"/>
        <v/>
      </c>
      <c r="AK358" s="34" t="str">
        <f>IF(AJ358="","",IF(I$8="A",(RANK(AJ358,AJ$11:AJ$368,1)+COUNTIF(AJ$11:AJ358,AJ358)-1),(RANK(AJ358,AJ$11:AJ$368)+COUNTIF(AJ$11:AJ358,AJ358)-1)))</f>
        <v/>
      </c>
      <c r="AL358" s="29" t="str">
        <f t="shared" si="134"/>
        <v/>
      </c>
      <c r="AM358" s="8" t="str">
        <f t="shared" si="127"/>
        <v/>
      </c>
      <c r="AN358" s="8" t="str">
        <f t="shared" si="135"/>
        <v/>
      </c>
      <c r="AP358" s="38" t="str">
        <f>IF(L358="","",VLOOKUP($L358,classifications!$C:$E,3,FALSE))</f>
        <v/>
      </c>
      <c r="AQ358" s="39" t="str">
        <f t="shared" si="136"/>
        <v/>
      </c>
      <c r="AR358" s="34" t="str">
        <f>IF(AQ358="","",IF(I$8="A",(RANK(AQ358,AQ$11:AQ$368,1)+COUNTIF(AQ$11:AQ358,AQ358)-1),(RANK(AQ358,AQ$11:AQ$368)+COUNTIF(AQ$11:AQ358,AQ358)-1)))</f>
        <v/>
      </c>
      <c r="AS358" s="29" t="str">
        <f t="shared" si="137"/>
        <v/>
      </c>
      <c r="AT358" s="34" t="str">
        <f t="shared" si="128"/>
        <v/>
      </c>
      <c r="AU358" s="39" t="str">
        <f t="shared" si="141"/>
        <v/>
      </c>
      <c r="AX358" s="21">
        <f>HLOOKUP($AX$9&amp;$AX$10,Data!$A$1:$ZZ$2000,(MATCH($C358,Data!$A$1:$A$2000,0)),FALSE)</f>
        <v>80.450599677789896</v>
      </c>
      <c r="AY358" s="103"/>
      <c r="AZ358" s="21"/>
    </row>
    <row r="359" spans="1:735">
      <c r="A359" s="56" t="str">
        <f>$D$1&amp;349</f>
        <v>SD349</v>
      </c>
      <c r="B359" s="57">
        <f>IF(ISERROR(VLOOKUP(A359,classifications!A:C,3,FALSE)),0,VLOOKUP(A359,classifications!A:C,3,FALSE))</f>
        <v>0</v>
      </c>
      <c r="C359" s="8" t="s">
        <v>298</v>
      </c>
      <c r="D359" s="26" t="str">
        <f>VLOOKUP($C359,classifications!$C:$J,4,FALSE)</f>
        <v>UA</v>
      </c>
      <c r="E359" s="26">
        <f>VLOOKUP(C359,classifications!C:K,9,FALSE)</f>
        <v>0</v>
      </c>
      <c r="F359" s="36">
        <f t="shared" si="120"/>
        <v>87.281768333812224</v>
      </c>
      <c r="G359" s="71"/>
      <c r="H359" s="37" t="str">
        <f t="shared" si="121"/>
        <v/>
      </c>
      <c r="I359" s="77" t="str">
        <f>IF(H359="","",IF($I$8="A",(RANK(H359,H$11:H$368,1)+COUNTIF(H$11:H359,H359)-1),(RANK(H359,H$11:H$368)+COUNTIF(H$11:H359,H359)-1)))</f>
        <v/>
      </c>
      <c r="J359" s="35"/>
      <c r="K359" s="28" t="str">
        <f t="shared" si="129"/>
        <v/>
      </c>
      <c r="L359" s="36" t="str">
        <f t="shared" si="122"/>
        <v/>
      </c>
      <c r="M359" s="102" t="str">
        <f t="shared" si="130"/>
        <v/>
      </c>
      <c r="N359" s="101" t="str">
        <f t="shared" si="131"/>
        <v/>
      </c>
      <c r="O359" s="94" t="str">
        <f t="shared" si="123"/>
        <v/>
      </c>
      <c r="P359" s="94" t="str">
        <f t="shared" si="138"/>
        <v/>
      </c>
      <c r="Q359" s="94" t="str">
        <f t="shared" si="139"/>
        <v/>
      </c>
      <c r="R359" s="90" t="str">
        <f t="shared" si="140"/>
        <v/>
      </c>
      <c r="S359" s="37" t="str">
        <f t="shared" si="132"/>
        <v/>
      </c>
      <c r="T359" s="176" t="str">
        <f>IF(L359="","",VLOOKUP(L359,classifications!C:K,9,FALSE))</f>
        <v/>
      </c>
      <c r="U359" s="183" t="str">
        <f t="shared" si="124"/>
        <v/>
      </c>
      <c r="V359" s="184" t="str">
        <f>IF(U359="","",IF($I$8="A",(RANK(U359,U$11:U$368)+COUNTIF(U$11:U359,U359)-1),(RANK(U359,U$11:U$368,1)+COUNTIF(U$11:U359,U359)-1)))</f>
        <v/>
      </c>
      <c r="W359" s="185"/>
      <c r="X359" s="38" t="str">
        <f>IF(L359="","",VLOOKUP($L359,classifications!$C:$J,6,FALSE))</f>
        <v/>
      </c>
      <c r="Y359" s="26" t="str">
        <f t="shared" si="125"/>
        <v/>
      </c>
      <c r="Z359" s="34" t="str">
        <f>IF(Y359="","",IF(I$8="A",(RANK(Y359,Y$11:Y$368,1)+COUNTIF(Y$11:Y359,Y359)-1),(RANK(Y359,Y$11:Y$368)+COUNTIF(Y$11:Y359,Y359)-1)))</f>
        <v/>
      </c>
      <c r="AA359" s="188" t="str">
        <f>IF(L359="","",VLOOKUP($L359,classifications!C:I,7,FALSE))</f>
        <v/>
      </c>
      <c r="AB359" s="184" t="str">
        <f t="shared" si="133"/>
        <v/>
      </c>
      <c r="AC359" s="184" t="str">
        <f>IF(AB359="","",IF($I$8="A",(RANK(AB359,AB$11:AB$368)+COUNTIF(AB$11:AB359,AB359)-1),(RANK(AB359,AB$11:AB$368,1)+COUNTIF(AB$11:AB359,AB359)-1)))</f>
        <v/>
      </c>
      <c r="AD359" s="184"/>
      <c r="AE359" s="28" t="str">
        <f t="shared" si="142"/>
        <v/>
      </c>
      <c r="AG359" s="96"/>
      <c r="AH359" s="29"/>
      <c r="AI359" s="38" t="str">
        <f>IF(L359="","",VLOOKUP($L359,classifications!$C:$J,8,FALSE))</f>
        <v/>
      </c>
      <c r="AJ359" s="39" t="str">
        <f t="shared" si="126"/>
        <v/>
      </c>
      <c r="AK359" s="34" t="str">
        <f>IF(AJ359="","",IF(I$8="A",(RANK(AJ359,AJ$11:AJ$368,1)+COUNTIF(AJ$11:AJ359,AJ359)-1),(RANK(AJ359,AJ$11:AJ$368)+COUNTIF(AJ$11:AJ359,AJ359)-1)))</f>
        <v/>
      </c>
      <c r="AL359" s="29" t="str">
        <f t="shared" si="134"/>
        <v/>
      </c>
      <c r="AM359" s="8" t="str">
        <f t="shared" si="127"/>
        <v/>
      </c>
      <c r="AN359" s="8" t="str">
        <f t="shared" si="135"/>
        <v/>
      </c>
      <c r="AP359" s="38" t="str">
        <f>IF(L359="","",VLOOKUP($L359,classifications!$C:$E,3,FALSE))</f>
        <v/>
      </c>
      <c r="AQ359" s="39" t="str">
        <f t="shared" si="136"/>
        <v/>
      </c>
      <c r="AR359" s="34" t="str">
        <f>IF(AQ359="","",IF(I$8="A",(RANK(AQ359,AQ$11:AQ$368,1)+COUNTIF(AQ$11:AQ359,AQ359)-1),(RANK(AQ359,AQ$11:AQ$368)+COUNTIF(AQ$11:AQ359,AQ359)-1)))</f>
        <v/>
      </c>
      <c r="AS359" s="29" t="str">
        <f t="shared" si="137"/>
        <v/>
      </c>
      <c r="AT359" s="34" t="str">
        <f t="shared" si="128"/>
        <v/>
      </c>
      <c r="AU359" s="39" t="str">
        <f t="shared" si="141"/>
        <v/>
      </c>
      <c r="AX359" s="21">
        <f>HLOOKUP($AX$9&amp;$AX$10,Data!$A$1:$ZZ$2000,(MATCH($C359,Data!$A$1:$A$2000,0)),FALSE)</f>
        <v>87.281768333812224</v>
      </c>
      <c r="AY359" s="103"/>
      <c r="AZ359" s="21"/>
    </row>
    <row r="360" spans="1:735">
      <c r="A360" s="56" t="str">
        <f>$D$1&amp;350</f>
        <v>SD350</v>
      </c>
      <c r="B360" s="57">
        <f>IF(ISERROR(VLOOKUP(A360,classifications!A:C,3,FALSE)),0,VLOOKUP(A360,classifications!A:C,3,FALSE))</f>
        <v>0</v>
      </c>
      <c r="C360" s="8" t="s">
        <v>257</v>
      </c>
      <c r="D360" s="26" t="str">
        <f>VLOOKUP($C360,classifications!$C:$J,4,FALSE)</f>
        <v>MD</v>
      </c>
      <c r="E360" s="26">
        <f>VLOOKUP(C360,classifications!C:K,9,FALSE)</f>
        <v>0</v>
      </c>
      <c r="F360" s="36">
        <f t="shared" si="120"/>
        <v>64.612523320906917</v>
      </c>
      <c r="G360" s="71"/>
      <c r="H360" s="37" t="str">
        <f t="shared" si="121"/>
        <v/>
      </c>
      <c r="I360" s="77" t="str">
        <f>IF(H360="","",IF($I$8="A",(RANK(H360,H$11:H$368,1)+COUNTIF(H$11:H360,H360)-1),(RANK(H360,H$11:H$368)+COUNTIF(H$11:H360,H360)-1)))</f>
        <v/>
      </c>
      <c r="J360" s="35"/>
      <c r="K360" s="28" t="str">
        <f t="shared" si="129"/>
        <v/>
      </c>
      <c r="L360" s="36" t="str">
        <f t="shared" si="122"/>
        <v/>
      </c>
      <c r="M360" s="102" t="str">
        <f t="shared" si="130"/>
        <v/>
      </c>
      <c r="N360" s="101" t="str">
        <f t="shared" si="131"/>
        <v/>
      </c>
      <c r="O360" s="94" t="str">
        <f t="shared" si="123"/>
        <v/>
      </c>
      <c r="P360" s="94" t="str">
        <f t="shared" si="138"/>
        <v/>
      </c>
      <c r="Q360" s="94" t="str">
        <f t="shared" si="139"/>
        <v/>
      </c>
      <c r="R360" s="90" t="str">
        <f t="shared" si="140"/>
        <v/>
      </c>
      <c r="S360" s="37" t="str">
        <f t="shared" si="132"/>
        <v/>
      </c>
      <c r="T360" s="176" t="str">
        <f>IF(L360="","",VLOOKUP(L360,classifications!C:K,9,FALSE))</f>
        <v/>
      </c>
      <c r="U360" s="183" t="str">
        <f t="shared" si="124"/>
        <v/>
      </c>
      <c r="V360" s="184" t="str">
        <f>IF(U360="","",IF($I$8="A",(RANK(U360,U$11:U$368)+COUNTIF(U$11:U360,U360)-1),(RANK(U360,U$11:U$368,1)+COUNTIF(U$11:U360,U360)-1)))</f>
        <v/>
      </c>
      <c r="W360" s="185"/>
      <c r="X360" s="38" t="str">
        <f>IF(L360="","",VLOOKUP($L360,classifications!$C:$J,6,FALSE))</f>
        <v/>
      </c>
      <c r="Y360" s="26" t="str">
        <f t="shared" si="125"/>
        <v/>
      </c>
      <c r="Z360" s="34" t="str">
        <f>IF(Y360="","",IF(I$8="A",(RANK(Y360,Y$11:Y$368,1)+COUNTIF(Y$11:Y360,Y360)-1),(RANK(Y360,Y$11:Y$368)+COUNTIF(Y$11:Y360,Y360)-1)))</f>
        <v/>
      </c>
      <c r="AA360" s="188" t="str">
        <f>IF(L360="","",VLOOKUP($L360,classifications!C:I,7,FALSE))</f>
        <v/>
      </c>
      <c r="AB360" s="184" t="str">
        <f t="shared" si="133"/>
        <v/>
      </c>
      <c r="AC360" s="184" t="str">
        <f>IF(AB360="","",IF($I$8="A",(RANK(AB360,AB$11:AB$368)+COUNTIF(AB$11:AB360,AB360)-1),(RANK(AB360,AB$11:AB$368,1)+COUNTIF(AB$11:AB360,AB360)-1)))</f>
        <v/>
      </c>
      <c r="AD360" s="184"/>
      <c r="AE360" s="28" t="str">
        <f t="shared" si="142"/>
        <v/>
      </c>
      <c r="AG360" s="96"/>
      <c r="AH360" s="29"/>
      <c r="AI360" s="38" t="str">
        <f>IF(L360="","",VLOOKUP($L360,classifications!$C:$J,8,FALSE))</f>
        <v/>
      </c>
      <c r="AJ360" s="39" t="str">
        <f t="shared" si="126"/>
        <v/>
      </c>
      <c r="AK360" s="34" t="str">
        <f>IF(AJ360="","",IF(I$8="A",(RANK(AJ360,AJ$11:AJ$368,1)+COUNTIF(AJ$11:AJ360,AJ360)-1),(RANK(AJ360,AJ$11:AJ$368)+COUNTIF(AJ$11:AJ360,AJ360)-1)))</f>
        <v/>
      </c>
      <c r="AL360" s="29" t="str">
        <f t="shared" si="134"/>
        <v/>
      </c>
      <c r="AM360" s="8" t="str">
        <f t="shared" si="127"/>
        <v/>
      </c>
      <c r="AN360" s="8" t="str">
        <f t="shared" si="135"/>
        <v/>
      </c>
      <c r="AP360" s="38" t="str">
        <f>IF(L360="","",VLOOKUP($L360,classifications!$C:$E,3,FALSE))</f>
        <v/>
      </c>
      <c r="AQ360" s="39" t="str">
        <f t="shared" si="136"/>
        <v/>
      </c>
      <c r="AR360" s="34" t="str">
        <f>IF(AQ360="","",IF(I$8="A",(RANK(AQ360,AQ$11:AQ$368,1)+COUNTIF(AQ$11:AQ360,AQ360)-1),(RANK(AQ360,AQ$11:AQ$368)+COUNTIF(AQ$11:AQ360,AQ360)-1)))</f>
        <v/>
      </c>
      <c r="AS360" s="29" t="str">
        <f t="shared" si="137"/>
        <v/>
      </c>
      <c r="AT360" s="34" t="str">
        <f t="shared" si="128"/>
        <v/>
      </c>
      <c r="AU360" s="39" t="str">
        <f t="shared" si="141"/>
        <v/>
      </c>
      <c r="AX360" s="21">
        <f>HLOOKUP($AX$9&amp;$AX$10,Data!$A$1:$ZZ$2000,(MATCH($C360,Data!$A$1:$A$2000,0)),FALSE)</f>
        <v>64.612523320906917</v>
      </c>
      <c r="AY360" s="103"/>
      <c r="AZ360" s="21"/>
    </row>
    <row r="361" spans="1:735">
      <c r="A361" s="56" t="str">
        <f>$D$1&amp;351</f>
        <v>SD351</v>
      </c>
      <c r="B361" s="57">
        <f>IF(ISERROR(VLOOKUP(A361,classifications!A:C,3,FALSE)),0,VLOOKUP(A361,classifications!A:C,3,FALSE))</f>
        <v>0</v>
      </c>
      <c r="C361" s="8" t="s">
        <v>190</v>
      </c>
      <c r="D361" s="26" t="str">
        <f>VLOOKUP($C361,classifications!$C:$J,4,FALSE)</f>
        <v>SD</v>
      </c>
      <c r="E361" s="26">
        <f>VLOOKUP(C361,classifications!C:K,9,FALSE)</f>
        <v>0</v>
      </c>
      <c r="F361" s="36">
        <f t="shared" si="120"/>
        <v>82.624085134057736</v>
      </c>
      <c r="G361" s="71"/>
      <c r="H361" s="37">
        <f t="shared" si="121"/>
        <v>82.624085134057736</v>
      </c>
      <c r="I361" s="77">
        <f>IF(H361="","",IF($I$8="A",(RANK(H361,H$11:H$368,1)+COUNTIF(H$11:H361,H361)-1),(RANK(H361,H$11:H$368)+COUNTIF(H$11:H361,H361)-1)))</f>
        <v>64</v>
      </c>
      <c r="J361" s="35"/>
      <c r="K361" s="28" t="str">
        <f t="shared" si="129"/>
        <v/>
      </c>
      <c r="L361" s="36" t="str">
        <f t="shared" si="122"/>
        <v/>
      </c>
      <c r="M361" s="102" t="str">
        <f t="shared" si="130"/>
        <v/>
      </c>
      <c r="N361" s="101" t="str">
        <f t="shared" si="131"/>
        <v/>
      </c>
      <c r="O361" s="94" t="str">
        <f t="shared" si="123"/>
        <v/>
      </c>
      <c r="P361" s="94" t="str">
        <f t="shared" si="138"/>
        <v/>
      </c>
      <c r="Q361" s="94" t="str">
        <f t="shared" si="139"/>
        <v/>
      </c>
      <c r="R361" s="90" t="str">
        <f t="shared" si="140"/>
        <v/>
      </c>
      <c r="S361" s="37" t="str">
        <f t="shared" si="132"/>
        <v/>
      </c>
      <c r="T361" s="176" t="str">
        <f>IF(L361="","",VLOOKUP(L361,classifications!C:K,9,FALSE))</f>
        <v/>
      </c>
      <c r="U361" s="183" t="str">
        <f t="shared" si="124"/>
        <v/>
      </c>
      <c r="V361" s="184" t="str">
        <f>IF(U361="","",IF($I$8="A",(RANK(U361,U$11:U$368)+COUNTIF(U$11:U361,U361)-1),(RANK(U361,U$11:U$368,1)+COUNTIF(U$11:U361,U361)-1)))</f>
        <v/>
      </c>
      <c r="W361" s="185"/>
      <c r="X361" s="38" t="str">
        <f>IF(L361="","",VLOOKUP($L361,classifications!$C:$J,6,FALSE))</f>
        <v/>
      </c>
      <c r="Y361" s="26" t="str">
        <f t="shared" si="125"/>
        <v/>
      </c>
      <c r="Z361" s="34" t="str">
        <f>IF(Y361="","",IF(I$8="A",(RANK(Y361,Y$11:Y$368,1)+COUNTIF(Y$11:Y361,Y361)-1),(RANK(Y361,Y$11:Y$368)+COUNTIF(Y$11:Y361,Y361)-1)))</f>
        <v/>
      </c>
      <c r="AA361" s="188" t="str">
        <f>IF(L361="","",VLOOKUP($L361,classifications!C:I,7,FALSE))</f>
        <v/>
      </c>
      <c r="AB361" s="184" t="str">
        <f t="shared" si="133"/>
        <v/>
      </c>
      <c r="AC361" s="184" t="str">
        <f>IF(AB361="","",IF($I$8="A",(RANK(AB361,AB$11:AB$368)+COUNTIF(AB$11:AB361,AB361)-1),(RANK(AB361,AB$11:AB$368,1)+COUNTIF(AB$11:AB361,AB361)-1)))</f>
        <v/>
      </c>
      <c r="AD361" s="184"/>
      <c r="AE361" s="28" t="str">
        <f t="shared" si="142"/>
        <v/>
      </c>
      <c r="AG361" s="96"/>
      <c r="AH361" s="29"/>
      <c r="AI361" s="38" t="str">
        <f>IF(L361="","",VLOOKUP($L361,classifications!$C:$J,8,FALSE))</f>
        <v/>
      </c>
      <c r="AJ361" s="39" t="str">
        <f t="shared" si="126"/>
        <v/>
      </c>
      <c r="AK361" s="34" t="str">
        <f>IF(AJ361="","",IF(I$8="A",(RANK(AJ361,AJ$11:AJ$368,1)+COUNTIF(AJ$11:AJ361,AJ361)-1),(RANK(AJ361,AJ$11:AJ$368)+COUNTIF(AJ$11:AJ361,AJ361)-1)))</f>
        <v/>
      </c>
      <c r="AL361" s="29" t="str">
        <f t="shared" si="134"/>
        <v/>
      </c>
      <c r="AM361" s="8" t="str">
        <f t="shared" si="127"/>
        <v/>
      </c>
      <c r="AN361" s="8" t="str">
        <f t="shared" si="135"/>
        <v/>
      </c>
      <c r="AP361" s="38" t="str">
        <f>IF(L361="","",VLOOKUP($L361,classifications!$C:$E,3,FALSE))</f>
        <v/>
      </c>
      <c r="AQ361" s="39" t="str">
        <f t="shared" si="136"/>
        <v/>
      </c>
      <c r="AR361" s="34" t="str">
        <f>IF(AQ361="","",IF(I$8="A",(RANK(AQ361,AQ$11:AQ$368,1)+COUNTIF(AQ$11:AQ361,AQ361)-1),(RANK(AQ361,AQ$11:AQ$368)+COUNTIF(AQ$11:AQ361,AQ361)-1)))</f>
        <v/>
      </c>
      <c r="AS361" s="29" t="str">
        <f t="shared" si="137"/>
        <v/>
      </c>
      <c r="AT361" s="34" t="str">
        <f t="shared" si="128"/>
        <v/>
      </c>
      <c r="AU361" s="39" t="str">
        <f t="shared" si="141"/>
        <v/>
      </c>
      <c r="AX361" s="21">
        <f>HLOOKUP($AX$9&amp;$AX$10,Data!$A$1:$ZZ$2000,(MATCH($C361,Data!$A$1:$A$2000,0)),FALSE)</f>
        <v>82.624085134057736</v>
      </c>
      <c r="AY361" s="103"/>
      <c r="AZ361" s="21"/>
    </row>
    <row r="362" spans="1:735">
      <c r="A362" s="56" t="str">
        <f>$D$1&amp;352</f>
        <v>SD352</v>
      </c>
      <c r="B362" s="57">
        <f>IF(ISERROR(VLOOKUP(A362,classifications!A:C,3,FALSE)),0,VLOOKUP(A362,classifications!A:C,3,FALSE))</f>
        <v>0</v>
      </c>
      <c r="C362" s="8" t="s">
        <v>332</v>
      </c>
      <c r="D362" s="26" t="str">
        <f>VLOOKUP($C362,classifications!$C:$J,4,FALSE)</f>
        <v>SC</v>
      </c>
      <c r="E362" s="26" t="str">
        <f>VLOOKUP(C362,classifications!C:K,9,FALSE)</f>
        <v>Sparse</v>
      </c>
      <c r="F362" s="36">
        <f t="shared" si="120"/>
        <v>81.914708378764203</v>
      </c>
      <c r="G362" s="71"/>
      <c r="H362" s="37" t="str">
        <f t="shared" si="121"/>
        <v/>
      </c>
      <c r="I362" s="77" t="str">
        <f>IF(H362="","",IF($I$8="A",(RANK(H362,H$11:H$368,1)+COUNTIF(H$11:H362,H362)-1),(RANK(H362,H$11:H$368)+COUNTIF(H$11:H362,H362)-1)))</f>
        <v/>
      </c>
      <c r="J362" s="35"/>
      <c r="K362" s="28" t="str">
        <f t="shared" si="129"/>
        <v/>
      </c>
      <c r="L362" s="36" t="str">
        <f t="shared" si="122"/>
        <v/>
      </c>
      <c r="M362" s="102" t="str">
        <f t="shared" si="130"/>
        <v/>
      </c>
      <c r="N362" s="101" t="str">
        <f t="shared" si="131"/>
        <v/>
      </c>
      <c r="O362" s="94" t="str">
        <f t="shared" si="123"/>
        <v/>
      </c>
      <c r="P362" s="94" t="str">
        <f t="shared" si="138"/>
        <v/>
      </c>
      <c r="Q362" s="94" t="str">
        <f t="shared" si="139"/>
        <v/>
      </c>
      <c r="R362" s="90" t="str">
        <f t="shared" si="140"/>
        <v/>
      </c>
      <c r="S362" s="37" t="str">
        <f t="shared" si="132"/>
        <v/>
      </c>
      <c r="T362" s="176" t="str">
        <f>IF(L362="","",VLOOKUP(L362,classifications!C:K,9,FALSE))</f>
        <v/>
      </c>
      <c r="U362" s="183" t="str">
        <f t="shared" si="124"/>
        <v/>
      </c>
      <c r="V362" s="184" t="str">
        <f>IF(U362="","",IF($I$8="A",(RANK(U362,U$11:U$368)+COUNTIF(U$11:U362,U362)-1),(RANK(U362,U$11:U$368,1)+COUNTIF(U$11:U362,U362)-1)))</f>
        <v/>
      </c>
      <c r="W362" s="185"/>
      <c r="X362" s="38" t="str">
        <f>IF(L362="","",VLOOKUP($L362,classifications!$C:$J,6,FALSE))</f>
        <v/>
      </c>
      <c r="Y362" s="26" t="str">
        <f t="shared" si="125"/>
        <v/>
      </c>
      <c r="Z362" s="34" t="str">
        <f>IF(Y362="","",IF(I$8="A",(RANK(Y362,Y$11:Y$368,1)+COUNTIF(Y$11:Y362,Y362)-1),(RANK(Y362,Y$11:Y$368)+COUNTIF(Y$11:Y362,Y362)-1)))</f>
        <v/>
      </c>
      <c r="AA362" s="188" t="str">
        <f>IF(L362="","",VLOOKUP($L362,classifications!C:I,7,FALSE))</f>
        <v/>
      </c>
      <c r="AB362" s="184" t="str">
        <f t="shared" si="133"/>
        <v/>
      </c>
      <c r="AC362" s="184" t="str">
        <f>IF(AB362="","",IF($I$8="A",(RANK(AB362,AB$11:AB$368)+COUNTIF(AB$11:AB362,AB362)-1),(RANK(AB362,AB$11:AB$368,1)+COUNTIF(AB$11:AB362,AB362)-1)))</f>
        <v/>
      </c>
      <c r="AD362" s="184"/>
      <c r="AE362" s="28" t="str">
        <f t="shared" si="142"/>
        <v/>
      </c>
      <c r="AG362" s="96"/>
      <c r="AH362" s="29"/>
      <c r="AI362" s="38" t="str">
        <f>IF(L362="","",VLOOKUP($L362,classifications!$C:$J,8,FALSE))</f>
        <v/>
      </c>
      <c r="AJ362" s="39" t="str">
        <f t="shared" si="126"/>
        <v/>
      </c>
      <c r="AK362" s="34" t="str">
        <f>IF(AJ362="","",IF(I$8="A",(RANK(AJ362,AJ$11:AJ$368,1)+COUNTIF(AJ$11:AJ362,AJ362)-1),(RANK(AJ362,AJ$11:AJ$368)+COUNTIF(AJ$11:AJ362,AJ362)-1)))</f>
        <v/>
      </c>
      <c r="AL362" s="29" t="str">
        <f t="shared" si="134"/>
        <v/>
      </c>
      <c r="AM362" s="8" t="str">
        <f t="shared" si="127"/>
        <v/>
      </c>
      <c r="AN362" s="8" t="str">
        <f t="shared" si="135"/>
        <v/>
      </c>
      <c r="AP362" s="38" t="str">
        <f>IF(L362="","",VLOOKUP($L362,classifications!$C:$E,3,FALSE))</f>
        <v/>
      </c>
      <c r="AQ362" s="39" t="str">
        <f t="shared" si="136"/>
        <v/>
      </c>
      <c r="AR362" s="34" t="str">
        <f>IF(AQ362="","",IF(I$8="A",(RANK(AQ362,AQ$11:AQ$368,1)+COUNTIF(AQ$11:AQ362,AQ362)-1),(RANK(AQ362,AQ$11:AQ$368)+COUNTIF(AQ$11:AQ362,AQ362)-1)))</f>
        <v/>
      </c>
      <c r="AS362" s="29" t="str">
        <f t="shared" si="137"/>
        <v/>
      </c>
      <c r="AT362" s="34" t="str">
        <f t="shared" si="128"/>
        <v/>
      </c>
      <c r="AU362" s="39" t="str">
        <f t="shared" si="141"/>
        <v/>
      </c>
      <c r="AX362" s="21">
        <f>HLOOKUP($AX$9&amp;$AX$10,Data!$A$1:$ZZ$2000,(MATCH($C362,Data!$A$1:$A$2000,0)),FALSE)</f>
        <v>81.914708378764203</v>
      </c>
      <c r="AY362" s="103"/>
      <c r="AZ362" s="21"/>
    </row>
    <row r="363" spans="1:735">
      <c r="A363" s="56" t="str">
        <f>$D$1&amp;353</f>
        <v>SD353</v>
      </c>
      <c r="B363" s="57">
        <f>IF(ISERROR(VLOOKUP(A363,classifications!A:C,3,FALSE)),0,VLOOKUP(A363,classifications!A:C,3,FALSE))</f>
        <v>0</v>
      </c>
      <c r="C363" s="8" t="s">
        <v>191</v>
      </c>
      <c r="D363" s="26" t="str">
        <f>VLOOKUP($C363,classifications!$C:$J,4,FALSE)</f>
        <v>SD</v>
      </c>
      <c r="E363" s="26">
        <f>VLOOKUP(C363,classifications!C:K,9,FALSE)</f>
        <v>0</v>
      </c>
      <c r="F363" s="36">
        <f t="shared" si="120"/>
        <v>83.467095515138581</v>
      </c>
      <c r="G363" s="71"/>
      <c r="H363" s="37">
        <f t="shared" si="121"/>
        <v>83.467095515138581</v>
      </c>
      <c r="I363" s="77">
        <f>IF(H363="","",IF($I$8="A",(RANK(H363,H$11:H$368,1)+COUNTIF(H$11:H363,H363)-1),(RANK(H363,H$11:H$368)+COUNTIF(H$11:H363,H363)-1)))</f>
        <v>51</v>
      </c>
      <c r="J363" s="35"/>
      <c r="K363" s="28" t="str">
        <f t="shared" si="129"/>
        <v/>
      </c>
      <c r="L363" s="36" t="str">
        <f t="shared" si="122"/>
        <v/>
      </c>
      <c r="M363" s="102" t="str">
        <f t="shared" si="130"/>
        <v/>
      </c>
      <c r="N363" s="101" t="str">
        <f t="shared" si="131"/>
        <v/>
      </c>
      <c r="O363" s="94" t="str">
        <f t="shared" si="123"/>
        <v/>
      </c>
      <c r="P363" s="94" t="str">
        <f t="shared" si="138"/>
        <v/>
      </c>
      <c r="Q363" s="94" t="str">
        <f t="shared" si="139"/>
        <v/>
      </c>
      <c r="R363" s="90" t="str">
        <f t="shared" si="140"/>
        <v/>
      </c>
      <c r="S363" s="37" t="str">
        <f t="shared" si="132"/>
        <v/>
      </c>
      <c r="T363" s="176" t="str">
        <f>IF(L363="","",VLOOKUP(L363,classifications!C:K,9,FALSE))</f>
        <v/>
      </c>
      <c r="U363" s="183" t="str">
        <f t="shared" si="124"/>
        <v/>
      </c>
      <c r="V363" s="184" t="str">
        <f>IF(U363="","",IF($I$8="A",(RANK(U363,U$11:U$368)+COUNTIF(U$11:U363,U363)-1),(RANK(U363,U$11:U$368,1)+COUNTIF(U$11:U363,U363)-1)))</f>
        <v/>
      </c>
      <c r="W363" s="185"/>
      <c r="X363" s="38" t="str">
        <f>IF(L363="","",VLOOKUP($L363,classifications!$C:$J,6,FALSE))</f>
        <v/>
      </c>
      <c r="Y363" s="26" t="str">
        <f t="shared" si="125"/>
        <v/>
      </c>
      <c r="Z363" s="34" t="str">
        <f>IF(Y363="","",IF(I$8="A",(RANK(Y363,Y$11:Y$368,1)+COUNTIF(Y$11:Y363,Y363)-1),(RANK(Y363,Y$11:Y$368)+COUNTIF(Y$11:Y363,Y363)-1)))</f>
        <v/>
      </c>
      <c r="AA363" s="188" t="str">
        <f>IF(L363="","",VLOOKUP($L363,classifications!C:I,7,FALSE))</f>
        <v/>
      </c>
      <c r="AB363" s="184" t="str">
        <f t="shared" si="133"/>
        <v/>
      </c>
      <c r="AC363" s="184" t="str">
        <f>IF(AB363="","",IF($I$8="A",(RANK(AB363,AB$11:AB$368)+COUNTIF(AB$11:AB363,AB363)-1),(RANK(AB363,AB$11:AB$368,1)+COUNTIF(AB$11:AB363,AB363)-1)))</f>
        <v/>
      </c>
      <c r="AD363" s="184"/>
      <c r="AE363" s="28" t="str">
        <f t="shared" si="142"/>
        <v/>
      </c>
      <c r="AG363" s="96"/>
      <c r="AH363" s="29"/>
      <c r="AI363" s="38" t="str">
        <f>IF(L363="","",VLOOKUP($L363,classifications!$C:$J,8,FALSE))</f>
        <v/>
      </c>
      <c r="AJ363" s="39" t="str">
        <f t="shared" si="126"/>
        <v/>
      </c>
      <c r="AK363" s="34" t="str">
        <f>IF(AJ363="","",IF(I$8="A",(RANK(AJ363,AJ$11:AJ$368,1)+COUNTIF(AJ$11:AJ363,AJ363)-1),(RANK(AJ363,AJ$11:AJ$368)+COUNTIF(AJ$11:AJ363,AJ363)-1)))</f>
        <v/>
      </c>
      <c r="AL363" s="29" t="str">
        <f t="shared" si="134"/>
        <v/>
      </c>
      <c r="AM363" s="8" t="str">
        <f t="shared" si="127"/>
        <v/>
      </c>
      <c r="AN363" s="8" t="str">
        <f t="shared" si="135"/>
        <v/>
      </c>
      <c r="AP363" s="38" t="str">
        <f>IF(L363="","",VLOOKUP($L363,classifications!$C:$E,3,FALSE))</f>
        <v/>
      </c>
      <c r="AQ363" s="39" t="str">
        <f t="shared" si="136"/>
        <v/>
      </c>
      <c r="AR363" s="34" t="str">
        <f>IF(AQ363="","",IF(I$8="A",(RANK(AQ363,AQ$11:AQ$368,1)+COUNTIF(AQ$11:AQ363,AQ363)-1),(RANK(AQ363,AQ$11:AQ$368)+COUNTIF(AQ$11:AQ363,AQ363)-1)))</f>
        <v/>
      </c>
      <c r="AS363" s="29" t="str">
        <f t="shared" si="137"/>
        <v/>
      </c>
      <c r="AT363" s="34" t="str">
        <f t="shared" si="128"/>
        <v/>
      </c>
      <c r="AU363" s="39" t="str">
        <f t="shared" si="141"/>
        <v/>
      </c>
      <c r="AX363" s="21">
        <f>HLOOKUP($AX$9&amp;$AX$10,Data!$A$1:$ZZ$2000,(MATCH($C363,Data!$A$1:$A$2000,0)),FALSE)</f>
        <v>83.467095515138581</v>
      </c>
      <c r="AY363" s="103"/>
      <c r="AZ363" s="21"/>
    </row>
    <row r="364" spans="1:735" s="27" customFormat="1">
      <c r="A364" s="56" t="str">
        <f>$D$1&amp;354</f>
        <v>SD354</v>
      </c>
      <c r="B364" s="57">
        <f>IF(ISERROR(VLOOKUP(A364,classifications!A:C,3,FALSE)),0,VLOOKUP(A364,classifications!A:C,3,FALSE))</f>
        <v>0</v>
      </c>
      <c r="C364" s="27" t="s">
        <v>192</v>
      </c>
      <c r="D364" s="26" t="str">
        <f>VLOOKUP($C364,classifications!$C:$J,4,FALSE)</f>
        <v>SD</v>
      </c>
      <c r="E364" s="26" t="str">
        <f>VLOOKUP(C364,classifications!C:K,9,FALSE)</f>
        <v>Sparse</v>
      </c>
      <c r="F364" s="36">
        <f t="shared" si="120"/>
        <v>81.876495715951663</v>
      </c>
      <c r="G364" s="71"/>
      <c r="H364" s="37">
        <f t="shared" si="121"/>
        <v>81.876495715951663</v>
      </c>
      <c r="I364" s="77">
        <f>IF(H364="","",IF($I$8="A",(RANK(H364,H$11:H$368,1)+COUNTIF(H$11:H364,H364)-1),(RANK(H364,H$11:H$368)+COUNTIF(H$11:H364,H364)-1)))</f>
        <v>81</v>
      </c>
      <c r="J364" s="35"/>
      <c r="K364" s="28" t="str">
        <f t="shared" si="129"/>
        <v/>
      </c>
      <c r="L364" s="36" t="str">
        <f t="shared" si="122"/>
        <v/>
      </c>
      <c r="M364" s="102" t="str">
        <f t="shared" ref="M364:M368" si="143">IF(L364="","",IF(VLOOKUP(L364,C:D,2,FALSE)=$F$3,VLOOKUP(L364,C:H,6,FALSE),""))</f>
        <v/>
      </c>
      <c r="N364" s="101" t="str">
        <f t="shared" ref="N364:N368" si="144">IF(L364="","",IF($H$8="%%",M364*100,M364))</f>
        <v/>
      </c>
      <c r="O364" s="94" t="str">
        <f t="shared" ref="O364:O368" si="145">IF(I$8="A",IF(N364&gt;=$P$7,IF(N364&lt;=$O$10,N364,""),""),IF(N364&lt;=$P$7,IF(N364&gt;=$O$10,N364,""),""))</f>
        <v/>
      </c>
      <c r="P364" s="94" t="str">
        <f t="shared" ref="P364:P368" si="146">IF(I$8="A",IF(N364&gt;$O$10,IF(N364&lt;=$P$10,N364,""),""),IF(N364&lt;$O$10,IF(N364&gt;=$P$10,N364,""),""))</f>
        <v/>
      </c>
      <c r="Q364" s="94" t="str">
        <f t="shared" ref="Q364:Q368" si="147">IF(I$8="A",IF(N364&gt;$P$10,IF(N364&lt;=$Q$10,N364,""),""),IF(N364&lt;$P$10,IF(N364&gt;=$Q$10,N364,""),""))</f>
        <v/>
      </c>
      <c r="R364" s="90" t="str">
        <f t="shared" ref="R364:R368" si="148">IF(I$8="A",IF(N364&gt;$Q$10,N364,""),IF(N364&lt;$Q$10,N364,""))</f>
        <v/>
      </c>
      <c r="S364" s="37" t="str">
        <f t="shared" ref="S364:S368" si="149">IF(L364=D$3,"u","")</f>
        <v/>
      </c>
      <c r="T364" s="176" t="str">
        <f>IF(L364="","",VLOOKUP(L364,classifications!C:K,9,FALSE))</f>
        <v/>
      </c>
      <c r="U364" s="183" t="str">
        <f t="shared" ref="U364:U368" si="150">IF(T364="Sparse",M364,"")</f>
        <v/>
      </c>
      <c r="V364" s="184" t="str">
        <f>IF(U364="","",IF($I$8="A",(RANK(U364,U$11:U$368)+COUNTIF(U$11:U364,U364)-1),(RANK(U364,U$11:U$368,1)+COUNTIF(U$11:U364,U364)-1)))</f>
        <v/>
      </c>
      <c r="W364" s="185"/>
      <c r="X364" s="38" t="str">
        <f>IF(L364="","",VLOOKUP($L364,classifications!$C:$J,6,FALSE))</f>
        <v/>
      </c>
      <c r="Y364" s="26" t="str">
        <f t="shared" ref="Y364:Y368" si="151">IF($D$1="UA",IF(X364="Largely Rural (rural including hub towns 50-79%) ",M364,IF(X364="Mainly Rural (rural including hub towns &gt;=80%) ",M364,IF(X364="Urban with Significant Rural (rural including hub towns 26-49%)",M364,""))),IF($D$1="SD",IF(X364=$H$3,M364,"")))</f>
        <v/>
      </c>
      <c r="Z364" s="34" t="str">
        <f>IF(Y364="","",IF(I$8="A",(RANK(Y364,Y$11:Y$368,1)+COUNTIF(Y$11:Y364,Y364)-1),(RANK(Y364,Y$11:Y$368)+COUNTIF(Y$11:Y364,Y364)-1)))</f>
        <v/>
      </c>
      <c r="AA364" s="188" t="str">
        <f>IF(L364="","",VLOOKUP($L364,classifications!C:I,7,FALSE))</f>
        <v/>
      </c>
      <c r="AB364" s="184" t="str">
        <f t="shared" ref="AB364:AB368" si="152">IF(AA364=$J$3,M364,"")</f>
        <v/>
      </c>
      <c r="AC364" s="184" t="str">
        <f>IF(AB364="","",IF($I$8="A",(RANK(AB364,AB$11:AB$368)+COUNTIF(AB$11:AB364,AB364)-1),(RANK(AB364,AB$11:AB$368,1)+COUNTIF(AB$11:AB364,AB364)-1)))</f>
        <v/>
      </c>
      <c r="AD364" s="184"/>
      <c r="AE364" s="28" t="str">
        <f t="shared" ref="AE364:AE368" si="153">IF(AE363="","",IF(AE363+1&gt;(COUNT(AG:AG)),"",AE363+1))</f>
        <v/>
      </c>
      <c r="AF364" s="26"/>
      <c r="AG364" s="96"/>
      <c r="AH364" s="29"/>
      <c r="AI364" s="38" t="str">
        <f>IF(L364="","",VLOOKUP($L364,classifications!$C:$J,8,FALSE))</f>
        <v/>
      </c>
      <c r="AJ364" s="39" t="str">
        <f t="shared" ref="AJ364:AJ368" si="154">IF(AI364=$I$3,M364,"")</f>
        <v/>
      </c>
      <c r="AK364" s="34" t="str">
        <f>IF(AJ364="","",IF(I$8="A",(RANK(AJ364,AJ$11:AJ$368,1)+COUNTIF(AJ$11:AJ364,AJ364)-1),(RANK(AJ364,AJ$11:AJ$368)+COUNTIF(AJ$11:AJ364,AJ364)-1)))</f>
        <v/>
      </c>
      <c r="AL364" s="29" t="str">
        <f t="shared" si="134"/>
        <v/>
      </c>
      <c r="AM364" s="8" t="str">
        <f t="shared" si="127"/>
        <v/>
      </c>
      <c r="AN364" s="8" t="str">
        <f t="shared" ref="AN364:AN368" si="155">(VLOOKUP(AM364,L:M,2,FALSE))</f>
        <v/>
      </c>
      <c r="AO364" s="8"/>
      <c r="AP364" s="38" t="str">
        <f>IF(L364="","",VLOOKUP($L364,classifications!$C:$E,3,FALSE))</f>
        <v/>
      </c>
      <c r="AQ364" s="39" t="str">
        <f t="shared" ref="AQ364:AQ368" si="156">IF(AP364=$G$3,$M364,"")</f>
        <v/>
      </c>
      <c r="AR364" s="34" t="str">
        <f>IF(AQ364="","",IF(I$8="A",(RANK(AQ364,AQ$11:AQ$368,1)+COUNTIF(AQ$11:AQ364,AQ364)-1),(RANK(AQ364,AQ$11:AQ$368)+COUNTIF(AQ$11:AQ364,AQ364)-1)))</f>
        <v/>
      </c>
      <c r="AS364" s="29" t="str">
        <f t="shared" si="137"/>
        <v/>
      </c>
      <c r="AT364" s="34" t="str">
        <f t="shared" si="128"/>
        <v/>
      </c>
      <c r="AU364" s="39" t="str">
        <f t="shared" ref="AU364:AU368" si="157">IF(AT364="","",VLOOKUP(AT364,L:M,2,FALSE))</f>
        <v/>
      </c>
      <c r="AV364" s="26"/>
      <c r="AW364" s="80"/>
      <c r="AX364" s="21">
        <f>HLOOKUP($AX$9&amp;$AX$10,Data!$A$1:$ZZ$2000,(MATCH($C364,Data!$A$1:$A$2000,0)),FALSE)</f>
        <v>81.876495715951663</v>
      </c>
      <c r="AY364" s="119"/>
      <c r="AZ364" s="19"/>
      <c r="ABG364" s="40"/>
    </row>
    <row r="365" spans="1:735">
      <c r="A365" s="56" t="str">
        <f>$D$1&amp;355</f>
        <v>SD355</v>
      </c>
      <c r="B365" s="57">
        <f>IF(ISERROR(VLOOKUP(A365,classifications!A:C,3,FALSE)),0,VLOOKUP(A365,classifications!A:C,3,FALSE))</f>
        <v>0</v>
      </c>
      <c r="C365" s="8" t="s">
        <v>193</v>
      </c>
      <c r="D365" s="26" t="str">
        <f>VLOOKUP($C365,classifications!$C:$J,4,FALSE)</f>
        <v>SD</v>
      </c>
      <c r="E365" s="26">
        <f>VLOOKUP(C365,classifications!C:K,9,FALSE)</f>
        <v>0</v>
      </c>
      <c r="F365" s="36">
        <f t="shared" si="120"/>
        <v>84.115691474297307</v>
      </c>
      <c r="G365" s="71"/>
      <c r="H365" s="37">
        <f t="shared" si="121"/>
        <v>84.115691474297307</v>
      </c>
      <c r="I365" s="77">
        <f>IF(H365="","",IF($I$8="A",(RANK(H365,H$11:H$368,1)+COUNTIF(H$11:H365,H365)-1),(RANK(H365,H$11:H$368)+COUNTIF(H$11:H365,H365)-1)))</f>
        <v>45</v>
      </c>
      <c r="J365" s="35"/>
      <c r="K365" s="28" t="str">
        <f t="shared" si="129"/>
        <v/>
      </c>
      <c r="L365" s="36" t="str">
        <f t="shared" si="122"/>
        <v/>
      </c>
      <c r="M365" s="102" t="str">
        <f t="shared" si="143"/>
        <v/>
      </c>
      <c r="N365" s="101" t="str">
        <f t="shared" si="144"/>
        <v/>
      </c>
      <c r="O365" s="94" t="str">
        <f t="shared" si="145"/>
        <v/>
      </c>
      <c r="P365" s="94" t="str">
        <f t="shared" si="146"/>
        <v/>
      </c>
      <c r="Q365" s="94" t="str">
        <f t="shared" si="147"/>
        <v/>
      </c>
      <c r="R365" s="90" t="str">
        <f t="shared" si="148"/>
        <v/>
      </c>
      <c r="S365" s="37" t="str">
        <f t="shared" si="149"/>
        <v/>
      </c>
      <c r="T365" s="176" t="str">
        <f>IF(L365="","",VLOOKUP(L365,classifications!C:K,9,FALSE))</f>
        <v/>
      </c>
      <c r="U365" s="183" t="str">
        <f t="shared" si="150"/>
        <v/>
      </c>
      <c r="V365" s="184" t="str">
        <f>IF(U365="","",IF($I$8="A",(RANK(U365,U$11:U$368)+COUNTIF(U$11:U365,U365)-1),(RANK(U365,U$11:U$368,1)+COUNTIF(U$11:U365,U365)-1)))</f>
        <v/>
      </c>
      <c r="W365" s="185"/>
      <c r="X365" s="38" t="str">
        <f>IF(L365="","",VLOOKUP($L365,classifications!$C:$J,6,FALSE))</f>
        <v/>
      </c>
      <c r="Y365" s="26" t="str">
        <f t="shared" si="151"/>
        <v/>
      </c>
      <c r="Z365" s="34" t="str">
        <f>IF(Y365="","",IF(I$8="A",(RANK(Y365,Y$11:Y$368,1)+COUNTIF(Y$11:Y365,Y365)-1),(RANK(Y365,Y$11:Y$368)+COUNTIF(Y$11:Y365,Y365)-1)))</f>
        <v/>
      </c>
      <c r="AA365" s="188" t="str">
        <f>IF(L365="","",VLOOKUP($L365,classifications!C:I,7,FALSE))</f>
        <v/>
      </c>
      <c r="AB365" s="184" t="str">
        <f t="shared" si="152"/>
        <v/>
      </c>
      <c r="AC365" s="184" t="str">
        <f>IF(AB365="","",IF($I$8="A",(RANK(AB365,AB$11:AB$368)+COUNTIF(AB$11:AB365,AB365)-1),(RANK(AB365,AB$11:AB$368,1)+COUNTIF(AB$11:AB365,AB365)-1)))</f>
        <v/>
      </c>
      <c r="AD365" s="184"/>
      <c r="AE365" s="28" t="str">
        <f t="shared" si="153"/>
        <v/>
      </c>
      <c r="AG365" s="96"/>
      <c r="AH365" s="29"/>
      <c r="AI365" s="38" t="str">
        <f>IF(L365="","",VLOOKUP($L365,classifications!$C:$J,8,FALSE))</f>
        <v/>
      </c>
      <c r="AJ365" s="39" t="str">
        <f t="shared" si="154"/>
        <v/>
      </c>
      <c r="AK365" s="34" t="str">
        <f>IF(AJ365="","",IF(I$8="A",(RANK(AJ365,AJ$11:AJ$368,1)+COUNTIF(AJ$11:AJ365,AJ365)-1),(RANK(AJ365,AJ$11:AJ$368)+COUNTIF(AJ$11:AJ365,AJ365)-1)))</f>
        <v/>
      </c>
      <c r="AL365" s="29" t="str">
        <f t="shared" si="134"/>
        <v/>
      </c>
      <c r="AM365" s="8" t="str">
        <f t="shared" si="127"/>
        <v/>
      </c>
      <c r="AN365" s="8" t="str">
        <f t="shared" si="155"/>
        <v/>
      </c>
      <c r="AP365" s="38" t="str">
        <f>IF(L365="","",VLOOKUP($L365,classifications!$C:$E,3,FALSE))</f>
        <v/>
      </c>
      <c r="AQ365" s="39" t="str">
        <f t="shared" si="156"/>
        <v/>
      </c>
      <c r="AR365" s="34" t="str">
        <f>IF(AQ365="","",IF(I$8="A",(RANK(AQ365,AQ$11:AQ$368,1)+COUNTIF(AQ$11:AQ365,AQ365)-1),(RANK(AQ365,AQ$11:AQ$368)+COUNTIF(AQ$11:AQ365,AQ365)-1)))</f>
        <v/>
      </c>
      <c r="AS365" s="29" t="str">
        <f t="shared" si="137"/>
        <v/>
      </c>
      <c r="AT365" s="34" t="str">
        <f t="shared" si="128"/>
        <v/>
      </c>
      <c r="AU365" s="39" t="str">
        <f t="shared" si="157"/>
        <v/>
      </c>
      <c r="AX365" s="21">
        <f>HLOOKUP($AX$9&amp;$AX$10,Data!$A$1:$ZZ$2000,(MATCH($C365,Data!$A$1:$A$2000,0)),FALSE)</f>
        <v>84.115691474297307</v>
      </c>
      <c r="AY365" s="16"/>
      <c r="AZ365" s="111"/>
    </row>
    <row r="366" spans="1:735">
      <c r="A366" s="56" t="str">
        <f>$D$1&amp;356</f>
        <v>SD356</v>
      </c>
      <c r="B366" s="57">
        <f>IF(ISERROR(VLOOKUP(A366,classifications!A:C,3,FALSE)),0,VLOOKUP(A366,classifications!A:C,3,FALSE))</f>
        <v>0</v>
      </c>
      <c r="C366" s="8" t="s">
        <v>194</v>
      </c>
      <c r="D366" s="26" t="str">
        <f>VLOOKUP($C366,classifications!$C:$J,4,FALSE)</f>
        <v>SD</v>
      </c>
      <c r="E366" s="26">
        <f>VLOOKUP(C366,classifications!C:K,9,FALSE)</f>
        <v>0</v>
      </c>
      <c r="F366" s="36">
        <f t="shared" si="120"/>
        <v>77.140040482717126</v>
      </c>
      <c r="G366" s="71"/>
      <c r="H366" s="37">
        <f t="shared" si="121"/>
        <v>77.140040482717126</v>
      </c>
      <c r="I366" s="77">
        <f>IF(H366="","",IF($I$8="A",(RANK(H366,H$11:H$368,1)+COUNTIF(H$11:H366,H366)-1),(RANK(H366,H$11:H$368)+COUNTIF(H$11:H366,H366)-1)))</f>
        <v>160</v>
      </c>
      <c r="J366" s="35"/>
      <c r="K366" s="28" t="str">
        <f t="shared" si="129"/>
        <v/>
      </c>
      <c r="L366" s="36" t="str">
        <f t="shared" si="122"/>
        <v/>
      </c>
      <c r="M366" s="102" t="str">
        <f t="shared" si="143"/>
        <v/>
      </c>
      <c r="N366" s="101" t="str">
        <f t="shared" si="144"/>
        <v/>
      </c>
      <c r="O366" s="94" t="str">
        <f t="shared" si="145"/>
        <v/>
      </c>
      <c r="P366" s="94" t="str">
        <f t="shared" si="146"/>
        <v/>
      </c>
      <c r="Q366" s="94" t="str">
        <f t="shared" si="147"/>
        <v/>
      </c>
      <c r="R366" s="90" t="str">
        <f t="shared" si="148"/>
        <v/>
      </c>
      <c r="S366" s="37" t="str">
        <f t="shared" si="149"/>
        <v/>
      </c>
      <c r="T366" s="176" t="str">
        <f>IF(L366="","",VLOOKUP(L366,classifications!C:K,9,FALSE))</f>
        <v/>
      </c>
      <c r="U366" s="183" t="str">
        <f t="shared" si="150"/>
        <v/>
      </c>
      <c r="V366" s="184" t="str">
        <f>IF(U366="","",IF($I$8="A",(RANK(U366,U$11:U$368)+COUNTIF(U$11:U366,U366)-1),(RANK(U366,U$11:U$368,1)+COUNTIF(U$11:U366,U366)-1)))</f>
        <v/>
      </c>
      <c r="W366" s="185"/>
      <c r="X366" s="38" t="str">
        <f>IF(L366="","",VLOOKUP($L366,classifications!$C:$J,6,FALSE))</f>
        <v/>
      </c>
      <c r="Y366" s="26" t="str">
        <f t="shared" si="151"/>
        <v/>
      </c>
      <c r="Z366" s="34" t="str">
        <f>IF(Y366="","",IF(I$8="A",(RANK(Y366,Y$11:Y$368,1)+COUNTIF(Y$11:Y366,Y366)-1),(RANK(Y366,Y$11:Y$368)+COUNTIF(Y$11:Y366,Y366)-1)))</f>
        <v/>
      </c>
      <c r="AA366" s="188" t="str">
        <f>IF(L366="","",VLOOKUP($L366,classifications!C:I,7,FALSE))</f>
        <v/>
      </c>
      <c r="AB366" s="184" t="str">
        <f t="shared" si="152"/>
        <v/>
      </c>
      <c r="AC366" s="184" t="str">
        <f>IF(AB366="","",IF($I$8="A",(RANK(AB366,AB$11:AB$368)+COUNTIF(AB$11:AB366,AB366)-1),(RANK(AB366,AB$11:AB$368,1)+COUNTIF(AB$11:AB366,AB366)-1)))</f>
        <v/>
      </c>
      <c r="AD366" s="184"/>
      <c r="AE366" s="28" t="str">
        <f t="shared" si="153"/>
        <v/>
      </c>
      <c r="AG366" s="96"/>
      <c r="AH366" s="29"/>
      <c r="AI366" s="38" t="str">
        <f>IF(L366="","",VLOOKUP($L366,classifications!$C:$J,8,FALSE))</f>
        <v/>
      </c>
      <c r="AJ366" s="39" t="str">
        <f t="shared" si="154"/>
        <v/>
      </c>
      <c r="AK366" s="34" t="str">
        <f>IF(AJ366="","",IF(I$8="A",(RANK(AJ366,AJ$11:AJ$368,1)+COUNTIF(AJ$11:AJ366,AJ366)-1),(RANK(AJ366,AJ$11:AJ$368)+COUNTIF(AJ$11:AJ366,AJ366)-1)))</f>
        <v/>
      </c>
      <c r="AL366" s="29" t="str">
        <f t="shared" si="134"/>
        <v/>
      </c>
      <c r="AM366" s="8" t="str">
        <f t="shared" si="127"/>
        <v/>
      </c>
      <c r="AN366" s="8" t="str">
        <f t="shared" si="155"/>
        <v/>
      </c>
      <c r="AP366" s="38" t="str">
        <f>IF(L366="","",VLOOKUP($L366,classifications!$C:$E,3,FALSE))</f>
        <v/>
      </c>
      <c r="AQ366" s="39" t="str">
        <f t="shared" si="156"/>
        <v/>
      </c>
      <c r="AR366" s="34" t="str">
        <f>IF(AQ366="","",IF(I$8="A",(RANK(AQ366,AQ$11:AQ$368,1)+COUNTIF(AQ$11:AQ366,AQ366)-1),(RANK(AQ366,AQ$11:AQ$368)+COUNTIF(AQ$11:AQ366,AQ366)-1)))</f>
        <v/>
      </c>
      <c r="AS366" s="29" t="str">
        <f t="shared" si="137"/>
        <v/>
      </c>
      <c r="AT366" s="34" t="str">
        <f t="shared" si="128"/>
        <v/>
      </c>
      <c r="AU366" s="39" t="str">
        <f t="shared" si="157"/>
        <v/>
      </c>
      <c r="AX366" s="21">
        <f>HLOOKUP($AX$9&amp;$AX$10,Data!$A$1:$ZZ$2000,(MATCH($C366,Data!$A$1:$A$2000,0)),FALSE)</f>
        <v>77.140040482717126</v>
      </c>
      <c r="AY366" s="16"/>
      <c r="AZ366" s="111"/>
    </row>
    <row r="367" spans="1:735">
      <c r="A367" s="56" t="str">
        <f>$D$1&amp;357</f>
        <v>SD357</v>
      </c>
      <c r="B367" s="57">
        <f>IF(ISERROR(VLOOKUP(A367,classifications!A:C,3,FALSE)),0,VLOOKUP(A367,classifications!A:C,3,FALSE))</f>
        <v>0</v>
      </c>
      <c r="C367" s="8" t="s">
        <v>195</v>
      </c>
      <c r="D367" s="26" t="str">
        <f>VLOOKUP($C367,classifications!$C:$J,4,FALSE)</f>
        <v>SD</v>
      </c>
      <c r="E367" s="26">
        <f>VLOOKUP(C367,classifications!C:K,9,FALSE)</f>
        <v>0</v>
      </c>
      <c r="F367" s="36">
        <f t="shared" si="120"/>
        <v>81.719020609499452</v>
      </c>
      <c r="G367" s="71"/>
      <c r="H367" s="37">
        <f t="shared" si="121"/>
        <v>81.719020609499452</v>
      </c>
      <c r="I367" s="77">
        <f>IF(H367="","",IF($I$8="A",(RANK(H367,H$11:H$368,1)+COUNTIF(H$11:H367,H367)-1),(RANK(H367,H$11:H$368)+COUNTIF(H$11:H367,H367)-1)))</f>
        <v>86</v>
      </c>
      <c r="J367" s="35"/>
      <c r="K367" s="28" t="str">
        <f t="shared" si="129"/>
        <v/>
      </c>
      <c r="L367" s="36" t="str">
        <f t="shared" si="122"/>
        <v/>
      </c>
      <c r="M367" s="102" t="str">
        <f t="shared" si="143"/>
        <v/>
      </c>
      <c r="N367" s="101" t="str">
        <f t="shared" si="144"/>
        <v/>
      </c>
      <c r="O367" s="94" t="str">
        <f t="shared" si="145"/>
        <v/>
      </c>
      <c r="P367" s="94" t="str">
        <f t="shared" si="146"/>
        <v/>
      </c>
      <c r="Q367" s="94" t="str">
        <f t="shared" si="147"/>
        <v/>
      </c>
      <c r="R367" s="90" t="str">
        <f t="shared" si="148"/>
        <v/>
      </c>
      <c r="S367" s="37" t="str">
        <f t="shared" si="149"/>
        <v/>
      </c>
      <c r="T367" s="176" t="str">
        <f>IF(L367="","",VLOOKUP(L367,classifications!C:K,9,FALSE))</f>
        <v/>
      </c>
      <c r="U367" s="183" t="str">
        <f t="shared" si="150"/>
        <v/>
      </c>
      <c r="V367" s="184" t="str">
        <f>IF(U367="","",IF($I$8="A",(RANK(U367,U$11:U$368)+COUNTIF(U$11:U367,U367)-1),(RANK(U367,U$11:U$368,1)+COUNTIF(U$11:U367,U367)-1)))</f>
        <v/>
      </c>
      <c r="W367" s="185"/>
      <c r="X367" s="38" t="str">
        <f>IF(L367="","",VLOOKUP($L367,classifications!$C:$J,6,FALSE))</f>
        <v/>
      </c>
      <c r="Y367" s="26" t="str">
        <f t="shared" si="151"/>
        <v/>
      </c>
      <c r="Z367" s="34" t="str">
        <f>IF(Y367="","",IF(I$8="A",(RANK(Y367,Y$11:Y$368,1)+COUNTIF(Y$11:Y367,Y367)-1),(RANK(Y367,Y$11:Y$368)+COUNTIF(Y$11:Y367,Y367)-1)))</f>
        <v/>
      </c>
      <c r="AA367" s="188" t="str">
        <f>IF(L367="","",VLOOKUP($L367,classifications!C:I,7,FALSE))</f>
        <v/>
      </c>
      <c r="AB367" s="184" t="str">
        <f t="shared" si="152"/>
        <v/>
      </c>
      <c r="AC367" s="184" t="str">
        <f>IF(AB367="","",IF($I$8="A",(RANK(AB367,AB$11:AB$368)+COUNTIF(AB$11:AB367,AB367)-1),(RANK(AB367,AB$11:AB$368,1)+COUNTIF(AB$11:AB367,AB367)-1)))</f>
        <v/>
      </c>
      <c r="AD367" s="184"/>
      <c r="AE367" s="28" t="str">
        <f t="shared" si="153"/>
        <v/>
      </c>
      <c r="AG367" s="96"/>
      <c r="AH367" s="29"/>
      <c r="AI367" s="38" t="str">
        <f>IF(L367="","",VLOOKUP($L367,classifications!$C:$J,8,FALSE))</f>
        <v/>
      </c>
      <c r="AJ367" s="39" t="str">
        <f t="shared" si="154"/>
        <v/>
      </c>
      <c r="AK367" s="34" t="str">
        <f>IF(AJ367="","",IF(I$8="A",(RANK(AJ367,AJ$11:AJ$368,1)+COUNTIF(AJ$11:AJ367,AJ367)-1),(RANK(AJ367,AJ$11:AJ$368)+COUNTIF(AJ$11:AJ367,AJ367)-1)))</f>
        <v/>
      </c>
      <c r="AL367" s="29" t="str">
        <f t="shared" si="134"/>
        <v/>
      </c>
      <c r="AM367" s="8" t="str">
        <f t="shared" si="127"/>
        <v/>
      </c>
      <c r="AN367" s="8" t="str">
        <f t="shared" si="155"/>
        <v/>
      </c>
      <c r="AP367" s="38" t="str">
        <f>IF(L367="","",VLOOKUP($L367,classifications!$C:$E,3,FALSE))</f>
        <v/>
      </c>
      <c r="AQ367" s="39" t="str">
        <f t="shared" si="156"/>
        <v/>
      </c>
      <c r="AR367" s="34" t="str">
        <f>IF(AQ367="","",IF(I$8="A",(RANK(AQ367,AQ$11:AQ$368,1)+COUNTIF(AQ$11:AQ367,AQ367)-1),(RANK(AQ367,AQ$11:AQ$368)+COUNTIF(AQ$11:AQ367,AQ367)-1)))</f>
        <v/>
      </c>
      <c r="AS367" s="29" t="str">
        <f t="shared" si="137"/>
        <v/>
      </c>
      <c r="AT367" s="34" t="str">
        <f t="shared" si="128"/>
        <v/>
      </c>
      <c r="AU367" s="39" t="str">
        <f t="shared" si="157"/>
        <v/>
      </c>
      <c r="AX367" s="21">
        <f>HLOOKUP($AX$9&amp;$AX$10,Data!$A$1:$ZZ$2000,(MATCH($C367,Data!$A$1:$A$2000,0)),FALSE)</f>
        <v>81.719020609499452</v>
      </c>
    </row>
    <row r="368" spans="1:735">
      <c r="A368" s="56" t="str">
        <f>$D$1&amp;358</f>
        <v>SD358</v>
      </c>
      <c r="B368" s="57">
        <f>IF(ISERROR(VLOOKUP(A368,classifications!A:C,3,FALSE)),0,VLOOKUP(A368,classifications!A:C,3,FALSE))</f>
        <v>0</v>
      </c>
      <c r="C368" s="8" t="s">
        <v>299</v>
      </c>
      <c r="D368" s="26" t="str">
        <f>VLOOKUP($C368,classifications!$C:$J,4,FALSE)</f>
        <v>UA</v>
      </c>
      <c r="E368" s="26">
        <f>VLOOKUP(C368,classifications!C:K,9,FALSE)</f>
        <v>0</v>
      </c>
      <c r="F368" s="36">
        <f t="shared" si="120"/>
        <v>82.958640528843603</v>
      </c>
      <c r="G368" s="71"/>
      <c r="H368" s="37" t="str">
        <f t="shared" si="121"/>
        <v/>
      </c>
      <c r="I368" s="77" t="str">
        <f>IF(H368="","",IF($I$8="A",(RANK(H368,H$11:H$368,1)+COUNTIF(H$11:H368,H368)-1),(RANK(H368,H$11:H$368)+COUNTIF(H$11:H368,H368)-1)))</f>
        <v/>
      </c>
      <c r="J368" s="35"/>
      <c r="K368" s="28" t="str">
        <f t="shared" si="129"/>
        <v/>
      </c>
      <c r="L368" s="36" t="str">
        <f t="shared" si="122"/>
        <v/>
      </c>
      <c r="M368" s="102" t="str">
        <f t="shared" si="143"/>
        <v/>
      </c>
      <c r="N368" s="101" t="str">
        <f t="shared" si="144"/>
        <v/>
      </c>
      <c r="O368" s="94" t="str">
        <f t="shared" si="145"/>
        <v/>
      </c>
      <c r="P368" s="94" t="str">
        <f t="shared" si="146"/>
        <v/>
      </c>
      <c r="Q368" s="94" t="str">
        <f t="shared" si="147"/>
        <v/>
      </c>
      <c r="R368" s="90" t="str">
        <f t="shared" si="148"/>
        <v/>
      </c>
      <c r="S368" s="37" t="str">
        <f t="shared" si="149"/>
        <v/>
      </c>
      <c r="T368" s="176" t="str">
        <f>IF(L368="","",VLOOKUP(L368,classifications!C:K,9,FALSE))</f>
        <v/>
      </c>
      <c r="U368" s="183" t="str">
        <f t="shared" si="150"/>
        <v/>
      </c>
      <c r="V368" s="184" t="str">
        <f>IF(U368="","",IF($I$8="A",(RANK(U368,U$11:U$368)+COUNTIF(U$11:U368,U368)-1),(RANK(U368,U$11:U$368,1)+COUNTIF(U$11:U368,U368)-1)))</f>
        <v/>
      </c>
      <c r="W368" s="185"/>
      <c r="X368" s="38" t="str">
        <f>IF(L368="","",VLOOKUP($L368,classifications!$C:$J,6,FALSE))</f>
        <v/>
      </c>
      <c r="Y368" s="26" t="str">
        <f t="shared" si="151"/>
        <v/>
      </c>
      <c r="Z368" s="34" t="str">
        <f>IF(Y368="","",IF(I$8="A",(RANK(Y368,Y$11:Y$368,1)+COUNTIF(Y$11:Y368,Y368)-1),(RANK(Y368,Y$11:Y$368)+COUNTIF(Y$11:Y368,Y368)-1)))</f>
        <v/>
      </c>
      <c r="AA368" s="188" t="str">
        <f>IF(L368="","",VLOOKUP($L368,classifications!C:I,7,FALSE))</f>
        <v/>
      </c>
      <c r="AB368" s="184" t="str">
        <f t="shared" si="152"/>
        <v/>
      </c>
      <c r="AC368" s="184" t="str">
        <f>IF(AB368="","",IF($I$8="A",(RANK(AB368,AB$11:AB$368)+COUNTIF(AB$11:AB368,AB368)-1),(RANK(AB368,AB$11:AB$368,1)+COUNTIF(AB$11:AB368,AB368)-1)))</f>
        <v/>
      </c>
      <c r="AD368" s="184"/>
      <c r="AE368" s="28" t="str">
        <f t="shared" si="153"/>
        <v/>
      </c>
      <c r="AG368" s="96"/>
      <c r="AH368" s="29"/>
      <c r="AI368" s="38" t="str">
        <f>IF(L368="","",VLOOKUP($L368,classifications!$C:$J,8,FALSE))</f>
        <v/>
      </c>
      <c r="AJ368" s="39" t="str">
        <f t="shared" si="154"/>
        <v/>
      </c>
      <c r="AK368" s="34" t="str">
        <f>IF(AJ368="","",IF(I$8="A",(RANK(AJ368,AJ$11:AJ$368,1)+COUNTIF(AJ$11:AJ368,AJ368)-1),(RANK(AJ368,AJ$11:AJ$368)+COUNTIF(AJ$11:AJ368,AJ368)-1)))</f>
        <v/>
      </c>
      <c r="AL368" s="29" t="str">
        <f t="shared" si="134"/>
        <v/>
      </c>
      <c r="AM368" s="8" t="str">
        <f t="shared" si="127"/>
        <v/>
      </c>
      <c r="AN368" s="8" t="str">
        <f t="shared" si="155"/>
        <v/>
      </c>
      <c r="AP368" s="38" t="str">
        <f>IF(L368="","",VLOOKUP($L368,classifications!$C:$E,3,FALSE))</f>
        <v/>
      </c>
      <c r="AQ368" s="39" t="str">
        <f t="shared" si="156"/>
        <v/>
      </c>
      <c r="AR368" s="34" t="str">
        <f>IF(AQ368="","",IF(I$8="A",(RANK(AQ368,AQ$11:AQ$368,1)+COUNTIF(AQ$11:AQ368,AQ368)-1),(RANK(AQ368,AQ$11:AQ$368)+COUNTIF(AQ$11:AQ368,AQ368)-1)))</f>
        <v/>
      </c>
      <c r="AS368" s="29" t="str">
        <f t="shared" si="137"/>
        <v/>
      </c>
      <c r="AT368" s="34" t="str">
        <f t="shared" si="128"/>
        <v/>
      </c>
      <c r="AU368" s="39" t="str">
        <f t="shared" si="157"/>
        <v/>
      </c>
      <c r="AX368" s="21">
        <f>HLOOKUP($AX$9&amp;$AX$10,Data!$A$1:$ZZ$2000,(MATCH($C368,Data!$A$1:$A$2000,0)),FALSE)</f>
        <v>82.958640528843603</v>
      </c>
    </row>
  </sheetData>
  <autoFilter ref="A10:J363" xr:uid="{00000000-0009-0000-0000-000001000000}"/>
  <sortState xmlns:xlrd2="http://schemas.microsoft.com/office/spreadsheetml/2017/richdata2" ref="C3:L355">
    <sortCondition ref="C3:C355"/>
  </sortState>
  <mergeCells count="3">
    <mergeCell ref="X2:Z2"/>
    <mergeCell ref="T1:W2"/>
    <mergeCell ref="AA1:AD2"/>
  </mergeCells>
  <conditionalFormatting sqref="S11:S368">
    <cfRule type="expression" dxfId="0" priority="112">
      <formula>IF($D$8="%",TRUE,FALSE)</formula>
    </cfRule>
  </conditionalFormatting>
  <dataValidations count="1">
    <dataValidation type="list" allowBlank="1" showInputMessage="1" showErrorMessage="1" sqref="D1" xr:uid="{00000000-0002-0000-0100-000000000000}">
      <formula1>$L$1:$L$6</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6" tint="0.39997558519241921"/>
  </sheetPr>
  <dimension ref="A1:H500"/>
  <sheetViews>
    <sheetView workbookViewId="0">
      <selection activeCell="A27" sqref="A27"/>
    </sheetView>
  </sheetViews>
  <sheetFormatPr defaultRowHeight="13.2" zeroHeight="1"/>
  <cols>
    <col min="1" max="1" width="42.44140625" customWidth="1"/>
    <col min="2" max="2" width="15.44140625" customWidth="1"/>
    <col min="3" max="3" width="13.33203125" customWidth="1"/>
    <col min="4" max="4" width="8.5546875" customWidth="1"/>
    <col min="5" max="5" width="7.88671875" customWidth="1"/>
    <col min="6" max="6" width="28.5546875" customWidth="1"/>
  </cols>
  <sheetData>
    <row r="1" spans="1:8">
      <c r="A1" s="63" t="s">
        <v>806</v>
      </c>
      <c r="B1" s="63" t="s">
        <v>800</v>
      </c>
      <c r="C1" s="63" t="s">
        <v>792</v>
      </c>
      <c r="D1" s="63" t="s">
        <v>797</v>
      </c>
      <c r="F1" s="63" t="s">
        <v>807</v>
      </c>
    </row>
    <row r="2" spans="1:8" ht="28.8">
      <c r="A2" s="282" t="s">
        <v>900</v>
      </c>
      <c r="B2" t="s">
        <v>821</v>
      </c>
      <c r="C2" t="s">
        <v>821</v>
      </c>
      <c r="D2" t="s">
        <v>885</v>
      </c>
      <c r="F2" s="1" t="s">
        <v>886</v>
      </c>
      <c r="G2" s="1"/>
      <c r="H2" s="1"/>
    </row>
    <row r="3" spans="1:8" ht="28.8">
      <c r="A3" s="282" t="s">
        <v>901</v>
      </c>
      <c r="B3" t="s">
        <v>821</v>
      </c>
      <c r="C3" t="s">
        <v>821</v>
      </c>
      <c r="D3" t="s">
        <v>885</v>
      </c>
      <c r="F3" s="282" t="s">
        <v>894</v>
      </c>
      <c r="G3" s="1"/>
    </row>
    <row r="4" spans="1:8" ht="28.8">
      <c r="A4" s="282" t="s">
        <v>902</v>
      </c>
      <c r="B4" t="s">
        <v>821</v>
      </c>
      <c r="C4" t="s">
        <v>821</v>
      </c>
      <c r="D4" t="s">
        <v>885</v>
      </c>
      <c r="F4" s="1" t="s">
        <v>895</v>
      </c>
      <c r="G4" s="1"/>
    </row>
    <row r="5" spans="1:8" ht="28.8">
      <c r="A5" s="282" t="s">
        <v>903</v>
      </c>
      <c r="B5" t="s">
        <v>821</v>
      </c>
      <c r="C5" t="s">
        <v>821</v>
      </c>
      <c r="D5" t="s">
        <v>885</v>
      </c>
      <c r="E5" s="1"/>
      <c r="F5" s="26" t="s">
        <v>896</v>
      </c>
    </row>
    <row r="6" spans="1:8" ht="14.4">
      <c r="A6" s="217"/>
      <c r="E6" s="1"/>
      <c r="F6" s="26" t="s">
        <v>898</v>
      </c>
    </row>
    <row r="7" spans="1:8" ht="14.4">
      <c r="A7" s="217"/>
      <c r="E7" s="1"/>
      <c r="F7" s="26" t="s">
        <v>904</v>
      </c>
    </row>
    <row r="8" spans="1:8" ht="14.4">
      <c r="A8" s="217"/>
      <c r="F8" s="26" t="s">
        <v>905</v>
      </c>
    </row>
    <row r="9" spans="1:8" ht="14.4">
      <c r="A9" s="217"/>
    </row>
    <row r="10" spans="1:8">
      <c r="A10" s="218"/>
    </row>
    <row r="11" spans="1:8">
      <c r="A11" s="218"/>
    </row>
    <row r="12" spans="1:8">
      <c r="A12" s="218"/>
    </row>
    <row r="13" spans="1:8"/>
    <row r="14" spans="1:8"/>
    <row r="15" spans="1:8"/>
    <row r="16" spans="1:8"/>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sheetData>
  <phoneticPr fontId="14" type="noConversion"/>
  <dataValidations count="2">
    <dataValidation type="list" allowBlank="1" showInputMessage="1" showErrorMessage="1" sqref="B2:C500" xr:uid="{00000000-0002-0000-0200-000000000000}">
      <formula1>"%,."</formula1>
    </dataValidation>
    <dataValidation type="list" allowBlank="1" showInputMessage="1" showErrorMessage="1" sqref="D2:D500" xr:uid="{00000000-0002-0000-0200-000001000000}">
      <formula1>"A,D"</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GN2021"/>
  <sheetViews>
    <sheetView showGridLines="0" workbookViewId="0">
      <selection activeCell="A7" sqref="A7:A364"/>
    </sheetView>
  </sheetViews>
  <sheetFormatPr defaultColWidth="0" defaultRowHeight="13.2" zeroHeight="1"/>
  <cols>
    <col min="1" max="1" width="50.109375" style="104" bestFit="1" customWidth="1"/>
    <col min="2" max="2" width="20.109375" style="104" customWidth="1"/>
    <col min="3" max="6" width="17.33203125" style="104" customWidth="1"/>
    <col min="7" max="11" width="26.88671875" style="104" customWidth="1"/>
    <col min="12" max="77" width="9.109375" style="104" customWidth="1"/>
    <col min="78" max="16384" width="9.109375" style="104" hidden="1"/>
  </cols>
  <sheetData>
    <row r="1" spans="1:77" s="133" customFormat="1" ht="14.25" customHeight="1">
      <c r="A1" s="143" t="s">
        <v>803</v>
      </c>
      <c r="C1" s="169" t="str">
        <f>C4&amp;C5</f>
        <v>Proportion of residents who walk (for at least 10 minutes) at least once a month2012/13</v>
      </c>
      <c r="D1" s="133" t="str">
        <f t="shared" ref="D1:BO1" si="0">D4&amp;D5</f>
        <v>Proportion of residents who walk (for at least 10 minutes) at least once a week2012/13</v>
      </c>
      <c r="E1" s="133" t="str">
        <f t="shared" si="0"/>
        <v>Proportion of residents who walk (for at least 10 minutes) at least 3 times a week2012/13</v>
      </c>
      <c r="F1" s="133" t="str">
        <f t="shared" si="0"/>
        <v>Proportion of residents who walk (for at least 10 minutes) at least 5 times a week2012/13</v>
      </c>
      <c r="G1" s="133" t="str">
        <f t="shared" si="0"/>
        <v>Proportion of residents who walk (for at least 10 minutes) at least once a month2013/14</v>
      </c>
      <c r="H1" s="133" t="str">
        <f t="shared" si="0"/>
        <v>Proportion of residents who walk (for at least 10 minutes) at least once a week2013/14</v>
      </c>
      <c r="I1" s="133" t="str">
        <f t="shared" si="0"/>
        <v>Proportion of residents who walk (for at least 10 minutes) at least 3 times a week2013/14</v>
      </c>
      <c r="J1" s="133" t="str">
        <f t="shared" si="0"/>
        <v>Proportion of residents who walk (for at least 10 minutes) at least 5 times a week2013/14</v>
      </c>
      <c r="K1" s="133" t="str">
        <f t="shared" si="0"/>
        <v>Proportion of residents who walk (for at least 10 minutes) at least once a month2014/15</v>
      </c>
      <c r="L1" s="133" t="str">
        <f t="shared" si="0"/>
        <v>Proportion of residents who walk (for at least 10 minutes) at least once a week2014/15</v>
      </c>
      <c r="M1" s="133" t="str">
        <f t="shared" si="0"/>
        <v>Proportion of residents who walk (for at least 10 minutes) at least 3 times a week2014/15</v>
      </c>
      <c r="N1" s="133" t="str">
        <f t="shared" si="0"/>
        <v>Proportion of residents who walk (for at least 10 minutes) at least 5 times a week2014/15</v>
      </c>
      <c r="O1" s="133" t="str">
        <f t="shared" si="0"/>
        <v>Proportion of residents who walk (for at least 10 minutes) at least once a month2015/16</v>
      </c>
      <c r="P1" s="133" t="str">
        <f t="shared" si="0"/>
        <v>Proportion of residents who walk (for at least 10 minutes) at least once a week2015/16</v>
      </c>
      <c r="Q1" s="133" t="str">
        <f t="shared" si="0"/>
        <v>Proportion of residents who walk (for at least 10 minutes) at least 3 times a week2015/16</v>
      </c>
      <c r="R1" s="133" t="str">
        <f t="shared" si="0"/>
        <v>Proportion of residents who walk (for at least 10 minutes) at least 5 times a week2015/16</v>
      </c>
      <c r="S1" s="133" t="str">
        <f t="shared" si="0"/>
        <v>Proportion of residents who walk (for at least 10 minutes) at least once a month2016/17</v>
      </c>
      <c r="T1" s="133" t="str">
        <f t="shared" si="0"/>
        <v>Proportion of residents who walk (for at least 10 minutes) at least once a week2016/17</v>
      </c>
      <c r="U1" s="133" t="str">
        <f t="shared" si="0"/>
        <v>Proportion of residents who walk (for at least 10 minutes) at least 3 times a week2016/17</v>
      </c>
      <c r="V1" s="133" t="str">
        <f t="shared" si="0"/>
        <v>Proportion of residents who walk (for at least 10 minutes) at least 5 times a week2016/17</v>
      </c>
      <c r="W1" s="133" t="str">
        <f t="shared" si="0"/>
        <v>Proportion of residents who walk (for at least 10 minutes) at least once a month2017/18</v>
      </c>
      <c r="X1" s="133" t="str">
        <f t="shared" si="0"/>
        <v>Proportion of residents who walk (for at least 10 minutes) at least once a week2017/18</v>
      </c>
      <c r="Y1" s="133" t="str">
        <f t="shared" si="0"/>
        <v>Proportion of residents who walk (for at least 10 minutes) at least 3 times a week2017/18</v>
      </c>
      <c r="Z1" s="133" t="str">
        <f t="shared" si="0"/>
        <v>Proportion of residents who walk (for at least 10 minutes) at least 5 times a week2017/18</v>
      </c>
      <c r="AA1" s="133" t="str">
        <f t="shared" si="0"/>
        <v>Proportion of residents who walk (for at least 10 minutes) at least once a month2018/19</v>
      </c>
      <c r="AB1" s="133" t="str">
        <f t="shared" si="0"/>
        <v>Proportion of residents who walk (for at least 10 minutes) at least once a week2018/19</v>
      </c>
      <c r="AC1" s="133" t="str">
        <f t="shared" si="0"/>
        <v>Proportion of residents who walk (for at least 10 minutes) at least 3 times a week2018/19</v>
      </c>
      <c r="AD1" s="133" t="str">
        <f t="shared" si="0"/>
        <v>Proportion of residents who walk (for at least 10 minutes) at least 5 times a week2018/19</v>
      </c>
      <c r="AE1" s="133" t="str">
        <f t="shared" si="0"/>
        <v/>
      </c>
      <c r="AF1" s="133" t="str">
        <f t="shared" si="0"/>
        <v/>
      </c>
      <c r="AG1" s="133" t="str">
        <f t="shared" si="0"/>
        <v/>
      </c>
      <c r="AH1" s="133" t="str">
        <f t="shared" si="0"/>
        <v/>
      </c>
      <c r="AI1" s="133" t="str">
        <f t="shared" si="0"/>
        <v/>
      </c>
      <c r="AJ1" s="133" t="str">
        <f t="shared" si="0"/>
        <v/>
      </c>
      <c r="AK1" s="133" t="str">
        <f t="shared" si="0"/>
        <v/>
      </c>
      <c r="AL1" s="133" t="str">
        <f t="shared" si="0"/>
        <v/>
      </c>
      <c r="AM1" s="133" t="str">
        <f t="shared" si="0"/>
        <v/>
      </c>
      <c r="AN1" s="133" t="str">
        <f t="shared" si="0"/>
        <v/>
      </c>
      <c r="AO1" s="133" t="str">
        <f t="shared" si="0"/>
        <v/>
      </c>
      <c r="AP1" s="133" t="str">
        <f t="shared" si="0"/>
        <v/>
      </c>
      <c r="AQ1" s="133" t="str">
        <f t="shared" si="0"/>
        <v/>
      </c>
      <c r="AR1" s="133" t="str">
        <f t="shared" si="0"/>
        <v/>
      </c>
      <c r="AS1" s="133" t="str">
        <f t="shared" si="0"/>
        <v/>
      </c>
      <c r="AT1" s="133" t="str">
        <f t="shared" si="0"/>
        <v/>
      </c>
      <c r="AU1" s="133" t="str">
        <f t="shared" si="0"/>
        <v/>
      </c>
      <c r="AV1" s="133" t="str">
        <f t="shared" si="0"/>
        <v/>
      </c>
      <c r="AW1" s="133" t="str">
        <f t="shared" si="0"/>
        <v/>
      </c>
      <c r="AX1" s="133" t="str">
        <f t="shared" si="0"/>
        <v/>
      </c>
      <c r="AY1" s="133" t="str">
        <f t="shared" si="0"/>
        <v/>
      </c>
      <c r="AZ1" s="133" t="str">
        <f t="shared" si="0"/>
        <v/>
      </c>
      <c r="BA1" s="133" t="str">
        <f t="shared" si="0"/>
        <v/>
      </c>
      <c r="BB1" s="133" t="str">
        <f t="shared" si="0"/>
        <v/>
      </c>
      <c r="BC1" s="133" t="str">
        <f t="shared" si="0"/>
        <v/>
      </c>
      <c r="BD1" s="133" t="str">
        <f t="shared" si="0"/>
        <v/>
      </c>
      <c r="BE1" s="133" t="str">
        <f t="shared" si="0"/>
        <v/>
      </c>
      <c r="BF1" s="133" t="str">
        <f t="shared" si="0"/>
        <v/>
      </c>
      <c r="BG1" s="133" t="str">
        <f t="shared" si="0"/>
        <v/>
      </c>
      <c r="BH1" s="133" t="str">
        <f t="shared" si="0"/>
        <v/>
      </c>
      <c r="BI1" s="133" t="str">
        <f t="shared" si="0"/>
        <v/>
      </c>
      <c r="BJ1" s="133" t="str">
        <f t="shared" si="0"/>
        <v/>
      </c>
      <c r="BK1" s="133" t="str">
        <f t="shared" si="0"/>
        <v/>
      </c>
      <c r="BL1" s="133" t="str">
        <f t="shared" si="0"/>
        <v/>
      </c>
      <c r="BM1" s="133" t="str">
        <f t="shared" si="0"/>
        <v/>
      </c>
      <c r="BN1" s="133" t="str">
        <f t="shared" si="0"/>
        <v/>
      </c>
      <c r="BO1" s="133" t="str">
        <f t="shared" si="0"/>
        <v/>
      </c>
      <c r="BP1" s="133" t="str">
        <f t="shared" ref="BP1:BY1" si="1">BP4&amp;BP5</f>
        <v/>
      </c>
      <c r="BQ1" s="133" t="str">
        <f t="shared" si="1"/>
        <v/>
      </c>
      <c r="BR1" s="133" t="str">
        <f t="shared" si="1"/>
        <v/>
      </c>
      <c r="BS1" s="133" t="str">
        <f t="shared" si="1"/>
        <v/>
      </c>
      <c r="BT1" s="133" t="str">
        <f t="shared" si="1"/>
        <v/>
      </c>
      <c r="BU1" s="133" t="str">
        <f t="shared" si="1"/>
        <v/>
      </c>
      <c r="BV1" s="133" t="str">
        <f t="shared" si="1"/>
        <v/>
      </c>
      <c r="BW1" s="133" t="str">
        <f t="shared" si="1"/>
        <v/>
      </c>
      <c r="BX1" s="133" t="str">
        <f t="shared" si="1"/>
        <v/>
      </c>
      <c r="BY1" s="133" t="str">
        <f t="shared" si="1"/>
        <v/>
      </c>
    </row>
    <row r="2" spans="1:77" s="133" customFormat="1">
      <c r="A2" s="139" t="s">
        <v>819</v>
      </c>
      <c r="B2" s="134"/>
      <c r="C2" s="134"/>
      <c r="D2" s="134"/>
      <c r="E2" s="134"/>
      <c r="F2" s="134"/>
    </row>
    <row r="3" spans="1:77" ht="14.7" customHeight="1">
      <c r="A3" s="138" t="s">
        <v>801</v>
      </c>
      <c r="B3" s="281" t="s">
        <v>899</v>
      </c>
      <c r="D3" s="137"/>
      <c r="E3" s="137"/>
      <c r="L3" s="126"/>
      <c r="M3" s="109"/>
      <c r="N3" s="126"/>
      <c r="O3" s="140"/>
      <c r="P3" s="140"/>
      <c r="Q3" s="140"/>
      <c r="R3" s="109"/>
      <c r="S3" s="109"/>
      <c r="T3" s="109"/>
      <c r="U3" s="140"/>
      <c r="V3" s="361"/>
      <c r="W3" s="361"/>
      <c r="X3" s="126"/>
      <c r="Y3" s="126"/>
    </row>
    <row r="4" spans="1:77" ht="60" customHeight="1">
      <c r="A4" s="359" t="s">
        <v>820</v>
      </c>
      <c r="B4" s="135" t="s">
        <v>802</v>
      </c>
      <c r="C4" s="217" t="s">
        <v>900</v>
      </c>
      <c r="D4" s="217" t="s">
        <v>901</v>
      </c>
      <c r="E4" s="217" t="s">
        <v>902</v>
      </c>
      <c r="F4" s="217" t="s">
        <v>903</v>
      </c>
      <c r="G4" s="218" t="s">
        <v>900</v>
      </c>
      <c r="H4" s="218" t="s">
        <v>901</v>
      </c>
      <c r="I4" s="218" t="s">
        <v>902</v>
      </c>
      <c r="J4" s="217" t="s">
        <v>903</v>
      </c>
      <c r="K4" s="218" t="s">
        <v>900</v>
      </c>
      <c r="L4" s="218" t="s">
        <v>901</v>
      </c>
      <c r="M4" s="218" t="s">
        <v>902</v>
      </c>
      <c r="N4" s="218" t="s">
        <v>903</v>
      </c>
      <c r="O4" s="218" t="s">
        <v>900</v>
      </c>
      <c r="P4" s="128" t="s">
        <v>901</v>
      </c>
      <c r="Q4" s="128" t="s">
        <v>902</v>
      </c>
      <c r="R4" s="130" t="s">
        <v>903</v>
      </c>
      <c r="S4" s="218" t="s">
        <v>900</v>
      </c>
      <c r="T4" s="271" t="s">
        <v>901</v>
      </c>
      <c r="U4" s="271" t="s">
        <v>902</v>
      </c>
      <c r="V4" s="144" t="s">
        <v>903</v>
      </c>
      <c r="W4" s="218" t="s">
        <v>900</v>
      </c>
      <c r="X4" s="271" t="s">
        <v>901</v>
      </c>
      <c r="Y4" s="271" t="s">
        <v>902</v>
      </c>
      <c r="Z4" s="144" t="s">
        <v>903</v>
      </c>
      <c r="AA4" s="218" t="s">
        <v>900</v>
      </c>
      <c r="AB4" s="271" t="s">
        <v>901</v>
      </c>
      <c r="AC4" s="271" t="s">
        <v>902</v>
      </c>
      <c r="AD4" s="144" t="s">
        <v>903</v>
      </c>
    </row>
    <row r="5" spans="1:77" ht="30" customHeight="1">
      <c r="A5" s="360"/>
      <c r="B5" s="136" t="s">
        <v>364</v>
      </c>
      <c r="C5" s="217" t="s">
        <v>886</v>
      </c>
      <c r="D5" s="217" t="s">
        <v>886</v>
      </c>
      <c r="E5" s="217" t="s">
        <v>886</v>
      </c>
      <c r="F5" s="268" t="s">
        <v>886</v>
      </c>
      <c r="G5" s="217" t="s">
        <v>894</v>
      </c>
      <c r="H5" s="270" t="s">
        <v>894</v>
      </c>
      <c r="I5" s="273" t="s">
        <v>894</v>
      </c>
      <c r="J5" s="217" t="s">
        <v>894</v>
      </c>
      <c r="K5" s="217" t="s">
        <v>895</v>
      </c>
      <c r="L5" s="217" t="s">
        <v>895</v>
      </c>
      <c r="M5" s="217" t="s">
        <v>895</v>
      </c>
      <c r="N5" s="217" t="s">
        <v>895</v>
      </c>
      <c r="O5" s="217" t="s">
        <v>896</v>
      </c>
      <c r="P5" s="129" t="s">
        <v>896</v>
      </c>
      <c r="Q5" s="129" t="s">
        <v>896</v>
      </c>
      <c r="R5" s="112" t="s">
        <v>896</v>
      </c>
      <c r="S5" s="282" t="s">
        <v>898</v>
      </c>
      <c r="T5" s="282" t="s">
        <v>898</v>
      </c>
      <c r="U5" s="282" t="s">
        <v>898</v>
      </c>
      <c r="V5" s="282" t="s">
        <v>898</v>
      </c>
      <c r="W5" s="283" t="s">
        <v>904</v>
      </c>
      <c r="X5" s="283" t="s">
        <v>904</v>
      </c>
      <c r="Y5" s="283" t="s">
        <v>904</v>
      </c>
      <c r="Z5" s="283" t="s">
        <v>904</v>
      </c>
      <c r="AA5" s="284" t="s">
        <v>905</v>
      </c>
      <c r="AB5" s="284" t="s">
        <v>905</v>
      </c>
      <c r="AC5" s="284" t="s">
        <v>905</v>
      </c>
      <c r="AD5" s="284" t="s">
        <v>905</v>
      </c>
    </row>
    <row r="6" spans="1:77" ht="14.7" customHeight="1">
      <c r="A6" s="360"/>
      <c r="B6" s="136" t="s">
        <v>365</v>
      </c>
      <c r="C6" s="162" t="s">
        <v>887</v>
      </c>
      <c r="D6" s="162" t="s">
        <v>887</v>
      </c>
      <c r="E6" s="162" t="s">
        <v>887</v>
      </c>
      <c r="F6" s="162" t="s">
        <v>887</v>
      </c>
      <c r="G6" s="162" t="s">
        <v>887</v>
      </c>
      <c r="H6" s="162" t="s">
        <v>887</v>
      </c>
      <c r="I6" s="162" t="s">
        <v>887</v>
      </c>
      <c r="J6" s="162" t="s">
        <v>887</v>
      </c>
      <c r="K6" s="162" t="s">
        <v>887</v>
      </c>
      <c r="L6" s="162" t="s">
        <v>887</v>
      </c>
      <c r="M6" s="162" t="s">
        <v>887</v>
      </c>
      <c r="N6" s="162" t="s">
        <v>887</v>
      </c>
      <c r="O6" s="162" t="s">
        <v>887</v>
      </c>
      <c r="P6" s="129" t="s">
        <v>887</v>
      </c>
      <c r="Q6" s="129" t="s">
        <v>887</v>
      </c>
      <c r="R6" s="112" t="s">
        <v>887</v>
      </c>
      <c r="S6" s="162" t="s">
        <v>887</v>
      </c>
      <c r="T6" s="272" t="s">
        <v>887</v>
      </c>
      <c r="U6" s="272" t="s">
        <v>887</v>
      </c>
      <c r="V6" s="112" t="s">
        <v>887</v>
      </c>
      <c r="W6" s="162" t="s">
        <v>887</v>
      </c>
      <c r="X6" s="272" t="s">
        <v>887</v>
      </c>
      <c r="Y6" s="272" t="s">
        <v>887</v>
      </c>
      <c r="Z6" s="112" t="s">
        <v>887</v>
      </c>
      <c r="AA6" s="162" t="s">
        <v>887</v>
      </c>
      <c r="AB6" s="272" t="s">
        <v>887</v>
      </c>
      <c r="AC6" s="272" t="s">
        <v>887</v>
      </c>
      <c r="AD6" s="112" t="s">
        <v>887</v>
      </c>
    </row>
    <row r="7" spans="1:77" ht="14.7" customHeight="1">
      <c r="A7" s="131" t="s">
        <v>4</v>
      </c>
      <c r="B7" s="131"/>
      <c r="C7">
        <v>89.856481940181027</v>
      </c>
      <c r="D7">
        <v>81.021462294124788</v>
      </c>
      <c r="E7">
        <v>60.168528891517404</v>
      </c>
      <c r="F7">
        <v>50.710160782650973</v>
      </c>
      <c r="G7">
        <v>86.891410114470872</v>
      </c>
      <c r="H7">
        <v>75.44317190047262</v>
      </c>
      <c r="I7" s="147">
        <v>54.711866220956082</v>
      </c>
      <c r="J7" s="112">
        <v>45.021160274671892</v>
      </c>
      <c r="K7" s="112">
        <v>84.666688276957487</v>
      </c>
      <c r="L7" s="126">
        <v>81.384533372548304</v>
      </c>
      <c r="M7" s="112">
        <v>59.505646342285381</v>
      </c>
      <c r="N7" s="126">
        <v>49.984579531830505</v>
      </c>
      <c r="O7" s="147">
        <v>77.24102915278938</v>
      </c>
      <c r="P7" s="147">
        <v>69.394953116502904</v>
      </c>
      <c r="Q7" s="147">
        <v>42.043341547237603</v>
      </c>
      <c r="R7" s="112">
        <v>31.910329741222725</v>
      </c>
      <c r="S7" s="112">
        <v>83.248800000000003</v>
      </c>
      <c r="T7" s="112">
        <v>73.853400000000008</v>
      </c>
      <c r="U7" s="146">
        <v>46.140900000000002</v>
      </c>
      <c r="V7" s="113">
        <v>35.496400000000001</v>
      </c>
      <c r="W7" s="113">
        <v>83.144199999999998</v>
      </c>
      <c r="X7" s="126">
        <v>74.763999999999996</v>
      </c>
      <c r="Y7" s="126">
        <v>46.604299999999995</v>
      </c>
      <c r="Z7" s="104">
        <v>35.486400000000003</v>
      </c>
      <c r="AA7" s="104">
        <v>80.665375065265906</v>
      </c>
      <c r="AB7" s="104">
        <v>72.487573614177734</v>
      </c>
      <c r="AC7" s="104">
        <v>45.196519797379722</v>
      </c>
      <c r="AD7" s="104">
        <v>34.356964032522519</v>
      </c>
    </row>
    <row r="8" spans="1:77" ht="14.7" customHeight="1">
      <c r="A8" s="131" t="s">
        <v>6</v>
      </c>
      <c r="B8" s="131"/>
      <c r="C8">
        <v>86.719480493620281</v>
      </c>
      <c r="D8">
        <v>76.693816540036792</v>
      </c>
      <c r="E8">
        <v>53.024475110519006</v>
      </c>
      <c r="F8">
        <v>43.590288620814512</v>
      </c>
      <c r="G8">
        <v>84.608044286547184</v>
      </c>
      <c r="H8">
        <v>78.903755262327252</v>
      </c>
      <c r="I8" s="147">
        <v>60.1235494013142</v>
      </c>
      <c r="J8" s="112">
        <v>52.24409820004837</v>
      </c>
      <c r="K8" s="112">
        <v>85.210816913053662</v>
      </c>
      <c r="L8" s="126">
        <v>81.519132383833721</v>
      </c>
      <c r="M8" s="112">
        <v>63.059774250937274</v>
      </c>
      <c r="N8" s="126">
        <v>52.28653848086762</v>
      </c>
      <c r="O8" s="147">
        <v>77.856848283462895</v>
      </c>
      <c r="P8" s="147">
        <v>70.652561183874965</v>
      </c>
      <c r="Q8" s="147">
        <v>45.468977125380292</v>
      </c>
      <c r="R8" s="112">
        <v>32.716809614170131</v>
      </c>
      <c r="S8" s="112">
        <v>83.974400000000003</v>
      </c>
      <c r="T8" s="112">
        <v>75.947200000000009</v>
      </c>
      <c r="U8" s="146">
        <v>48.035600000000002</v>
      </c>
      <c r="V8" s="113">
        <v>31.5899</v>
      </c>
      <c r="W8" s="113">
        <v>79.751499999999993</v>
      </c>
      <c r="X8" s="126">
        <v>71.932500000000005</v>
      </c>
      <c r="Y8" s="126">
        <v>39.579300000000003</v>
      </c>
      <c r="Z8" s="104">
        <v>28.487299999999998</v>
      </c>
      <c r="AA8" s="104">
        <v>80.664917544522837</v>
      </c>
      <c r="AB8" s="104">
        <v>74.455214041344007</v>
      </c>
      <c r="AC8" s="104">
        <v>51.541856858264303</v>
      </c>
      <c r="AD8" s="104">
        <v>39.742279268719486</v>
      </c>
    </row>
    <row r="9" spans="1:77" ht="14.7" customHeight="1">
      <c r="A9" s="131" t="s">
        <v>7</v>
      </c>
      <c r="B9" s="131"/>
      <c r="C9">
        <v>87.581906893883072</v>
      </c>
      <c r="D9">
        <v>78.861305451442362</v>
      </c>
      <c r="E9">
        <v>53.1830533893907</v>
      </c>
      <c r="F9">
        <v>43.998447709998672</v>
      </c>
      <c r="G9">
        <v>87.600541989794451</v>
      </c>
      <c r="H9">
        <v>81.921185671874454</v>
      </c>
      <c r="I9" s="147">
        <v>60.732999650114508</v>
      </c>
      <c r="J9" s="112">
        <v>47.529745505437894</v>
      </c>
      <c r="K9" s="112">
        <v>84.97878672307732</v>
      </c>
      <c r="L9" s="126">
        <v>77.830998644374148</v>
      </c>
      <c r="M9" s="112">
        <v>59.961590600994121</v>
      </c>
      <c r="N9" s="126">
        <v>49.6528776239576</v>
      </c>
      <c r="O9" s="147">
        <v>74.958063190744426</v>
      </c>
      <c r="P9" s="147">
        <v>66.539851937057136</v>
      </c>
      <c r="Q9" s="147">
        <v>37.398077036260837</v>
      </c>
      <c r="R9" s="112">
        <v>24.211920132101081</v>
      </c>
      <c r="S9" s="112">
        <v>78.580600000000004</v>
      </c>
      <c r="T9" s="112">
        <v>67.820499999999996</v>
      </c>
      <c r="U9" s="146">
        <v>37.683399999999999</v>
      </c>
      <c r="V9" s="113">
        <v>29.601699999999997</v>
      </c>
      <c r="W9" s="113">
        <v>82.4499</v>
      </c>
      <c r="X9" s="126">
        <v>75.812700000000007</v>
      </c>
      <c r="Y9" s="126">
        <v>47.263199999999998</v>
      </c>
      <c r="Z9" s="104">
        <v>35.420999999999999</v>
      </c>
      <c r="AA9" s="104">
        <v>80.023065629365846</v>
      </c>
      <c r="AB9" s="104">
        <v>71.082423526758845</v>
      </c>
      <c r="AC9" s="104">
        <v>40.006948802559307</v>
      </c>
      <c r="AD9" s="104">
        <v>28.616225779426031</v>
      </c>
    </row>
    <row r="10" spans="1:77" ht="14.7" customHeight="1">
      <c r="A10" s="131" t="s">
        <v>8</v>
      </c>
      <c r="B10" s="131"/>
      <c r="C10">
        <v>89.124528788420619</v>
      </c>
      <c r="D10">
        <v>81.194940198811082</v>
      </c>
      <c r="E10">
        <v>61.577021489774339</v>
      </c>
      <c r="F10">
        <v>50.820659543087885</v>
      </c>
      <c r="G10">
        <v>81.642444419546393</v>
      </c>
      <c r="H10">
        <v>75.254006290556603</v>
      </c>
      <c r="I10" s="147">
        <v>51.743613775377618</v>
      </c>
      <c r="J10" s="112">
        <v>40.233573236689871</v>
      </c>
      <c r="K10" s="112">
        <v>85.99013161695882</v>
      </c>
      <c r="L10" s="126">
        <v>79.58428312470339</v>
      </c>
      <c r="M10" s="112">
        <v>59.865836296163742</v>
      </c>
      <c r="N10" s="126">
        <v>46.093342772898069</v>
      </c>
      <c r="O10" s="147">
        <v>84.334671983056737</v>
      </c>
      <c r="P10" s="147">
        <v>71.283708970604863</v>
      </c>
      <c r="Q10" s="147">
        <v>46.856477771566936</v>
      </c>
      <c r="R10" s="112">
        <v>34.082970186550007</v>
      </c>
      <c r="S10" s="112">
        <v>79.097999999999999</v>
      </c>
      <c r="T10" s="112">
        <v>72.076599999999999</v>
      </c>
      <c r="U10" s="146">
        <v>45.2913</v>
      </c>
      <c r="V10" s="113">
        <v>30.9819</v>
      </c>
      <c r="W10" s="113">
        <v>79.182900000000004</v>
      </c>
      <c r="X10" s="126">
        <v>71.658299999999997</v>
      </c>
      <c r="Y10" s="126">
        <v>48.225999999999999</v>
      </c>
      <c r="Z10" s="104">
        <v>34.574800000000003</v>
      </c>
      <c r="AA10" s="104">
        <v>84.514725319808676</v>
      </c>
      <c r="AB10" s="104">
        <v>76.050559771666769</v>
      </c>
      <c r="AC10" s="104">
        <v>49.493401303394876</v>
      </c>
      <c r="AD10" s="104">
        <v>38.211485628854987</v>
      </c>
    </row>
    <row r="11" spans="1:77" ht="14.7" customHeight="1">
      <c r="A11" s="131" t="s">
        <v>9</v>
      </c>
      <c r="B11" s="131"/>
      <c r="C11">
        <v>85.731788766304192</v>
      </c>
      <c r="D11">
        <v>74.325104738482977</v>
      </c>
      <c r="E11">
        <v>51.066922121279944</v>
      </c>
      <c r="F11">
        <v>42.149486703348025</v>
      </c>
      <c r="G11">
        <v>81.158243000802116</v>
      </c>
      <c r="H11">
        <v>77.155735671160386</v>
      </c>
      <c r="I11" s="147">
        <v>52.874452071788944</v>
      </c>
      <c r="J11" s="112">
        <v>44.138822264494252</v>
      </c>
      <c r="K11" s="112">
        <v>83.044911126447658</v>
      </c>
      <c r="L11" s="126">
        <v>76.981982615403481</v>
      </c>
      <c r="M11" s="112">
        <v>61.647820296225177</v>
      </c>
      <c r="N11" s="126">
        <v>52.620646568782057</v>
      </c>
      <c r="O11" s="147">
        <v>76.18015901597947</v>
      </c>
      <c r="P11" s="147">
        <v>66.636124875920416</v>
      </c>
      <c r="Q11" s="147">
        <v>36.466840310529399</v>
      </c>
      <c r="R11" s="112">
        <v>26.429978139375109</v>
      </c>
      <c r="S11" s="112">
        <v>77.796700000000001</v>
      </c>
      <c r="T11" s="112">
        <v>67.002600000000001</v>
      </c>
      <c r="U11" s="146">
        <v>42.889300000000006</v>
      </c>
      <c r="V11" s="113">
        <v>32.275999999999996</v>
      </c>
      <c r="W11" s="113">
        <v>75.196300000000008</v>
      </c>
      <c r="X11" s="126">
        <v>65.335599999999999</v>
      </c>
      <c r="Y11" s="126">
        <v>40.044699999999999</v>
      </c>
      <c r="Z11" s="104">
        <v>30.342500000000001</v>
      </c>
      <c r="AA11" s="104">
        <v>76.217957761705563</v>
      </c>
      <c r="AB11" s="104">
        <v>65.619123861477362</v>
      </c>
      <c r="AC11" s="104">
        <v>38.978876774164242</v>
      </c>
      <c r="AD11" s="104">
        <v>29.438125688177031</v>
      </c>
    </row>
    <row r="12" spans="1:77" ht="14.7" customHeight="1">
      <c r="A12" s="131" t="s">
        <v>10</v>
      </c>
      <c r="B12" s="131"/>
      <c r="C12">
        <v>88.965144720857097</v>
      </c>
      <c r="D12">
        <v>79.461150643162398</v>
      </c>
      <c r="E12">
        <v>54.885807105866355</v>
      </c>
      <c r="F12">
        <v>45.643554013956454</v>
      </c>
      <c r="G12">
        <v>84.411441548522021</v>
      </c>
      <c r="H12">
        <v>78.321268698129259</v>
      </c>
      <c r="I12" s="147">
        <v>54.55681477188179</v>
      </c>
      <c r="J12" s="112">
        <v>41.661220110739791</v>
      </c>
      <c r="K12" s="112">
        <v>85.152008096029661</v>
      </c>
      <c r="L12" s="126">
        <v>78.942231256100385</v>
      </c>
      <c r="M12" s="112">
        <v>62.825747894424374</v>
      </c>
      <c r="N12" s="126">
        <v>51.393755219915668</v>
      </c>
      <c r="O12" s="147">
        <v>77.728448699144863</v>
      </c>
      <c r="P12" s="147">
        <v>63.859109245813208</v>
      </c>
      <c r="Q12" s="147">
        <v>39.667683054725828</v>
      </c>
      <c r="R12" s="112">
        <v>28.68081856447693</v>
      </c>
      <c r="S12" s="112">
        <v>82.210599999999999</v>
      </c>
      <c r="T12" s="112">
        <v>70.332499999999996</v>
      </c>
      <c r="U12" s="146">
        <v>45.521499999999996</v>
      </c>
      <c r="V12" s="113">
        <v>34.5349</v>
      </c>
      <c r="W12" s="113">
        <v>78.4422</v>
      </c>
      <c r="X12" s="126">
        <v>66.609200000000001</v>
      </c>
      <c r="Y12" s="126">
        <v>40.808</v>
      </c>
      <c r="Z12" s="104">
        <v>31.332900000000002</v>
      </c>
      <c r="AA12" s="104">
        <v>78.610915016735788</v>
      </c>
      <c r="AB12" s="104">
        <v>69.994255977557515</v>
      </c>
      <c r="AC12" s="104">
        <v>42.571891163399144</v>
      </c>
      <c r="AD12" s="104">
        <v>29.904169350191456</v>
      </c>
    </row>
    <row r="13" spans="1:77" ht="14.7" customHeight="1">
      <c r="A13" s="131" t="s">
        <v>11</v>
      </c>
      <c r="B13" s="131"/>
      <c r="C13">
        <v>87.506662780874692</v>
      </c>
      <c r="D13">
        <v>77.93669938372436</v>
      </c>
      <c r="E13">
        <v>59.565145598951631</v>
      </c>
      <c r="F13">
        <v>47.491113444080938</v>
      </c>
      <c r="G13">
        <v>88.882237622988427</v>
      </c>
      <c r="H13">
        <v>80.26222412569544</v>
      </c>
      <c r="I13" s="147">
        <v>53.04400540420874</v>
      </c>
      <c r="J13" s="112">
        <v>41.682132386562301</v>
      </c>
      <c r="K13" s="112">
        <v>88.388876768293045</v>
      </c>
      <c r="L13" s="126">
        <v>81.048086711312024</v>
      </c>
      <c r="M13" s="112">
        <v>64.101899052618847</v>
      </c>
      <c r="N13" s="126">
        <v>51.090521898194552</v>
      </c>
      <c r="O13" s="147">
        <v>78.351791706875034</v>
      </c>
      <c r="P13" s="147">
        <v>69.364968073655248</v>
      </c>
      <c r="Q13" s="147">
        <v>40.596813398898831</v>
      </c>
      <c r="R13" s="112">
        <v>29.060634061609196</v>
      </c>
      <c r="S13" s="112">
        <v>87.035799999999995</v>
      </c>
      <c r="T13" s="112">
        <v>76.546300000000002</v>
      </c>
      <c r="U13" s="146">
        <v>47.1663</v>
      </c>
      <c r="V13" s="113">
        <v>36.944000000000003</v>
      </c>
      <c r="W13" s="113">
        <v>81.870800000000003</v>
      </c>
      <c r="X13" s="126">
        <v>73.334500000000006</v>
      </c>
      <c r="Y13" s="126">
        <v>45.082899999999995</v>
      </c>
      <c r="Z13" s="104">
        <v>31.739899999999999</v>
      </c>
      <c r="AA13" s="104">
        <v>80.767974982154783</v>
      </c>
      <c r="AB13" s="104">
        <v>71.741980232197449</v>
      </c>
      <c r="AC13" s="104">
        <v>42.111372937412142</v>
      </c>
      <c r="AD13" s="104">
        <v>32.382535216596075</v>
      </c>
    </row>
    <row r="14" spans="1:77" ht="14.7" customHeight="1">
      <c r="A14" s="131" t="s">
        <v>12</v>
      </c>
      <c r="B14" s="131"/>
      <c r="C14">
        <v>88.696065678968708</v>
      </c>
      <c r="D14">
        <v>79.550994842455765</v>
      </c>
      <c r="E14">
        <v>53.218091975625882</v>
      </c>
      <c r="F14">
        <v>44.693992216505443</v>
      </c>
      <c r="G14">
        <v>89.126365180484228</v>
      </c>
      <c r="H14">
        <v>80.399149988951507</v>
      </c>
      <c r="I14" s="147">
        <v>56.021634391992201</v>
      </c>
      <c r="J14" s="112">
        <v>42.986479537574155</v>
      </c>
      <c r="K14" s="112">
        <v>87.448790841936741</v>
      </c>
      <c r="L14" s="126">
        <v>82.146932042258513</v>
      </c>
      <c r="M14" s="112">
        <v>63.423239752026092</v>
      </c>
      <c r="N14" s="126">
        <v>51.898410948465767</v>
      </c>
      <c r="O14" s="147">
        <v>81.221707724709518</v>
      </c>
      <c r="P14" s="147">
        <v>70.779925252534582</v>
      </c>
      <c r="Q14" s="147">
        <v>39.799385071500872</v>
      </c>
      <c r="R14" s="112">
        <v>30.803169522045913</v>
      </c>
      <c r="S14" s="112">
        <v>84.685500000000005</v>
      </c>
      <c r="T14" s="112">
        <v>71.212100000000007</v>
      </c>
      <c r="U14" s="147">
        <v>45.5503</v>
      </c>
      <c r="V14" s="149">
        <v>36.334499999999998</v>
      </c>
      <c r="W14" s="149">
        <v>78.821699999999993</v>
      </c>
      <c r="X14" s="126">
        <v>68.180599999999998</v>
      </c>
      <c r="Y14" s="126">
        <v>43.969500000000004</v>
      </c>
      <c r="Z14" s="104">
        <v>32.204599999999999</v>
      </c>
      <c r="AA14" s="104">
        <v>77.483389981559796</v>
      </c>
      <c r="AB14" s="104">
        <v>69.928910618183096</v>
      </c>
      <c r="AC14" s="104">
        <v>43.840564144898224</v>
      </c>
      <c r="AD14" s="104">
        <v>35.04049434209783</v>
      </c>
    </row>
    <row r="15" spans="1:77" ht="14.7" customHeight="1">
      <c r="A15" s="131" t="s">
        <v>338</v>
      </c>
      <c r="B15" s="131"/>
      <c r="C15">
        <v>84.908053110844691</v>
      </c>
      <c r="D15">
        <v>75.123658208582825</v>
      </c>
      <c r="E15">
        <v>55.685504492260364</v>
      </c>
      <c r="F15">
        <v>48.129013665289719</v>
      </c>
      <c r="G15">
        <v>81.745139033226963</v>
      </c>
      <c r="H15">
        <v>75.257998730800281</v>
      </c>
      <c r="I15" s="147">
        <v>57.150338555946448</v>
      </c>
      <c r="J15" s="112">
        <v>48.253002027022859</v>
      </c>
      <c r="K15" s="112">
        <v>76.903009077263945</v>
      </c>
      <c r="L15" s="126">
        <v>72.199281157445995</v>
      </c>
      <c r="M15" s="112">
        <v>58.726963488231135</v>
      </c>
      <c r="N15" s="126">
        <v>50.291003521233826</v>
      </c>
      <c r="O15" s="147">
        <v>67.679482834413349</v>
      </c>
      <c r="P15" s="147">
        <v>60.977257039450571</v>
      </c>
      <c r="Q15" s="147">
        <v>32.491845740532767</v>
      </c>
      <c r="R15" s="112">
        <v>23.898016789822947</v>
      </c>
      <c r="S15" s="112">
        <v>70.774299999999997</v>
      </c>
      <c r="T15" s="112">
        <v>62.208399999999997</v>
      </c>
      <c r="U15" s="146">
        <v>37.143799999999999</v>
      </c>
      <c r="V15" s="113">
        <v>25.684899999999999</v>
      </c>
      <c r="W15" s="113">
        <v>70.454300000000003</v>
      </c>
      <c r="X15" s="126">
        <v>63.879300000000008</v>
      </c>
      <c r="Y15" s="126">
        <v>40.438000000000002</v>
      </c>
      <c r="Z15" s="104">
        <v>32.5899</v>
      </c>
      <c r="AA15" s="104">
        <v>64.562263846342049</v>
      </c>
      <c r="AB15" s="104">
        <v>56.256305878884362</v>
      </c>
      <c r="AC15" s="104">
        <v>30.183631665510347</v>
      </c>
      <c r="AD15" s="104">
        <v>22.737025476312127</v>
      </c>
    </row>
    <row r="16" spans="1:77" ht="14.7" customHeight="1">
      <c r="A16" s="131" t="s">
        <v>196</v>
      </c>
      <c r="B16" s="131"/>
      <c r="C16">
        <v>87.90359533907278</v>
      </c>
      <c r="D16">
        <v>80.591852455620455</v>
      </c>
      <c r="E16">
        <v>58.265411963753621</v>
      </c>
      <c r="F16">
        <v>45.646510267624599</v>
      </c>
      <c r="G16">
        <v>90.313729656401051</v>
      </c>
      <c r="H16">
        <v>82.532194130090986</v>
      </c>
      <c r="I16" s="147">
        <v>63.795313109737315</v>
      </c>
      <c r="J16" s="112">
        <v>53.301567089075576</v>
      </c>
      <c r="K16" s="112">
        <v>89.244691893212021</v>
      </c>
      <c r="L16" s="126">
        <v>84.671974104031946</v>
      </c>
      <c r="M16" s="112">
        <v>65.211756707689219</v>
      </c>
      <c r="N16" s="126">
        <v>54.008196784635466</v>
      </c>
      <c r="O16" s="147">
        <v>75.966361691677847</v>
      </c>
      <c r="P16" s="147">
        <v>69.157144235145708</v>
      </c>
      <c r="Q16" s="147">
        <v>41.680457481348718</v>
      </c>
      <c r="R16" s="112">
        <v>30.106528369416434</v>
      </c>
      <c r="S16" s="112">
        <v>75.568700000000007</v>
      </c>
      <c r="T16" s="112">
        <v>67.31819999999999</v>
      </c>
      <c r="U16" s="146">
        <v>46.484200000000001</v>
      </c>
      <c r="V16" s="113">
        <v>32.948799999999999</v>
      </c>
      <c r="W16" s="113">
        <v>80.315399999999997</v>
      </c>
      <c r="X16" s="126">
        <v>71.496099999999998</v>
      </c>
      <c r="Y16" s="126">
        <v>44.6004</v>
      </c>
      <c r="Z16" s="104">
        <v>30.088900000000002</v>
      </c>
      <c r="AA16" s="104">
        <v>76.379770607674743</v>
      </c>
      <c r="AB16" s="104">
        <v>69.338003900817739</v>
      </c>
      <c r="AC16" s="104">
        <v>46.114236698696232</v>
      </c>
      <c r="AD16" s="104">
        <v>33.54941710186921</v>
      </c>
    </row>
    <row r="17" spans="1:30" ht="14.7" customHeight="1">
      <c r="A17" s="131" t="s">
        <v>222</v>
      </c>
      <c r="B17" s="131"/>
      <c r="C17">
        <v>83.829887135320021</v>
      </c>
      <c r="D17">
        <v>74.286132652577592</v>
      </c>
      <c r="E17">
        <v>54.39211199399471</v>
      </c>
      <c r="F17">
        <v>43.199984081575977</v>
      </c>
      <c r="G17">
        <v>81.054669834979151</v>
      </c>
      <c r="H17">
        <v>75.777935381529304</v>
      </c>
      <c r="I17" s="146">
        <v>59.474550024969474</v>
      </c>
      <c r="J17" s="144">
        <v>48.519667129685971</v>
      </c>
      <c r="K17" s="144">
        <v>78.011097444960569</v>
      </c>
      <c r="L17" s="126">
        <v>73.886020941465176</v>
      </c>
      <c r="M17" s="144">
        <v>57.832432248495245</v>
      </c>
      <c r="N17" s="126">
        <v>47.731407994267222</v>
      </c>
      <c r="O17" s="146">
        <v>71.295166254644457</v>
      </c>
      <c r="P17" s="146">
        <v>61.449979462074133</v>
      </c>
      <c r="Q17" s="146">
        <v>34.694987512764257</v>
      </c>
      <c r="R17" s="144">
        <v>26.788344617559172</v>
      </c>
      <c r="S17" s="144">
        <v>72.306100000000001</v>
      </c>
      <c r="T17" s="144">
        <v>63.236000000000004</v>
      </c>
      <c r="U17" s="146">
        <v>35.957799999999999</v>
      </c>
      <c r="V17" s="113">
        <v>28.011599999999998</v>
      </c>
      <c r="W17" s="113">
        <v>75.408699999999996</v>
      </c>
      <c r="X17" s="126">
        <v>66.1815</v>
      </c>
      <c r="Y17" s="126">
        <v>38.836799999999997</v>
      </c>
      <c r="Z17" s="104">
        <v>29.5809</v>
      </c>
      <c r="AA17" s="104">
        <v>78.158492907112731</v>
      </c>
      <c r="AB17" s="104">
        <v>68.295510981924721</v>
      </c>
      <c r="AC17" s="104">
        <v>39.943708481561032</v>
      </c>
      <c r="AD17" s="104">
        <v>28.199185441223296</v>
      </c>
    </row>
    <row r="18" spans="1:30" ht="14.7" customHeight="1">
      <c r="A18" s="131" t="s">
        <v>13</v>
      </c>
      <c r="B18" s="131"/>
      <c r="C18">
        <v>87.204927792317577</v>
      </c>
      <c r="D18">
        <v>81.79686490865079</v>
      </c>
      <c r="E18">
        <v>63.861591284222804</v>
      </c>
      <c r="F18">
        <v>53.361091371603329</v>
      </c>
      <c r="G18">
        <v>85.381975544708894</v>
      </c>
      <c r="H18">
        <v>79.817860557679211</v>
      </c>
      <c r="I18" s="147">
        <v>61.352901311788898</v>
      </c>
      <c r="J18" s="112">
        <v>50.924926855535332</v>
      </c>
      <c r="K18" s="112">
        <v>88.285661568656877</v>
      </c>
      <c r="L18" s="126">
        <v>82.237323833578785</v>
      </c>
      <c r="M18" s="112">
        <v>62.750211852205318</v>
      </c>
      <c r="N18" s="126">
        <v>51.936288020271995</v>
      </c>
      <c r="O18" s="147">
        <v>76.071226597086479</v>
      </c>
      <c r="P18" s="147">
        <v>63.374492889726767</v>
      </c>
      <c r="Q18" s="147">
        <v>37.670882584699179</v>
      </c>
      <c r="R18" s="112">
        <v>26.758038376145411</v>
      </c>
      <c r="S18" s="112">
        <v>78.367900000000006</v>
      </c>
      <c r="T18" s="112">
        <v>69.609899999999996</v>
      </c>
      <c r="U18" s="146">
        <v>42.793599999999998</v>
      </c>
      <c r="V18" s="113">
        <v>31.855399999999999</v>
      </c>
      <c r="W18" s="113">
        <v>75.586100000000002</v>
      </c>
      <c r="X18" s="126">
        <v>66.335499999999996</v>
      </c>
      <c r="Y18" s="126">
        <v>39.475300000000004</v>
      </c>
      <c r="Z18" s="104">
        <v>27.8293</v>
      </c>
      <c r="AA18" s="104">
        <v>81.833029922135211</v>
      </c>
      <c r="AB18" s="104">
        <v>74.049518846537154</v>
      </c>
      <c r="AC18" s="104">
        <v>45.572576544110589</v>
      </c>
      <c r="AD18" s="104">
        <v>34.19017318646339</v>
      </c>
    </row>
    <row r="19" spans="1:30" ht="14.7" customHeight="1">
      <c r="A19" s="131" t="s">
        <v>14</v>
      </c>
      <c r="B19" s="131"/>
      <c r="C19">
        <v>81.47263398340128</v>
      </c>
      <c r="D19">
        <v>73.183440264900739</v>
      </c>
      <c r="E19">
        <v>52.875040762556281</v>
      </c>
      <c r="F19">
        <v>42.575591049670948</v>
      </c>
      <c r="G19">
        <v>83.314276847186036</v>
      </c>
      <c r="H19">
        <v>74.19931846318832</v>
      </c>
      <c r="I19" s="147">
        <v>55.538418221793449</v>
      </c>
      <c r="J19" s="112">
        <v>46.839921660531736</v>
      </c>
      <c r="K19" s="112">
        <v>82.846762425674271</v>
      </c>
      <c r="L19" s="126">
        <v>75.705032081688444</v>
      </c>
      <c r="M19" s="112">
        <v>58.840978874029659</v>
      </c>
      <c r="N19" s="126">
        <v>49.070600116289746</v>
      </c>
      <c r="O19" s="147">
        <v>74.627343580856049</v>
      </c>
      <c r="P19" s="147">
        <v>65.294430995785675</v>
      </c>
      <c r="Q19" s="147">
        <v>33.161101080679074</v>
      </c>
      <c r="R19" s="112">
        <v>25.394121921010903</v>
      </c>
      <c r="S19" s="112">
        <v>77.962800000000001</v>
      </c>
      <c r="T19" s="112">
        <v>70.568699999999993</v>
      </c>
      <c r="U19" s="146">
        <v>43.5336</v>
      </c>
      <c r="V19" s="113">
        <v>34.865099999999998</v>
      </c>
      <c r="W19" s="113">
        <v>74.162599999999998</v>
      </c>
      <c r="X19" s="126">
        <v>64.201999999999998</v>
      </c>
      <c r="Y19" s="126">
        <v>40.525800000000004</v>
      </c>
      <c r="Z19" s="104">
        <v>31.878</v>
      </c>
      <c r="AA19" s="104">
        <v>77.654289052948997</v>
      </c>
      <c r="AB19" s="104">
        <v>73.314078761486613</v>
      </c>
      <c r="AC19" s="104">
        <v>43.226523235181737</v>
      </c>
      <c r="AD19" s="104">
        <v>30.110782129466308</v>
      </c>
    </row>
    <row r="20" spans="1:30" ht="14.7" customHeight="1">
      <c r="A20" s="131" t="s">
        <v>342</v>
      </c>
      <c r="B20" s="131"/>
      <c r="C20">
        <v>87.518002376174024</v>
      </c>
      <c r="D20">
        <v>78.233306026563881</v>
      </c>
      <c r="E20">
        <v>53.21670629027502</v>
      </c>
      <c r="F20">
        <v>43.500143038858994</v>
      </c>
      <c r="G20">
        <v>87.322910579803121</v>
      </c>
      <c r="H20">
        <v>78.917827040994197</v>
      </c>
      <c r="I20" s="147">
        <v>55.421323544490697</v>
      </c>
      <c r="J20" s="112">
        <v>44.052047659085787</v>
      </c>
      <c r="K20" s="112">
        <v>86.488930116775393</v>
      </c>
      <c r="L20" s="126">
        <v>80.144772268566982</v>
      </c>
      <c r="M20" s="112">
        <v>61.871486523900657</v>
      </c>
      <c r="N20" s="126">
        <v>44.665535131751589</v>
      </c>
      <c r="O20" s="147">
        <v>77.106317721694566</v>
      </c>
      <c r="P20" s="147">
        <v>68.233811492804151</v>
      </c>
      <c r="Q20" s="147">
        <v>48.652924897875884</v>
      </c>
      <c r="R20" s="112">
        <v>36.251722181094934</v>
      </c>
      <c r="S20" s="112">
        <v>79.686599999999999</v>
      </c>
      <c r="T20" s="112">
        <v>72.738699999999994</v>
      </c>
      <c r="U20" s="146">
        <v>44.926100000000005</v>
      </c>
      <c r="V20" s="113">
        <v>31.2882</v>
      </c>
      <c r="W20" s="113">
        <v>83.464300000000009</v>
      </c>
      <c r="X20" s="126">
        <v>69.663899999999998</v>
      </c>
      <c r="Y20" s="126">
        <v>39.387599999999999</v>
      </c>
      <c r="Z20" s="104">
        <v>27.886400000000002</v>
      </c>
      <c r="AA20" s="104">
        <v>79.330089108755686</v>
      </c>
      <c r="AB20" s="104">
        <v>69.460819238218434</v>
      </c>
      <c r="AC20" s="104">
        <v>40.165412444719614</v>
      </c>
      <c r="AD20" s="104">
        <v>31.221384318532181</v>
      </c>
    </row>
    <row r="21" spans="1:30" ht="14.7" customHeight="1">
      <c r="A21" s="131" t="s">
        <v>15</v>
      </c>
      <c r="B21" s="131"/>
      <c r="C21">
        <v>83.256666460963103</v>
      </c>
      <c r="D21">
        <v>76.743272632137533</v>
      </c>
      <c r="E21">
        <v>56.850641539114086</v>
      </c>
      <c r="F21">
        <v>46.913850328286799</v>
      </c>
      <c r="G21">
        <v>85.313402432938744</v>
      </c>
      <c r="H21">
        <v>79.468762061627558</v>
      </c>
      <c r="I21" s="147">
        <v>61.245926136914811</v>
      </c>
      <c r="J21" s="112">
        <v>48.879545750075849</v>
      </c>
      <c r="K21" s="112">
        <v>85.083283162753361</v>
      </c>
      <c r="L21" s="126">
        <v>81.308345790043674</v>
      </c>
      <c r="M21" s="112">
        <v>61.595859018864182</v>
      </c>
      <c r="N21" s="126">
        <v>47.001330088411756</v>
      </c>
      <c r="O21" s="147">
        <v>77.171996925097986</v>
      </c>
      <c r="P21" s="147">
        <v>67.087782560726055</v>
      </c>
      <c r="Q21" s="147">
        <v>41.72795709495503</v>
      </c>
      <c r="R21" s="112">
        <v>27.00612818856073</v>
      </c>
      <c r="S21" s="112">
        <v>72.779799999999994</v>
      </c>
      <c r="T21" s="112">
        <v>64.819400000000002</v>
      </c>
      <c r="U21" s="146">
        <v>36.687799999999996</v>
      </c>
      <c r="V21" s="113">
        <v>25.749499999999998</v>
      </c>
      <c r="W21" s="113">
        <v>73.789400000000001</v>
      </c>
      <c r="X21" s="126">
        <v>65.441900000000004</v>
      </c>
      <c r="Y21" s="126">
        <v>39.469700000000003</v>
      </c>
      <c r="Z21" s="104">
        <v>31.6297</v>
      </c>
      <c r="AA21" s="104">
        <v>77.942065091262734</v>
      </c>
      <c r="AB21" s="104">
        <v>69.031267538659208</v>
      </c>
      <c r="AC21" s="104">
        <v>41.808001398005985</v>
      </c>
      <c r="AD21" s="104">
        <v>32.246110423381673</v>
      </c>
    </row>
    <row r="22" spans="1:30" ht="14.7" customHeight="1">
      <c r="A22" s="131" t="s">
        <v>258</v>
      </c>
      <c r="B22" s="131"/>
      <c r="C22">
        <v>91.473409527855395</v>
      </c>
      <c r="D22">
        <v>81.754686175687993</v>
      </c>
      <c r="E22">
        <v>63.041014721061003</v>
      </c>
      <c r="F22">
        <v>48.509128791018377</v>
      </c>
      <c r="G22">
        <v>88.149090471992949</v>
      </c>
      <c r="H22">
        <v>79.214747647699539</v>
      </c>
      <c r="I22" s="147">
        <v>59.485568671899813</v>
      </c>
      <c r="J22" s="112">
        <v>46.675026828885969</v>
      </c>
      <c r="K22" s="112">
        <v>90.521594717423952</v>
      </c>
      <c r="L22" s="126">
        <v>85.312406131035445</v>
      </c>
      <c r="M22" s="112">
        <v>66.769722444158816</v>
      </c>
      <c r="N22" s="126">
        <v>56.368581406231158</v>
      </c>
      <c r="O22" s="147">
        <v>81.396506484618428</v>
      </c>
      <c r="P22" s="147">
        <v>72.093649084756009</v>
      </c>
      <c r="Q22" s="147">
        <v>46.352523043563558</v>
      </c>
      <c r="R22" s="112">
        <v>30.421609591887368</v>
      </c>
      <c r="S22" s="112">
        <v>82.891800000000003</v>
      </c>
      <c r="T22" s="112">
        <v>73.205100000000002</v>
      </c>
      <c r="U22" s="146">
        <v>48.653800000000004</v>
      </c>
      <c r="V22" s="113">
        <v>37.7941</v>
      </c>
      <c r="W22" s="113">
        <v>84.830700000000007</v>
      </c>
      <c r="X22" s="126">
        <v>79.001200000000011</v>
      </c>
      <c r="Y22" s="126">
        <v>55.131300000000003</v>
      </c>
      <c r="Z22" s="104">
        <v>41.475200000000001</v>
      </c>
      <c r="AA22" s="104">
        <v>84.096740947063921</v>
      </c>
      <c r="AB22" s="104">
        <v>77.088376154928966</v>
      </c>
      <c r="AC22" s="104">
        <v>51.786171020135086</v>
      </c>
      <c r="AD22" s="104">
        <v>39.453397541239724</v>
      </c>
    </row>
    <row r="23" spans="1:30" ht="14.7" customHeight="1">
      <c r="A23" s="131" t="s">
        <v>259</v>
      </c>
      <c r="B23" s="131"/>
      <c r="C23">
        <v>87.681844505130329</v>
      </c>
      <c r="D23">
        <v>77.30003516213381</v>
      </c>
      <c r="E23">
        <v>53.973725607356151</v>
      </c>
      <c r="F23">
        <v>40.479687938630974</v>
      </c>
      <c r="G23">
        <v>84.551102167220961</v>
      </c>
      <c r="H23">
        <v>77.444982819798085</v>
      </c>
      <c r="I23" s="147">
        <v>51.243563920120891</v>
      </c>
      <c r="J23" s="112">
        <v>40.200841029606487</v>
      </c>
      <c r="K23" s="112">
        <v>87.856272838002425</v>
      </c>
      <c r="L23" s="126">
        <v>84.311217558051951</v>
      </c>
      <c r="M23" s="112">
        <v>64.263005892536881</v>
      </c>
      <c r="N23" s="126">
        <v>53.310767271965034</v>
      </c>
      <c r="O23" s="147">
        <v>74.941208330509767</v>
      </c>
      <c r="P23" s="147">
        <v>64.091907782215699</v>
      </c>
      <c r="Q23" s="147">
        <v>34.627774468166884</v>
      </c>
      <c r="R23" s="112">
        <v>22.960242189346378</v>
      </c>
      <c r="S23" s="112">
        <v>75.884700000000009</v>
      </c>
      <c r="T23" s="112">
        <v>65.7517</v>
      </c>
      <c r="U23" s="146">
        <v>41.494700000000002</v>
      </c>
      <c r="V23" s="113">
        <v>30.234200000000001</v>
      </c>
      <c r="W23" s="113">
        <v>73.599299999999999</v>
      </c>
      <c r="X23" s="126">
        <v>64.055700000000002</v>
      </c>
      <c r="Y23" s="126">
        <v>43.994299999999996</v>
      </c>
      <c r="Z23" s="104">
        <v>32.879000000000005</v>
      </c>
      <c r="AA23" s="104">
        <v>76.526094261589989</v>
      </c>
      <c r="AB23" s="104">
        <v>69.166993501067338</v>
      </c>
      <c r="AC23" s="104">
        <v>45.253977685526877</v>
      </c>
      <c r="AD23" s="104">
        <v>29.657325846808657</v>
      </c>
    </row>
    <row r="24" spans="1:30" ht="14.7" customHeight="1">
      <c r="A24" s="131" t="s">
        <v>197</v>
      </c>
      <c r="B24" s="131"/>
      <c r="C24">
        <v>82.988921516021492</v>
      </c>
      <c r="D24">
        <v>75.683277382716696</v>
      </c>
      <c r="E24">
        <v>54.621164103579602</v>
      </c>
      <c r="F24">
        <v>44.489443564181244</v>
      </c>
      <c r="G24">
        <v>85.642045113983727</v>
      </c>
      <c r="H24">
        <v>74.550967092978993</v>
      </c>
      <c r="I24" s="147">
        <v>57.536483605539289</v>
      </c>
      <c r="J24" s="112">
        <v>45.031774894066722</v>
      </c>
      <c r="K24" s="112">
        <v>85.940304053252802</v>
      </c>
      <c r="L24" s="126">
        <v>81.051148208730211</v>
      </c>
      <c r="M24" s="112">
        <v>61.252565829564766</v>
      </c>
      <c r="N24" s="126">
        <v>50.608983610763659</v>
      </c>
      <c r="O24" s="147">
        <v>79.864585330767852</v>
      </c>
      <c r="P24" s="147">
        <v>70.240396025485467</v>
      </c>
      <c r="Q24" s="147">
        <v>43.909683030859703</v>
      </c>
      <c r="R24" s="112">
        <v>34.434813981833464</v>
      </c>
      <c r="S24" s="112">
        <v>79.914500000000004</v>
      </c>
      <c r="T24" s="112">
        <v>70.906100000000009</v>
      </c>
      <c r="U24" s="146">
        <v>41.914999999999999</v>
      </c>
      <c r="V24" s="113">
        <v>30.130800000000001</v>
      </c>
      <c r="W24" s="113">
        <v>80.476900000000001</v>
      </c>
      <c r="X24" s="126">
        <v>73.841400000000007</v>
      </c>
      <c r="Y24" s="126">
        <v>49.740499999999997</v>
      </c>
      <c r="Z24" s="104">
        <v>39.973500000000001</v>
      </c>
      <c r="AA24" s="104">
        <v>78.800086403791639</v>
      </c>
      <c r="AB24" s="104">
        <v>70.136606215287003</v>
      </c>
      <c r="AC24" s="104">
        <v>44.741446893244323</v>
      </c>
      <c r="AD24" s="104">
        <v>32.19221257895245</v>
      </c>
    </row>
    <row r="25" spans="1:30" ht="14.7" customHeight="1">
      <c r="A25" s="131" t="s">
        <v>223</v>
      </c>
      <c r="B25" s="131"/>
      <c r="C25">
        <v>85.587350894252381</v>
      </c>
      <c r="D25">
        <v>74.237913175384662</v>
      </c>
      <c r="E25">
        <v>52.036525217459115</v>
      </c>
      <c r="F25">
        <v>37.028554575171185</v>
      </c>
      <c r="G25">
        <v>83.816631991824295</v>
      </c>
      <c r="H25">
        <v>77.205077826276209</v>
      </c>
      <c r="I25" s="147">
        <v>58.383040970073438</v>
      </c>
      <c r="J25" s="112">
        <v>49.597240686926192</v>
      </c>
      <c r="K25" s="112">
        <v>81.516352824578803</v>
      </c>
      <c r="L25" s="126">
        <v>77.223700402728184</v>
      </c>
      <c r="M25" s="112">
        <v>58.711093298398453</v>
      </c>
      <c r="N25" s="126">
        <v>49.847365847026865</v>
      </c>
      <c r="O25" s="147">
        <v>73.290680898753067</v>
      </c>
      <c r="P25" s="147">
        <v>63.207449967883925</v>
      </c>
      <c r="Q25" s="147">
        <v>39.355884288446738</v>
      </c>
      <c r="R25" s="112">
        <v>31.240680759494122</v>
      </c>
      <c r="S25" s="112">
        <v>73.789099999999991</v>
      </c>
      <c r="T25" s="112">
        <v>63.991100000000003</v>
      </c>
      <c r="U25" s="146">
        <v>39.456099999999999</v>
      </c>
      <c r="V25" s="113">
        <v>30.0136</v>
      </c>
      <c r="W25" s="113">
        <v>72.583500000000001</v>
      </c>
      <c r="X25" s="126">
        <v>62.397000000000006</v>
      </c>
      <c r="Y25" s="126">
        <v>36.227199999999996</v>
      </c>
      <c r="Z25" s="104">
        <v>25.937200000000001</v>
      </c>
      <c r="AA25" s="104">
        <v>75.384495270834634</v>
      </c>
      <c r="AB25" s="104">
        <v>65.312351215173607</v>
      </c>
      <c r="AC25" s="104">
        <v>38.178410983621106</v>
      </c>
      <c r="AD25" s="104">
        <v>29.802768356950647</v>
      </c>
    </row>
    <row r="26" spans="1:30" ht="14.7" customHeight="1">
      <c r="A26" s="131" t="s">
        <v>16</v>
      </c>
      <c r="B26" s="131"/>
      <c r="C26">
        <v>88.476286156847266</v>
      </c>
      <c r="D26">
        <v>74.41812812148325</v>
      </c>
      <c r="E26">
        <v>49.516888595143556</v>
      </c>
      <c r="F26">
        <v>37.255420147935048</v>
      </c>
      <c r="G26">
        <v>87.146408626919794</v>
      </c>
      <c r="H26">
        <v>79.902242433874065</v>
      </c>
      <c r="I26" s="147">
        <v>56.853216953337984</v>
      </c>
      <c r="J26" s="112">
        <v>48.796469480813201</v>
      </c>
      <c r="K26" s="112">
        <v>88.330013949475486</v>
      </c>
      <c r="L26" s="126">
        <v>82.223497817515039</v>
      </c>
      <c r="M26" s="112">
        <v>63.148660489720413</v>
      </c>
      <c r="N26" s="126">
        <v>50.407289012932644</v>
      </c>
      <c r="O26" s="147">
        <v>72.426692913066958</v>
      </c>
      <c r="P26" s="147">
        <v>62.180790892171323</v>
      </c>
      <c r="Q26" s="147">
        <v>36.467785898794205</v>
      </c>
      <c r="R26" s="112">
        <v>23.085755443589935</v>
      </c>
      <c r="S26" s="112">
        <v>78.840699999999998</v>
      </c>
      <c r="T26" s="112">
        <v>66.001400000000004</v>
      </c>
      <c r="U26" s="146">
        <v>39.745200000000004</v>
      </c>
      <c r="V26" s="113">
        <v>28.1387</v>
      </c>
      <c r="W26" s="113">
        <v>75.392499999999998</v>
      </c>
      <c r="X26" s="126">
        <v>66.258499999999998</v>
      </c>
      <c r="Y26" s="126">
        <v>37.035400000000003</v>
      </c>
      <c r="Z26" s="104">
        <v>25.260500000000004</v>
      </c>
      <c r="AA26" s="104">
        <v>79.438780140503624</v>
      </c>
      <c r="AB26" s="104">
        <v>67.679384517799207</v>
      </c>
      <c r="AC26" s="104">
        <v>39.064845746650974</v>
      </c>
      <c r="AD26" s="104">
        <v>29.863414410112298</v>
      </c>
    </row>
    <row r="27" spans="1:30" ht="14.7" customHeight="1">
      <c r="A27" s="131" t="s">
        <v>260</v>
      </c>
      <c r="B27" s="131"/>
      <c r="C27">
        <v>85.238164822976231</v>
      </c>
      <c r="D27">
        <v>77.354935927442568</v>
      </c>
      <c r="E27">
        <v>51.6671938264912</v>
      </c>
      <c r="F27">
        <v>42.151708544658618</v>
      </c>
      <c r="G27">
        <v>82.961067558337504</v>
      </c>
      <c r="H27">
        <v>74.397131902849992</v>
      </c>
      <c r="I27" s="147">
        <v>51.262094385572297</v>
      </c>
      <c r="J27" s="112">
        <v>39.748979793325873</v>
      </c>
      <c r="K27" s="112">
        <v>82.970656666306709</v>
      </c>
      <c r="L27" s="126">
        <v>77.290656333560307</v>
      </c>
      <c r="M27" s="112">
        <v>54.707167997014409</v>
      </c>
      <c r="N27" s="126">
        <v>45.329754860020678</v>
      </c>
      <c r="O27" s="147">
        <v>67.181563762203382</v>
      </c>
      <c r="P27" s="147">
        <v>57.166897424381247</v>
      </c>
      <c r="Q27" s="147">
        <v>35.745159178112225</v>
      </c>
      <c r="R27" s="112">
        <v>24.153700174425001</v>
      </c>
      <c r="S27" s="112">
        <v>67.043800000000005</v>
      </c>
      <c r="T27" s="112">
        <v>60.129200000000004</v>
      </c>
      <c r="U27" s="146">
        <v>32.913899999999998</v>
      </c>
      <c r="V27" s="113">
        <v>22.779199999999999</v>
      </c>
      <c r="W27" s="113">
        <v>70.130800000000008</v>
      </c>
      <c r="X27" s="126">
        <v>60.109599999999993</v>
      </c>
      <c r="Y27" s="126">
        <v>33.906599999999997</v>
      </c>
      <c r="Z27" s="104">
        <v>25.5288</v>
      </c>
      <c r="AA27" s="104">
        <v>69.59905132854793</v>
      </c>
      <c r="AB27" s="104">
        <v>61.76772701519063</v>
      </c>
      <c r="AC27" s="104">
        <v>35.120007676695032</v>
      </c>
      <c r="AD27" s="104">
        <v>23.765875785333197</v>
      </c>
    </row>
    <row r="28" spans="1:30" ht="14.7" customHeight="1">
      <c r="A28" s="131" t="s">
        <v>261</v>
      </c>
      <c r="B28" s="131"/>
      <c r="C28">
        <v>80.681091783581522</v>
      </c>
      <c r="D28">
        <v>71.452181112752811</v>
      </c>
      <c r="E28">
        <v>51.099711824719776</v>
      </c>
      <c r="F28">
        <v>39.125918603912581</v>
      </c>
      <c r="G28">
        <v>83.929505910141415</v>
      </c>
      <c r="H28">
        <v>78.677665032540759</v>
      </c>
      <c r="I28" s="147">
        <v>61.579092593322557</v>
      </c>
      <c r="J28" s="112">
        <v>52.082213891384221</v>
      </c>
      <c r="K28" s="112">
        <v>81.821597520200342</v>
      </c>
      <c r="L28" s="126">
        <v>77.709644841953761</v>
      </c>
      <c r="M28" s="112">
        <v>59.983188500450524</v>
      </c>
      <c r="N28" s="126">
        <v>51.391988131161945</v>
      </c>
      <c r="O28" s="147">
        <v>70.861970954356551</v>
      </c>
      <c r="P28" s="147">
        <v>62.371950739873348</v>
      </c>
      <c r="Q28" s="147">
        <v>38.187463967708247</v>
      </c>
      <c r="R28" s="112">
        <v>31.846463470757218</v>
      </c>
      <c r="S28" s="112">
        <v>74.677599999999998</v>
      </c>
      <c r="T28" s="112">
        <v>64.741900000000001</v>
      </c>
      <c r="U28" s="146">
        <v>39.888400000000004</v>
      </c>
      <c r="V28" s="113">
        <v>29.562799999999999</v>
      </c>
      <c r="W28" s="113">
        <v>67.975899999999996</v>
      </c>
      <c r="X28" s="126">
        <v>60.787300000000002</v>
      </c>
      <c r="Y28" s="126">
        <v>35.932299999999998</v>
      </c>
      <c r="Z28" s="104">
        <v>29.429499999999997</v>
      </c>
      <c r="AA28" s="104">
        <v>72.326225965618931</v>
      </c>
      <c r="AB28" s="104">
        <v>63.112427025697841</v>
      </c>
      <c r="AC28" s="104">
        <v>38.852621385210369</v>
      </c>
      <c r="AD28" s="104">
        <v>29.343045668998879</v>
      </c>
    </row>
    <row r="29" spans="1:30" ht="14.7" customHeight="1">
      <c r="A29" s="131" t="s">
        <v>17</v>
      </c>
      <c r="B29" s="131"/>
      <c r="C29">
        <v>80.944485268259342</v>
      </c>
      <c r="D29">
        <v>72.980778765190891</v>
      </c>
      <c r="E29">
        <v>50.522602041408639</v>
      </c>
      <c r="F29">
        <v>42.132994864607745</v>
      </c>
      <c r="G29">
        <v>79.171528588098013</v>
      </c>
      <c r="H29">
        <v>70.438166348974065</v>
      </c>
      <c r="I29" s="147">
        <v>47.741403071883056</v>
      </c>
      <c r="J29" s="112">
        <v>38.024166810442487</v>
      </c>
      <c r="K29" s="112">
        <v>82.210281153867555</v>
      </c>
      <c r="L29" s="126">
        <v>79.176227604278736</v>
      </c>
      <c r="M29" s="112">
        <v>56.798907589557757</v>
      </c>
      <c r="N29" s="126">
        <v>46.012762217721907</v>
      </c>
      <c r="O29" s="147">
        <v>72.244192793080401</v>
      </c>
      <c r="P29" s="147">
        <v>62.574143255865799</v>
      </c>
      <c r="Q29" s="147">
        <v>36.598631899048293</v>
      </c>
      <c r="R29" s="112">
        <v>26.124691109012449</v>
      </c>
      <c r="S29" s="112">
        <v>74.322800000000001</v>
      </c>
      <c r="T29" s="112">
        <v>62.055099999999996</v>
      </c>
      <c r="U29" s="146">
        <v>34.148600000000002</v>
      </c>
      <c r="V29" s="113">
        <v>23.084399999999999</v>
      </c>
      <c r="W29" s="113">
        <v>70.815300000000008</v>
      </c>
      <c r="X29" s="126">
        <v>63.018799999999999</v>
      </c>
      <c r="Y29" s="126">
        <v>37.2684</v>
      </c>
      <c r="Z29" s="104">
        <v>27.004299999999997</v>
      </c>
      <c r="AA29" s="104">
        <v>80.469223947879229</v>
      </c>
      <c r="AB29" s="104">
        <v>68.340511839357731</v>
      </c>
      <c r="AC29" s="104">
        <v>38.332729711436073</v>
      </c>
      <c r="AD29" s="104">
        <v>26.566318758035411</v>
      </c>
    </row>
    <row r="30" spans="1:30" ht="14.7" customHeight="1">
      <c r="A30" s="131" t="s">
        <v>224</v>
      </c>
      <c r="B30" s="131"/>
      <c r="C30">
        <v>81.36746349845545</v>
      </c>
      <c r="D30">
        <v>72.565930724398854</v>
      </c>
      <c r="E30">
        <v>47.621823462924198</v>
      </c>
      <c r="F30">
        <v>38.263614942138723</v>
      </c>
      <c r="G30">
        <v>82.105736127467679</v>
      </c>
      <c r="H30">
        <v>73.968788313280555</v>
      </c>
      <c r="I30" s="147">
        <v>53.066724850902894</v>
      </c>
      <c r="J30" s="112">
        <v>46.796749994804976</v>
      </c>
      <c r="K30" s="112">
        <v>83.472780507170867</v>
      </c>
      <c r="L30" s="126">
        <v>77.391923942142284</v>
      </c>
      <c r="M30" s="112">
        <v>60.988589285532527</v>
      </c>
      <c r="N30" s="126">
        <v>50.143422807178275</v>
      </c>
      <c r="O30" s="147">
        <v>70.120117930381909</v>
      </c>
      <c r="P30" s="147">
        <v>59.76124095617066</v>
      </c>
      <c r="Q30" s="147">
        <v>33.432353737190503</v>
      </c>
      <c r="R30" s="112">
        <v>24.118818902348263</v>
      </c>
      <c r="S30" s="112">
        <v>71.330200000000005</v>
      </c>
      <c r="T30" s="112">
        <v>61.951599999999999</v>
      </c>
      <c r="U30" s="146">
        <v>34.866399999999999</v>
      </c>
      <c r="V30" s="113">
        <v>25.233699999999999</v>
      </c>
      <c r="W30" s="113">
        <v>73.919299999999993</v>
      </c>
      <c r="X30" s="126">
        <v>65.124099999999999</v>
      </c>
      <c r="Y30" s="126">
        <v>36.979399999999998</v>
      </c>
      <c r="Z30" s="104">
        <v>26.024699999999999</v>
      </c>
      <c r="AA30" s="104">
        <v>71.345752146553195</v>
      </c>
      <c r="AB30" s="104">
        <v>61.793370157419403</v>
      </c>
      <c r="AC30" s="104">
        <v>33.054213214422369</v>
      </c>
      <c r="AD30" s="104">
        <v>23.696048541339319</v>
      </c>
    </row>
    <row r="31" spans="1:30" ht="14.7" customHeight="1">
      <c r="A31" s="131" t="s">
        <v>18</v>
      </c>
      <c r="B31" s="131"/>
      <c r="C31">
        <v>86.768395828491791</v>
      </c>
      <c r="D31">
        <v>75.444272883828603</v>
      </c>
      <c r="E31">
        <v>52.203145057577096</v>
      </c>
      <c r="F31">
        <v>43.759769196391737</v>
      </c>
      <c r="G31">
        <v>84.018821013448459</v>
      </c>
      <c r="H31">
        <v>74.310882418794407</v>
      </c>
      <c r="I31" s="147">
        <v>54.486313013624788</v>
      </c>
      <c r="J31" s="112">
        <v>43.48759007869706</v>
      </c>
      <c r="K31" s="112">
        <v>86.601252728403438</v>
      </c>
      <c r="L31" s="126">
        <v>75.46812030975984</v>
      </c>
      <c r="M31" s="112">
        <v>57.263430121231018</v>
      </c>
      <c r="N31" s="126">
        <v>48.252178708865827</v>
      </c>
      <c r="O31" s="147">
        <v>74.061854615577289</v>
      </c>
      <c r="P31" s="147">
        <v>66.800758170562347</v>
      </c>
      <c r="Q31" s="147">
        <v>40.5227398177963</v>
      </c>
      <c r="R31" s="112">
        <v>30.007177692398667</v>
      </c>
      <c r="S31" s="112">
        <v>71.355900000000005</v>
      </c>
      <c r="T31" s="112">
        <v>62.664299999999997</v>
      </c>
      <c r="U31" s="147">
        <v>41.784500000000001</v>
      </c>
      <c r="V31" s="149">
        <v>30.261399999999998</v>
      </c>
      <c r="W31" s="149">
        <v>69.6999</v>
      </c>
      <c r="X31" s="126">
        <v>58.599699999999999</v>
      </c>
      <c r="Y31" s="126">
        <v>38.661799999999999</v>
      </c>
      <c r="Z31" s="104">
        <v>27.304200000000002</v>
      </c>
      <c r="AA31" s="104">
        <v>75.385373930125724</v>
      </c>
      <c r="AB31" s="104">
        <v>62.739359067419663</v>
      </c>
      <c r="AC31" s="104">
        <v>37.227793238753563</v>
      </c>
      <c r="AD31" s="104">
        <v>25.712376404682182</v>
      </c>
    </row>
    <row r="32" spans="1:30" ht="14.7" customHeight="1">
      <c r="A32" s="131" t="s">
        <v>262</v>
      </c>
      <c r="B32" s="131"/>
      <c r="C32">
        <v>85.233111255833251</v>
      </c>
      <c r="D32">
        <v>74.584110915959172</v>
      </c>
      <c r="E32">
        <v>57.973307304577503</v>
      </c>
      <c r="F32">
        <v>46.407608505016633</v>
      </c>
      <c r="G32">
        <v>86.301990534095012</v>
      </c>
      <c r="H32">
        <v>81.560750064217828</v>
      </c>
      <c r="I32" s="147">
        <v>55.286308759311574</v>
      </c>
      <c r="J32" s="112">
        <v>42.978885178525559</v>
      </c>
      <c r="K32" s="112">
        <v>83.768834184031661</v>
      </c>
      <c r="L32" s="126">
        <v>78.006565629823925</v>
      </c>
      <c r="M32" s="112">
        <v>58.071610982359964</v>
      </c>
      <c r="N32" s="126">
        <v>50.422978075195203</v>
      </c>
      <c r="O32" s="147">
        <v>79.652836947647813</v>
      </c>
      <c r="P32" s="147">
        <v>70.777871637066639</v>
      </c>
      <c r="Q32" s="147">
        <v>38.571039710039642</v>
      </c>
      <c r="R32" s="112">
        <v>27.510352100067998</v>
      </c>
      <c r="S32" s="112">
        <v>81.227699999999999</v>
      </c>
      <c r="T32" s="112">
        <v>70.775999999999996</v>
      </c>
      <c r="U32" s="146">
        <v>44.252600000000001</v>
      </c>
      <c r="V32" s="113">
        <v>27.860200000000003</v>
      </c>
      <c r="W32" s="113">
        <v>81.097499999999997</v>
      </c>
      <c r="X32" s="126">
        <v>73.224000000000004</v>
      </c>
      <c r="Y32" s="126">
        <v>47.9377</v>
      </c>
      <c r="Z32" s="104">
        <v>36.051499999999997</v>
      </c>
      <c r="AA32" s="104" t="s">
        <v>911</v>
      </c>
      <c r="AB32" s="104" t="s">
        <v>911</v>
      </c>
      <c r="AC32" s="104" t="s">
        <v>911</v>
      </c>
      <c r="AD32" s="104" t="s">
        <v>911</v>
      </c>
    </row>
    <row r="33" spans="1:30" ht="14.7" customHeight="1">
      <c r="A33" s="131" t="s">
        <v>906</v>
      </c>
      <c r="B33" s="131"/>
      <c r="C33" t="s">
        <v>911</v>
      </c>
      <c r="D33" t="s">
        <v>911</v>
      </c>
      <c r="E33" t="s">
        <v>911</v>
      </c>
      <c r="F33" t="s">
        <v>911</v>
      </c>
      <c r="G33" t="s">
        <v>911</v>
      </c>
      <c r="H33" t="s">
        <v>911</v>
      </c>
      <c r="I33" s="147" t="s">
        <v>911</v>
      </c>
      <c r="J33" s="112" t="s">
        <v>911</v>
      </c>
      <c r="K33" s="112" t="s">
        <v>911</v>
      </c>
      <c r="L33" s="126" t="s">
        <v>911</v>
      </c>
      <c r="M33" s="112" t="s">
        <v>911</v>
      </c>
      <c r="N33" s="126" t="s">
        <v>911</v>
      </c>
      <c r="O33" s="147" t="s">
        <v>911</v>
      </c>
      <c r="P33" s="147" t="s">
        <v>911</v>
      </c>
      <c r="Q33" s="147" t="s">
        <v>911</v>
      </c>
      <c r="R33" s="112" t="s">
        <v>911</v>
      </c>
      <c r="S33" s="112" t="s">
        <v>911</v>
      </c>
      <c r="T33" s="112" t="s">
        <v>911</v>
      </c>
      <c r="U33" s="146" t="s">
        <v>911</v>
      </c>
      <c r="V33" s="113" t="s">
        <v>911</v>
      </c>
      <c r="W33" s="113" t="s">
        <v>911</v>
      </c>
      <c r="X33" s="126" t="s">
        <v>911</v>
      </c>
      <c r="Y33" s="126" t="s">
        <v>911</v>
      </c>
      <c r="Z33" s="104" t="s">
        <v>911</v>
      </c>
      <c r="AA33" s="104">
        <v>82.673525325114227</v>
      </c>
      <c r="AB33" s="104">
        <v>73.399980692245776</v>
      </c>
      <c r="AC33" s="104">
        <v>46.499032101032725</v>
      </c>
      <c r="AD33" s="104">
        <v>35.251749909052705</v>
      </c>
    </row>
    <row r="34" spans="1:30" ht="14.7" customHeight="1">
      <c r="A34" s="131" t="s">
        <v>263</v>
      </c>
      <c r="B34" s="131"/>
      <c r="C34">
        <v>87.40370275804284</v>
      </c>
      <c r="D34">
        <v>77.123318793875143</v>
      </c>
      <c r="E34">
        <v>48.712240785358659</v>
      </c>
      <c r="F34">
        <v>40.015943460441598</v>
      </c>
      <c r="G34">
        <v>88.097952576688499</v>
      </c>
      <c r="H34">
        <v>80.188435294706466</v>
      </c>
      <c r="I34" s="147">
        <v>52.174429856025093</v>
      </c>
      <c r="J34" s="112">
        <v>43.158897916284346</v>
      </c>
      <c r="K34" s="112">
        <v>87.0584373873629</v>
      </c>
      <c r="L34" s="126">
        <v>82.852528617716075</v>
      </c>
      <c r="M34" s="112">
        <v>60.56839304033398</v>
      </c>
      <c r="N34" s="126">
        <v>43.594608594964093</v>
      </c>
      <c r="O34" s="147">
        <v>80.492041888156436</v>
      </c>
      <c r="P34" s="147">
        <v>70.332184581341025</v>
      </c>
      <c r="Q34" s="147">
        <v>41.184977500047225</v>
      </c>
      <c r="R34" s="112">
        <v>29.022688943456664</v>
      </c>
      <c r="S34" s="112">
        <v>80.587000000000003</v>
      </c>
      <c r="T34" s="112">
        <v>70.265299999999996</v>
      </c>
      <c r="U34" s="146">
        <v>43.982799999999997</v>
      </c>
      <c r="V34" s="113">
        <v>30.014200000000002</v>
      </c>
      <c r="W34" s="113">
        <v>83.468900000000005</v>
      </c>
      <c r="X34" s="126">
        <v>72.406199999999998</v>
      </c>
      <c r="Y34" s="126">
        <v>43.503700000000002</v>
      </c>
      <c r="Z34" s="104">
        <v>30.641800000000003</v>
      </c>
      <c r="AA34" s="104">
        <v>82.036010152321211</v>
      </c>
      <c r="AB34" s="104">
        <v>70.470173146947658</v>
      </c>
      <c r="AC34" s="104">
        <v>43.613422700168975</v>
      </c>
      <c r="AD34" s="104">
        <v>30.555894270890388</v>
      </c>
    </row>
    <row r="35" spans="1:30" ht="14.7" customHeight="1">
      <c r="A35" s="131" t="s">
        <v>225</v>
      </c>
      <c r="B35" s="131"/>
      <c r="C35">
        <v>87.136786664503234</v>
      </c>
      <c r="D35">
        <v>75.550134986095713</v>
      </c>
      <c r="E35">
        <v>50.166491203879048</v>
      </c>
      <c r="F35">
        <v>39.787441600031286</v>
      </c>
      <c r="G35">
        <v>83.44433459226687</v>
      </c>
      <c r="H35">
        <v>76.67038001825965</v>
      </c>
      <c r="I35" s="147">
        <v>55.556835219325066</v>
      </c>
      <c r="J35" s="112">
        <v>43.788791262176581</v>
      </c>
      <c r="K35" s="112">
        <v>83.91566480102658</v>
      </c>
      <c r="L35" s="126">
        <v>78.180025409105554</v>
      </c>
      <c r="M35" s="112">
        <v>61.970912262737741</v>
      </c>
      <c r="N35" s="126">
        <v>50.398771261163887</v>
      </c>
      <c r="O35" s="147">
        <v>71.481069112657735</v>
      </c>
      <c r="P35" s="147">
        <v>59.885743328463462</v>
      </c>
      <c r="Q35" s="147">
        <v>37.714650817895652</v>
      </c>
      <c r="R35" s="112">
        <v>28.68209564913974</v>
      </c>
      <c r="S35" s="112">
        <v>74.995599999999996</v>
      </c>
      <c r="T35" s="112">
        <v>61.429999999999993</v>
      </c>
      <c r="U35" s="146">
        <v>36.484499999999997</v>
      </c>
      <c r="V35" s="113">
        <v>25.651600000000002</v>
      </c>
      <c r="W35" s="113">
        <v>74.294200000000004</v>
      </c>
      <c r="X35" s="126">
        <v>64.6828</v>
      </c>
      <c r="Y35" s="126">
        <v>40.261099999999999</v>
      </c>
      <c r="Z35" s="104">
        <v>27.297799999999999</v>
      </c>
      <c r="AA35" s="104">
        <v>75.388425464121639</v>
      </c>
      <c r="AB35" s="104">
        <v>65.686608548108197</v>
      </c>
      <c r="AC35" s="104">
        <v>35.481837416661122</v>
      </c>
      <c r="AD35" s="104">
        <v>26.53872760048322</v>
      </c>
    </row>
    <row r="36" spans="1:30" ht="14.7" customHeight="1">
      <c r="A36" s="131" t="s">
        <v>19</v>
      </c>
      <c r="B36" s="131"/>
      <c r="C36">
        <v>86.57654759620678</v>
      </c>
      <c r="D36">
        <v>76.821007953144445</v>
      </c>
      <c r="E36">
        <v>55.091633306338025</v>
      </c>
      <c r="F36">
        <v>40.91684161975639</v>
      </c>
      <c r="G36">
        <v>85.858657979073882</v>
      </c>
      <c r="H36">
        <v>76.630945106046809</v>
      </c>
      <c r="I36" s="147">
        <v>55.679642968927986</v>
      </c>
      <c r="J36" s="112">
        <v>47.646656772795119</v>
      </c>
      <c r="K36" s="112">
        <v>88.607423302756615</v>
      </c>
      <c r="L36" s="126">
        <v>83.543539486826816</v>
      </c>
      <c r="M36" s="112">
        <v>62.289589166707607</v>
      </c>
      <c r="N36" s="126">
        <v>49.408680060912715</v>
      </c>
      <c r="O36" s="147">
        <v>77.795908613084208</v>
      </c>
      <c r="P36" s="147">
        <v>65.988802566949118</v>
      </c>
      <c r="Q36" s="147">
        <v>39.17211440988828</v>
      </c>
      <c r="R36" s="112">
        <v>26.576296678835021</v>
      </c>
      <c r="S36" s="112">
        <v>83.499200000000002</v>
      </c>
      <c r="T36" s="112">
        <v>70.247399999999999</v>
      </c>
      <c r="U36" s="146">
        <v>44.690100000000001</v>
      </c>
      <c r="V36" s="113">
        <v>33.161799999999999</v>
      </c>
      <c r="W36" s="113">
        <v>82.350700000000003</v>
      </c>
      <c r="X36" s="126">
        <v>73.229200000000006</v>
      </c>
      <c r="Y36" s="126">
        <v>49.065599999999996</v>
      </c>
      <c r="Z36" s="104">
        <v>36.911300000000004</v>
      </c>
      <c r="AA36" s="104">
        <v>82.387796833472166</v>
      </c>
      <c r="AB36" s="104">
        <v>70.984221365584006</v>
      </c>
      <c r="AC36" s="104">
        <v>42.160103227635894</v>
      </c>
      <c r="AD36" s="104">
        <v>29.782722360594459</v>
      </c>
    </row>
    <row r="37" spans="1:30" ht="14.7" customHeight="1">
      <c r="A37" s="131" t="s">
        <v>20</v>
      </c>
      <c r="B37" s="131"/>
      <c r="C37">
        <v>82.501715470293419</v>
      </c>
      <c r="D37">
        <v>69.391371699348568</v>
      </c>
      <c r="E37">
        <v>47.927433842303898</v>
      </c>
      <c r="F37">
        <v>38.096336790915444</v>
      </c>
      <c r="G37">
        <v>85.767748107712649</v>
      </c>
      <c r="H37">
        <v>75.292913392249062</v>
      </c>
      <c r="I37" s="147">
        <v>55.329739120505359</v>
      </c>
      <c r="J37" s="112">
        <v>47.168130044166411</v>
      </c>
      <c r="K37" s="112">
        <v>82.117672962412854</v>
      </c>
      <c r="L37" s="126">
        <v>75.262941176470605</v>
      </c>
      <c r="M37" s="112">
        <v>59.183725490196082</v>
      </c>
      <c r="N37" s="126">
        <v>49.462745098039221</v>
      </c>
      <c r="O37" s="147">
        <v>67.444835062571769</v>
      </c>
      <c r="P37" s="147">
        <v>57.36872522913675</v>
      </c>
      <c r="Q37" s="147">
        <v>32.508526968387493</v>
      </c>
      <c r="R37" s="112">
        <v>23.624153142427641</v>
      </c>
      <c r="S37" s="112">
        <v>83.953599999999994</v>
      </c>
      <c r="T37" s="112">
        <v>72.585099999999997</v>
      </c>
      <c r="U37" s="146">
        <v>44.5533</v>
      </c>
      <c r="V37" s="113">
        <v>34.080199999999998</v>
      </c>
      <c r="W37" s="113">
        <v>75.462600000000009</v>
      </c>
      <c r="X37" s="126">
        <v>67.891199999999998</v>
      </c>
      <c r="Y37" s="126">
        <v>40.532200000000003</v>
      </c>
      <c r="Z37" s="104">
        <v>28.662199999999999</v>
      </c>
      <c r="AA37" s="104">
        <v>76.375281453278546</v>
      </c>
      <c r="AB37" s="104">
        <v>66.444260674620324</v>
      </c>
      <c r="AC37" s="104">
        <v>36.156689420772636</v>
      </c>
      <c r="AD37" s="104">
        <v>27.166369182238647</v>
      </c>
    </row>
    <row r="38" spans="1:30" ht="14.7" customHeight="1">
      <c r="A38" s="131" t="s">
        <v>198</v>
      </c>
      <c r="B38" s="131"/>
      <c r="C38">
        <v>84.769612359040167</v>
      </c>
      <c r="D38">
        <v>73.347654614316255</v>
      </c>
      <c r="E38">
        <v>52.186416989286677</v>
      </c>
      <c r="F38">
        <v>42.510187794670649</v>
      </c>
      <c r="G38">
        <v>88.523284827965952</v>
      </c>
      <c r="H38">
        <v>79.428497651017892</v>
      </c>
      <c r="I38" s="147">
        <v>59.835529603838332</v>
      </c>
      <c r="J38" s="112">
        <v>51.314013927298163</v>
      </c>
      <c r="K38" s="112">
        <v>87.735701771124255</v>
      </c>
      <c r="L38" s="126">
        <v>82.479165441104357</v>
      </c>
      <c r="M38" s="112">
        <v>61.516363707669086</v>
      </c>
      <c r="N38" s="126">
        <v>50.630625330901822</v>
      </c>
      <c r="O38" s="147">
        <v>71.333559914297595</v>
      </c>
      <c r="P38" s="147">
        <v>62.677329798075256</v>
      </c>
      <c r="Q38" s="147">
        <v>39.432981751522206</v>
      </c>
      <c r="R38" s="112">
        <v>25.917832953954356</v>
      </c>
      <c r="S38" s="112">
        <v>72.0899</v>
      </c>
      <c r="T38" s="112">
        <v>66.211399999999998</v>
      </c>
      <c r="U38" s="146">
        <v>41.033500000000004</v>
      </c>
      <c r="V38" s="113">
        <v>30.551699999999997</v>
      </c>
      <c r="W38" s="113">
        <v>75.2072</v>
      </c>
      <c r="X38" s="126">
        <v>69.849699999999999</v>
      </c>
      <c r="Y38" s="126">
        <v>44.937199999999997</v>
      </c>
      <c r="Z38" s="104">
        <v>35.604700000000001</v>
      </c>
      <c r="AA38" s="104">
        <v>73.291470925819766</v>
      </c>
      <c r="AB38" s="104">
        <v>66.876581647880684</v>
      </c>
      <c r="AC38" s="104">
        <v>42.66127019406845</v>
      </c>
      <c r="AD38" s="104">
        <v>32.374272202622599</v>
      </c>
    </row>
    <row r="39" spans="1:30" ht="14.7" customHeight="1">
      <c r="A39" s="131" t="s">
        <v>21</v>
      </c>
      <c r="B39" s="131"/>
      <c r="C39">
        <v>88.319915136269373</v>
      </c>
      <c r="D39">
        <v>78.442691872259999</v>
      </c>
      <c r="E39">
        <v>56.757525747293158</v>
      </c>
      <c r="F39">
        <v>47.256232142999565</v>
      </c>
      <c r="G39">
        <v>83.848173856845435</v>
      </c>
      <c r="H39">
        <v>72.482270687327741</v>
      </c>
      <c r="I39" s="147">
        <v>56.36283593891811</v>
      </c>
      <c r="J39" s="112">
        <v>47.469491394580743</v>
      </c>
      <c r="K39" s="112">
        <v>90.613367858876842</v>
      </c>
      <c r="L39" s="126">
        <v>86.195848411985196</v>
      </c>
      <c r="M39" s="112">
        <v>62.7253701859633</v>
      </c>
      <c r="N39" s="126">
        <v>49.787279689764333</v>
      </c>
      <c r="O39" s="147">
        <v>81.461671452149716</v>
      </c>
      <c r="P39" s="147">
        <v>71.15749742298874</v>
      </c>
      <c r="Q39" s="147">
        <v>43.058458669665171</v>
      </c>
      <c r="R39" s="112">
        <v>34.45891394601108</v>
      </c>
      <c r="S39" s="112">
        <v>77.334699999999998</v>
      </c>
      <c r="T39" s="112">
        <v>71.243900000000011</v>
      </c>
      <c r="U39" s="146">
        <v>44.488799999999998</v>
      </c>
      <c r="V39" s="113">
        <v>34.974400000000003</v>
      </c>
      <c r="W39" s="113">
        <v>77.991</v>
      </c>
      <c r="X39" s="126">
        <v>69.949399999999997</v>
      </c>
      <c r="Y39" s="126">
        <v>43.574600000000004</v>
      </c>
      <c r="Z39" s="104">
        <v>35.199300000000001</v>
      </c>
      <c r="AA39" s="104">
        <v>81.22234754703922</v>
      </c>
      <c r="AB39" s="104">
        <v>76.546724304246126</v>
      </c>
      <c r="AC39" s="104">
        <v>47.982510002562726</v>
      </c>
      <c r="AD39" s="104">
        <v>35.707505719980176</v>
      </c>
    </row>
    <row r="40" spans="1:30" ht="14.7" customHeight="1">
      <c r="A40" s="131" t="s">
        <v>811</v>
      </c>
      <c r="B40" s="131"/>
      <c r="C40">
        <v>88.655088589080947</v>
      </c>
      <c r="D40">
        <v>82.323617432795885</v>
      </c>
      <c r="E40">
        <v>64.50182541450647</v>
      </c>
      <c r="F40">
        <v>53.59773614082912</v>
      </c>
      <c r="G40">
        <v>88.998903210875312</v>
      </c>
      <c r="H40">
        <v>82.323126839143796</v>
      </c>
      <c r="I40" s="147">
        <v>60.385747165418003</v>
      </c>
      <c r="J40" s="112">
        <v>49.294533904351091</v>
      </c>
      <c r="K40" s="112">
        <v>87.787600774160381</v>
      </c>
      <c r="L40" s="126">
        <v>83.322938175281749</v>
      </c>
      <c r="M40" s="112">
        <v>64.698818051159677</v>
      </c>
      <c r="N40" s="126">
        <v>51.702416971096291</v>
      </c>
      <c r="O40" s="147">
        <v>86.020555026724409</v>
      </c>
      <c r="P40" s="147">
        <v>78.540594879490371</v>
      </c>
      <c r="Q40" s="147">
        <v>53.288249659860476</v>
      </c>
      <c r="R40" s="112">
        <v>37.657144509625169</v>
      </c>
      <c r="S40" s="112">
        <v>87.737499999999997</v>
      </c>
      <c r="T40" s="112">
        <v>79.824300000000008</v>
      </c>
      <c r="U40" s="146">
        <v>52.178899999999992</v>
      </c>
      <c r="V40" s="113">
        <v>42.171999999999997</v>
      </c>
      <c r="W40" s="113">
        <v>86.527799999999999</v>
      </c>
      <c r="X40" s="126">
        <v>78.652599999999993</v>
      </c>
      <c r="Y40" s="126">
        <v>52.545699999999997</v>
      </c>
      <c r="Z40" s="104">
        <v>39.441299999999998</v>
      </c>
      <c r="AA40" s="104">
        <v>88.291285751926708</v>
      </c>
      <c r="AB40" s="104">
        <v>83.470679463800366</v>
      </c>
      <c r="AC40" s="104">
        <v>59.692999009654436</v>
      </c>
      <c r="AD40" s="104">
        <v>43.747162091053028</v>
      </c>
    </row>
    <row r="41" spans="1:30" ht="14.7" customHeight="1">
      <c r="A41" s="131" t="s">
        <v>815</v>
      </c>
      <c r="B41" s="131"/>
      <c r="C41">
        <v>88.298672693041652</v>
      </c>
      <c r="D41">
        <v>79.192940351517308</v>
      </c>
      <c r="E41">
        <v>59.076681014562112</v>
      </c>
      <c r="F41">
        <v>49.427439044152052</v>
      </c>
      <c r="G41">
        <v>87.381732644403783</v>
      </c>
      <c r="H41">
        <v>78.802260817641795</v>
      </c>
      <c r="I41" s="147">
        <v>59.117292784120735</v>
      </c>
      <c r="J41" s="112">
        <v>46.072086726447239</v>
      </c>
      <c r="K41" s="112">
        <v>86.475572875830878</v>
      </c>
      <c r="L41" s="126">
        <v>80.216644217330384</v>
      </c>
      <c r="M41" s="112">
        <v>64.684887340718547</v>
      </c>
      <c r="N41" s="126">
        <v>53.927919112214852</v>
      </c>
      <c r="O41" s="147">
        <v>81.100711014521877</v>
      </c>
      <c r="P41" s="147">
        <v>72.087229477096031</v>
      </c>
      <c r="Q41" s="147">
        <v>47.442028007516825</v>
      </c>
      <c r="R41" s="112">
        <v>33.844779627684609</v>
      </c>
      <c r="S41" s="112">
        <v>83.252499999999998</v>
      </c>
      <c r="T41" s="112">
        <v>75.273099999999999</v>
      </c>
      <c r="U41" s="147">
        <v>48.4146</v>
      </c>
      <c r="V41" s="149">
        <v>34.300799999999995</v>
      </c>
      <c r="W41" s="149">
        <v>81.496500000000012</v>
      </c>
      <c r="X41" s="126">
        <v>73.853500000000011</v>
      </c>
      <c r="Y41" s="126">
        <v>48.754999999999995</v>
      </c>
      <c r="Z41" s="104">
        <v>35.646499999999996</v>
      </c>
      <c r="AA41" s="104">
        <v>84.778494082497218</v>
      </c>
      <c r="AB41" s="104">
        <v>77.216752532046812</v>
      </c>
      <c r="AC41" s="104">
        <v>50.923447529823783</v>
      </c>
      <c r="AD41" s="104">
        <v>38.449960250876799</v>
      </c>
    </row>
    <row r="42" spans="1:30" ht="14.7" customHeight="1">
      <c r="A42" s="131" t="s">
        <v>22</v>
      </c>
      <c r="B42" s="131"/>
      <c r="C42">
        <v>86.871127889490467</v>
      </c>
      <c r="D42">
        <v>75.011481878644474</v>
      </c>
      <c r="E42">
        <v>53.645977481662364</v>
      </c>
      <c r="F42">
        <v>39.97474196267968</v>
      </c>
      <c r="G42">
        <v>85.057130379142592</v>
      </c>
      <c r="H42">
        <v>74.326731357171354</v>
      </c>
      <c r="I42" s="147">
        <v>53.062096749455513</v>
      </c>
      <c r="J42" s="112">
        <v>42.946246894140025</v>
      </c>
      <c r="K42" s="112">
        <v>87.07479479702188</v>
      </c>
      <c r="L42" s="126">
        <v>78.250702059709681</v>
      </c>
      <c r="M42" s="112">
        <v>59.331723463748823</v>
      </c>
      <c r="N42" s="126">
        <v>49.609676881911447</v>
      </c>
      <c r="O42" s="147">
        <v>75.693660524247349</v>
      </c>
      <c r="P42" s="147">
        <v>67.264433195709415</v>
      </c>
      <c r="Q42" s="147">
        <v>36.587682133877358</v>
      </c>
      <c r="R42" s="112">
        <v>24.899334105857239</v>
      </c>
      <c r="S42" s="112">
        <v>81.324700000000007</v>
      </c>
      <c r="T42" s="112">
        <v>72.037499999999994</v>
      </c>
      <c r="U42" s="146">
        <v>42.612200000000001</v>
      </c>
      <c r="V42" s="113">
        <v>28.675899999999999</v>
      </c>
      <c r="W42" s="113">
        <v>77.0227</v>
      </c>
      <c r="X42" s="126">
        <v>70.132099999999994</v>
      </c>
      <c r="Y42" s="126">
        <v>42.274099999999997</v>
      </c>
      <c r="Z42" s="104">
        <v>29.964299999999998</v>
      </c>
      <c r="AA42" s="104">
        <v>76.401895334125243</v>
      </c>
      <c r="AB42" s="104">
        <v>67.665193976913613</v>
      </c>
      <c r="AC42" s="104">
        <v>38.162888544395024</v>
      </c>
      <c r="AD42" s="104">
        <v>28.249280045828556</v>
      </c>
    </row>
    <row r="43" spans="1:30" ht="14.7" customHeight="1">
      <c r="A43" s="131" t="s">
        <v>199</v>
      </c>
      <c r="B43" s="131"/>
      <c r="C43">
        <v>89.686530751081023</v>
      </c>
      <c r="D43">
        <v>79.598845307803018</v>
      </c>
      <c r="E43">
        <v>59.653770131112459</v>
      </c>
      <c r="F43">
        <v>48.618334239649492</v>
      </c>
      <c r="G43">
        <v>88.472435976516124</v>
      </c>
      <c r="H43">
        <v>79.753809002445536</v>
      </c>
      <c r="I43" s="147">
        <v>61.468141493313141</v>
      </c>
      <c r="J43" s="112">
        <v>51.85093472766529</v>
      </c>
      <c r="K43" s="112">
        <v>90.614597136099334</v>
      </c>
      <c r="L43" s="126">
        <v>87.212890488367918</v>
      </c>
      <c r="M43" s="112">
        <v>66.866104948971255</v>
      </c>
      <c r="N43" s="126">
        <v>55.383084731797936</v>
      </c>
      <c r="O43" s="147">
        <v>84.204379225066845</v>
      </c>
      <c r="P43" s="147">
        <v>74.648420556829763</v>
      </c>
      <c r="Q43" s="147">
        <v>48.237083934109798</v>
      </c>
      <c r="R43" s="112">
        <v>36.649015334086528</v>
      </c>
      <c r="S43" s="112">
        <v>85.377200000000002</v>
      </c>
      <c r="T43" s="112">
        <v>78.504499999999993</v>
      </c>
      <c r="U43" s="146">
        <v>52.703299999999999</v>
      </c>
      <c r="V43" s="113">
        <v>40.268100000000004</v>
      </c>
      <c r="W43" s="113">
        <v>82.391599999999997</v>
      </c>
      <c r="X43" s="126">
        <v>75.072800000000001</v>
      </c>
      <c r="Y43" s="126">
        <v>50.5182</v>
      </c>
      <c r="Z43" s="104">
        <v>38.333300000000001</v>
      </c>
      <c r="AA43" s="104">
        <v>85.229585707074037</v>
      </c>
      <c r="AB43" s="104">
        <v>79.269270098483929</v>
      </c>
      <c r="AC43" s="104">
        <v>54.184485013645002</v>
      </c>
      <c r="AD43" s="104">
        <v>41.791854393914797</v>
      </c>
    </row>
    <row r="44" spans="1:30" ht="14.7" customHeight="1">
      <c r="A44" s="131" t="s">
        <v>23</v>
      </c>
      <c r="B44" s="131"/>
      <c r="C44">
        <v>88.846193612281283</v>
      </c>
      <c r="D44">
        <v>78.647201981458394</v>
      </c>
      <c r="E44">
        <v>54.212653793528723</v>
      </c>
      <c r="F44">
        <v>44.475586198784093</v>
      </c>
      <c r="G44">
        <v>85.266826578100336</v>
      </c>
      <c r="H44">
        <v>80.093969176294351</v>
      </c>
      <c r="I44" s="147">
        <v>56.535232250782563</v>
      </c>
      <c r="J44" s="112">
        <v>40.298621413994681</v>
      </c>
      <c r="K44" s="112">
        <v>84.859043772969045</v>
      </c>
      <c r="L44" s="126">
        <v>80.17670240008691</v>
      </c>
      <c r="M44" s="112">
        <v>58.75495617643687</v>
      </c>
      <c r="N44" s="126">
        <v>48.039355712150503</v>
      </c>
      <c r="O44" s="147">
        <v>77.671070346019661</v>
      </c>
      <c r="P44" s="147">
        <v>67.147193680287756</v>
      </c>
      <c r="Q44" s="147">
        <v>42.118515964052676</v>
      </c>
      <c r="R44" s="112">
        <v>31.150586385630181</v>
      </c>
      <c r="S44" s="112">
        <v>77.459800000000001</v>
      </c>
      <c r="T44" s="112">
        <v>64.358000000000004</v>
      </c>
      <c r="U44" s="147">
        <v>39.7117</v>
      </c>
      <c r="V44" s="149">
        <v>27.810099999999998</v>
      </c>
      <c r="W44" s="149">
        <v>75.676500000000004</v>
      </c>
      <c r="X44" s="126">
        <v>65.807299999999998</v>
      </c>
      <c r="Y44" s="126">
        <v>37.160399999999996</v>
      </c>
      <c r="Z44" s="104">
        <v>27.576600000000003</v>
      </c>
      <c r="AA44" s="104">
        <v>84.154504337307344</v>
      </c>
      <c r="AB44" s="104">
        <v>74.259794129199321</v>
      </c>
      <c r="AC44" s="104">
        <v>42.495627059330296</v>
      </c>
      <c r="AD44" s="104">
        <v>29.379094955179539</v>
      </c>
    </row>
    <row r="45" spans="1:30" ht="14.7" customHeight="1">
      <c r="A45" s="131" t="s">
        <v>24</v>
      </c>
      <c r="B45" s="131"/>
      <c r="C45">
        <v>85.538772346499641</v>
      </c>
      <c r="D45">
        <v>72.441294183028475</v>
      </c>
      <c r="E45">
        <v>47.782109647967332</v>
      </c>
      <c r="F45">
        <v>37.927869996963537</v>
      </c>
      <c r="G45">
        <v>86.685473471828445</v>
      </c>
      <c r="H45">
        <v>78.587855823387343</v>
      </c>
      <c r="I45" s="147">
        <v>55.063913470993121</v>
      </c>
      <c r="J45" s="112">
        <v>44.737166907345006</v>
      </c>
      <c r="K45" s="112">
        <v>83.611206668960065</v>
      </c>
      <c r="L45" s="126">
        <v>79.074187020603688</v>
      </c>
      <c r="M45" s="112">
        <v>57.834734244295717</v>
      </c>
      <c r="N45" s="126">
        <v>46.541681981767297</v>
      </c>
      <c r="O45" s="147">
        <v>76.622313703787952</v>
      </c>
      <c r="P45" s="147">
        <v>66.202310457189071</v>
      </c>
      <c r="Q45" s="147">
        <v>37.677936516238006</v>
      </c>
      <c r="R45" s="112">
        <v>25.728690684039883</v>
      </c>
      <c r="S45" s="112">
        <v>77.065899999999999</v>
      </c>
      <c r="T45" s="112">
        <v>68.304100000000005</v>
      </c>
      <c r="U45" s="146">
        <v>38.598300000000002</v>
      </c>
      <c r="V45" s="113">
        <v>27.334700000000002</v>
      </c>
      <c r="W45" s="113">
        <v>74.518600000000006</v>
      </c>
      <c r="X45" s="126">
        <v>61.011200000000002</v>
      </c>
      <c r="Y45" s="126">
        <v>35.477599999999995</v>
      </c>
      <c r="Z45" s="104">
        <v>25.958599999999997</v>
      </c>
      <c r="AA45" s="104">
        <v>79.348127844807593</v>
      </c>
      <c r="AB45" s="104">
        <v>69.672625081828684</v>
      </c>
      <c r="AC45" s="104">
        <v>41.106327118090093</v>
      </c>
      <c r="AD45" s="104">
        <v>29.186839001464669</v>
      </c>
    </row>
    <row r="46" spans="1:30" ht="14.7" customHeight="1">
      <c r="A46" s="131" t="s">
        <v>25</v>
      </c>
      <c r="B46" s="131"/>
      <c r="C46">
        <v>86.81720463483326</v>
      </c>
      <c r="D46">
        <v>79.603070265861192</v>
      </c>
      <c r="E46">
        <v>49.749185827377147</v>
      </c>
      <c r="F46">
        <v>39.308756086928121</v>
      </c>
      <c r="G46">
        <v>89.857806385252687</v>
      </c>
      <c r="H46">
        <v>79.984226678162955</v>
      </c>
      <c r="I46" s="147">
        <v>63.948152355578088</v>
      </c>
      <c r="J46" s="112">
        <v>49.506572898490916</v>
      </c>
      <c r="K46" s="112">
        <v>89.323192983532152</v>
      </c>
      <c r="L46" s="126">
        <v>84.737303454668236</v>
      </c>
      <c r="M46" s="112">
        <v>66.04594201257386</v>
      </c>
      <c r="N46" s="126">
        <v>53.871979734178851</v>
      </c>
      <c r="O46" s="147">
        <v>77.202461709837905</v>
      </c>
      <c r="P46" s="147">
        <v>68.840801468574</v>
      </c>
      <c r="Q46" s="147">
        <v>41.901955764349623</v>
      </c>
      <c r="R46" s="112">
        <v>28.763342998523754</v>
      </c>
      <c r="S46" s="112">
        <v>82.124399999999994</v>
      </c>
      <c r="T46" s="112">
        <v>73.741699999999994</v>
      </c>
      <c r="U46" s="146">
        <v>45.930500000000002</v>
      </c>
      <c r="V46" s="113">
        <v>33.0045</v>
      </c>
      <c r="W46" s="113">
        <v>80.531299999999987</v>
      </c>
      <c r="X46" s="126">
        <v>71.907899999999998</v>
      </c>
      <c r="Y46" s="126">
        <v>42.614800000000002</v>
      </c>
      <c r="Z46" s="104">
        <v>33.441700000000004</v>
      </c>
      <c r="AA46" s="104">
        <v>82.507883514142037</v>
      </c>
      <c r="AB46" s="104">
        <v>74.487848059810361</v>
      </c>
      <c r="AC46" s="104">
        <v>43.260430680755931</v>
      </c>
      <c r="AD46" s="104">
        <v>29.907176615772219</v>
      </c>
    </row>
    <row r="47" spans="1:30" ht="14.7" customHeight="1">
      <c r="A47" s="131" t="s">
        <v>300</v>
      </c>
      <c r="B47" s="131"/>
      <c r="C47">
        <v>88.769034174392033</v>
      </c>
      <c r="D47">
        <v>77.985999844271731</v>
      </c>
      <c r="E47">
        <v>53.706920207177134</v>
      </c>
      <c r="F47">
        <v>42.865046630105716</v>
      </c>
      <c r="G47">
        <v>88.14709509786762</v>
      </c>
      <c r="H47">
        <v>79.331767711058859</v>
      </c>
      <c r="I47" s="147">
        <v>54.260869655218102</v>
      </c>
      <c r="J47" s="112">
        <v>41.741152750637575</v>
      </c>
      <c r="K47" s="112">
        <v>88.536658467157309</v>
      </c>
      <c r="L47" s="126">
        <v>83.098734927403086</v>
      </c>
      <c r="M47" s="112">
        <v>62.760915238674556</v>
      </c>
      <c r="N47" s="126">
        <v>49.125213612973361</v>
      </c>
      <c r="O47" s="147">
        <v>79.849477497464534</v>
      </c>
      <c r="P47" s="147">
        <v>70.312770722486235</v>
      </c>
      <c r="Q47" s="147">
        <v>41.928052158179987</v>
      </c>
      <c r="R47" s="112">
        <v>30.649549086254009</v>
      </c>
      <c r="S47" s="112">
        <v>83.444700000000012</v>
      </c>
      <c r="T47" s="112">
        <v>72.367800000000003</v>
      </c>
      <c r="U47" s="146">
        <v>42.823</v>
      </c>
      <c r="V47" s="113">
        <v>31.868000000000002</v>
      </c>
      <c r="W47" s="113">
        <v>79.895799999999994</v>
      </c>
      <c r="X47" s="126">
        <v>70.412499999999994</v>
      </c>
      <c r="Y47" s="126">
        <v>43.519600000000004</v>
      </c>
      <c r="Z47" s="104">
        <v>28.369499999999999</v>
      </c>
      <c r="AA47" s="104">
        <v>82.776384158540779</v>
      </c>
      <c r="AB47" s="104">
        <v>73.273290266325375</v>
      </c>
      <c r="AC47" s="104">
        <v>45.058451192564235</v>
      </c>
      <c r="AD47" s="104">
        <v>33.362504962931595</v>
      </c>
    </row>
    <row r="48" spans="1:30" ht="14.7" customHeight="1">
      <c r="A48" s="131" t="s">
        <v>26</v>
      </c>
      <c r="B48" s="131"/>
      <c r="C48">
        <v>82.478639363259489</v>
      </c>
      <c r="D48">
        <v>75.263751450966438</v>
      </c>
      <c r="E48">
        <v>51.053511691774588</v>
      </c>
      <c r="F48">
        <v>44.026894252047235</v>
      </c>
      <c r="G48">
        <v>84.70565555307536</v>
      </c>
      <c r="H48">
        <v>76.62504120572558</v>
      </c>
      <c r="I48" s="147">
        <v>54.166948196468901</v>
      </c>
      <c r="J48" s="112">
        <v>42.829384749888916</v>
      </c>
      <c r="K48" s="112">
        <v>85.939587697946564</v>
      </c>
      <c r="L48" s="126">
        <v>78.382176117895867</v>
      </c>
      <c r="M48" s="112">
        <v>60.87481066788866</v>
      </c>
      <c r="N48" s="126">
        <v>52.83678811633051</v>
      </c>
      <c r="O48" s="147">
        <v>74.616380296217343</v>
      </c>
      <c r="P48" s="147">
        <v>63.99770686219091</v>
      </c>
      <c r="Q48" s="147">
        <v>32.42424967275123</v>
      </c>
      <c r="R48" s="112">
        <v>24.31254655928204</v>
      </c>
      <c r="S48" s="112">
        <v>77.0749</v>
      </c>
      <c r="T48" s="112">
        <v>65.299599999999998</v>
      </c>
      <c r="U48" s="146">
        <v>40.8917</v>
      </c>
      <c r="V48" s="113">
        <v>29.578399999999998</v>
      </c>
      <c r="W48" s="113">
        <v>71.128699999999995</v>
      </c>
      <c r="X48" s="126">
        <v>60.114000000000004</v>
      </c>
      <c r="Y48" s="126">
        <v>32.1706</v>
      </c>
      <c r="Z48" s="104">
        <v>23.741499999999998</v>
      </c>
      <c r="AA48" s="104">
        <v>73.809805282781127</v>
      </c>
      <c r="AB48" s="104">
        <v>64.143963858566252</v>
      </c>
      <c r="AC48" s="104">
        <v>37.548577315757235</v>
      </c>
      <c r="AD48" s="104">
        <v>28.111889261331886</v>
      </c>
    </row>
    <row r="49" spans="1:30" ht="14.7" customHeight="1">
      <c r="A49" s="131" t="s">
        <v>226</v>
      </c>
      <c r="B49" s="131"/>
      <c r="C49">
        <v>86.409164686284981</v>
      </c>
      <c r="D49">
        <v>76.241369125699151</v>
      </c>
      <c r="E49">
        <v>52.454892656661102</v>
      </c>
      <c r="F49">
        <v>40.679679263383775</v>
      </c>
      <c r="G49">
        <v>86.421913597880902</v>
      </c>
      <c r="H49">
        <v>78.462793982548959</v>
      </c>
      <c r="I49" s="147">
        <v>54.540503051935559</v>
      </c>
      <c r="J49" s="112">
        <v>43.048994368171279</v>
      </c>
      <c r="K49" s="112">
        <v>85.897731067195849</v>
      </c>
      <c r="L49" s="126">
        <v>78.888923849693541</v>
      </c>
      <c r="M49" s="112">
        <v>57.085933256614432</v>
      </c>
      <c r="N49" s="126">
        <v>45.84487684655376</v>
      </c>
      <c r="O49" s="147">
        <v>75.416609626985831</v>
      </c>
      <c r="P49" s="147">
        <v>64.788982407465141</v>
      </c>
      <c r="Q49" s="147">
        <v>38.368644573491068</v>
      </c>
      <c r="R49" s="112">
        <v>25.923690007140948</v>
      </c>
      <c r="S49" s="112">
        <v>76.21329999999999</v>
      </c>
      <c r="T49" s="112">
        <v>66.398900000000012</v>
      </c>
      <c r="U49" s="146">
        <v>40.853200000000001</v>
      </c>
      <c r="V49" s="113">
        <v>28.916999999999998</v>
      </c>
      <c r="W49" s="113">
        <v>76.119500000000002</v>
      </c>
      <c r="X49" s="126">
        <v>66.909700000000001</v>
      </c>
      <c r="Y49" s="126">
        <v>37.817299999999996</v>
      </c>
      <c r="Z49" s="104">
        <v>28.066999999999997</v>
      </c>
      <c r="AA49" s="104">
        <v>79.11465052091954</v>
      </c>
      <c r="AB49" s="104">
        <v>67.714147273840808</v>
      </c>
      <c r="AC49" s="104">
        <v>38.960707567710635</v>
      </c>
      <c r="AD49" s="104">
        <v>28.372518901420072</v>
      </c>
    </row>
    <row r="50" spans="1:30" ht="14.7" customHeight="1">
      <c r="A50" s="131" t="s">
        <v>227</v>
      </c>
      <c r="B50" s="131"/>
      <c r="C50">
        <v>86.252455494295447</v>
      </c>
      <c r="D50">
        <v>76.721735888831816</v>
      </c>
      <c r="E50">
        <v>59.131138618596793</v>
      </c>
      <c r="F50">
        <v>43.229738139998169</v>
      </c>
      <c r="G50">
        <v>84.262769293011019</v>
      </c>
      <c r="H50">
        <v>77.863511197949578</v>
      </c>
      <c r="I50" s="147">
        <v>60.241632876326314</v>
      </c>
      <c r="J50" s="112">
        <v>49.209855107296846</v>
      </c>
      <c r="K50" s="112">
        <v>88.187432757775682</v>
      </c>
      <c r="L50" s="126">
        <v>81.250061584727788</v>
      </c>
      <c r="M50" s="112">
        <v>64.477534876663029</v>
      </c>
      <c r="N50" s="126">
        <v>52.00017342259342</v>
      </c>
      <c r="O50" s="147">
        <v>72.562552342553616</v>
      </c>
      <c r="P50" s="147">
        <v>62.4838828083506</v>
      </c>
      <c r="Q50" s="147">
        <v>38.860256792303723</v>
      </c>
      <c r="R50" s="112">
        <v>26.451220885188505</v>
      </c>
      <c r="S50" s="112">
        <v>73.435500000000005</v>
      </c>
      <c r="T50" s="112">
        <v>63.676200000000009</v>
      </c>
      <c r="U50" s="146">
        <v>40.361000000000004</v>
      </c>
      <c r="V50" s="113">
        <v>30.080200000000001</v>
      </c>
      <c r="W50" s="113">
        <v>79.6815</v>
      </c>
      <c r="X50" s="126">
        <v>71.119299999999996</v>
      </c>
      <c r="Y50" s="126">
        <v>45.396099999999997</v>
      </c>
      <c r="Z50" s="104">
        <v>35.331299999999999</v>
      </c>
      <c r="AA50" s="104">
        <v>79.16760335671502</v>
      </c>
      <c r="AB50" s="104">
        <v>70.74772215136305</v>
      </c>
      <c r="AC50" s="104">
        <v>43.066873916134398</v>
      </c>
      <c r="AD50" s="104">
        <v>27.021658345713682</v>
      </c>
    </row>
    <row r="51" spans="1:30" ht="14.7" customHeight="1">
      <c r="A51" s="131" t="s">
        <v>27</v>
      </c>
      <c r="B51" s="131"/>
      <c r="C51">
        <v>91.350764774680655</v>
      </c>
      <c r="D51">
        <v>80.774332050334635</v>
      </c>
      <c r="E51">
        <v>56.095640551140491</v>
      </c>
      <c r="F51">
        <v>44.780033198297829</v>
      </c>
      <c r="G51">
        <v>92.548056995080557</v>
      </c>
      <c r="H51">
        <v>87.687033901283741</v>
      </c>
      <c r="I51" s="147">
        <v>64.977288186755828</v>
      </c>
      <c r="J51" s="112">
        <v>56.781393887141832</v>
      </c>
      <c r="K51" s="112">
        <v>92.952626053161453</v>
      </c>
      <c r="L51" s="126">
        <v>90.575017263582239</v>
      </c>
      <c r="M51" s="112">
        <v>64.613285389306739</v>
      </c>
      <c r="N51" s="126">
        <v>51.014766843138837</v>
      </c>
      <c r="O51" s="147">
        <v>87.901472461909492</v>
      </c>
      <c r="P51" s="147">
        <v>77.460780197144715</v>
      </c>
      <c r="Q51" s="147">
        <v>50.014740000412218</v>
      </c>
      <c r="R51" s="112">
        <v>36.138850962283655</v>
      </c>
      <c r="S51" s="112">
        <v>83.802599999999998</v>
      </c>
      <c r="T51" s="112">
        <v>75.757599999999996</v>
      </c>
      <c r="U51" s="146">
        <v>50.3718</v>
      </c>
      <c r="V51" s="113">
        <v>36.1753</v>
      </c>
      <c r="W51" s="113">
        <v>88.733099999999993</v>
      </c>
      <c r="X51" s="126">
        <v>82.376899999999992</v>
      </c>
      <c r="Y51" s="126">
        <v>52.886800000000001</v>
      </c>
      <c r="Z51" s="104">
        <v>39.735399999999998</v>
      </c>
      <c r="AA51" s="104">
        <v>85.86811617148318</v>
      </c>
      <c r="AB51" s="104">
        <v>78.23874620984806</v>
      </c>
      <c r="AC51" s="104">
        <v>52.898660670825237</v>
      </c>
      <c r="AD51" s="104">
        <v>39.084824042789414</v>
      </c>
    </row>
    <row r="52" spans="1:30" ht="14.7" customHeight="1">
      <c r="A52" s="131" t="s">
        <v>302</v>
      </c>
      <c r="B52" s="131"/>
      <c r="C52">
        <v>88.009189811823958</v>
      </c>
      <c r="D52">
        <v>77.619699671365339</v>
      </c>
      <c r="E52">
        <v>55.328962058220164</v>
      </c>
      <c r="F52">
        <v>43.743626765335563</v>
      </c>
      <c r="G52">
        <v>88.239891292193548</v>
      </c>
      <c r="H52">
        <v>80.244310739726416</v>
      </c>
      <c r="I52" s="147">
        <v>57.879800071938504</v>
      </c>
      <c r="J52" s="112">
        <v>47.041559936598532</v>
      </c>
      <c r="K52" s="112">
        <v>87.750847272243703</v>
      </c>
      <c r="L52" s="126">
        <v>82.278955900168754</v>
      </c>
      <c r="M52" s="112">
        <v>61.19306039894267</v>
      </c>
      <c r="N52" s="126">
        <v>50.13212631171411</v>
      </c>
      <c r="O52" s="147">
        <v>78.588715359669109</v>
      </c>
      <c r="P52" s="147">
        <v>68.666059008727544</v>
      </c>
      <c r="Q52" s="147">
        <v>41.462410281203219</v>
      </c>
      <c r="R52" s="112">
        <v>29.369318059079575</v>
      </c>
      <c r="S52" s="112">
        <v>80.579400000000007</v>
      </c>
      <c r="T52" s="112">
        <v>72.517099999999999</v>
      </c>
      <c r="U52" s="146">
        <v>45.472499999999997</v>
      </c>
      <c r="V52" s="113">
        <v>32.646599999999999</v>
      </c>
      <c r="W52" s="113">
        <v>79.655900000000003</v>
      </c>
      <c r="X52" s="126">
        <v>70.647000000000006</v>
      </c>
      <c r="Y52" s="126">
        <v>41.847200000000001</v>
      </c>
      <c r="Z52" s="104">
        <v>30.095400000000001</v>
      </c>
      <c r="AA52" s="104">
        <v>81.15735863994766</v>
      </c>
      <c r="AB52" s="104">
        <v>70.875561268706477</v>
      </c>
      <c r="AC52" s="104">
        <v>45.834639168667266</v>
      </c>
      <c r="AD52" s="104">
        <v>33.633344185533154</v>
      </c>
    </row>
    <row r="53" spans="1:30" ht="14.7" customHeight="1">
      <c r="A53" s="131" t="s">
        <v>200</v>
      </c>
      <c r="B53" s="131"/>
      <c r="C53">
        <v>93.621743041784541</v>
      </c>
      <c r="D53">
        <v>88.269909309794741</v>
      </c>
      <c r="E53">
        <v>69.015007015431806</v>
      </c>
      <c r="F53">
        <v>60.466908536981499</v>
      </c>
      <c r="G53">
        <v>93.0733871612439</v>
      </c>
      <c r="H53">
        <v>91.168913269571945</v>
      </c>
      <c r="I53" s="147">
        <v>76.964944837571636</v>
      </c>
      <c r="J53" s="112">
        <v>67.132777290617298</v>
      </c>
      <c r="K53" s="112">
        <v>91.176550954208153</v>
      </c>
      <c r="L53" s="126">
        <v>87.793179927917947</v>
      </c>
      <c r="M53" s="112">
        <v>73.064675828745706</v>
      </c>
      <c r="N53" s="126">
        <v>65.622796942453178</v>
      </c>
      <c r="O53" s="147">
        <v>83.269685414743392</v>
      </c>
      <c r="P53" s="147">
        <v>77.500049882577812</v>
      </c>
      <c r="Q53" s="147">
        <v>55.142376950752833</v>
      </c>
      <c r="R53" s="112">
        <v>42.443318070628294</v>
      </c>
      <c r="S53" s="112">
        <v>83.534399999999991</v>
      </c>
      <c r="T53" s="112">
        <v>77.947299999999998</v>
      </c>
      <c r="U53" s="146">
        <v>55.7316</v>
      </c>
      <c r="V53" s="113">
        <v>41.947600000000001</v>
      </c>
      <c r="W53" s="113">
        <v>84.084599999999995</v>
      </c>
      <c r="X53" s="126">
        <v>78.941900000000004</v>
      </c>
      <c r="Y53" s="126">
        <v>58.704500000000003</v>
      </c>
      <c r="Z53" s="104">
        <v>46.887799999999999</v>
      </c>
      <c r="AA53" s="104">
        <v>86.127371709150438</v>
      </c>
      <c r="AB53" s="104">
        <v>76.494884906189839</v>
      </c>
      <c r="AC53" s="104">
        <v>49.170898792265319</v>
      </c>
      <c r="AD53" s="104">
        <v>35.010872741009422</v>
      </c>
    </row>
    <row r="54" spans="1:30" ht="14.7" customHeight="1">
      <c r="A54" s="131" t="s">
        <v>28</v>
      </c>
      <c r="B54" s="131"/>
      <c r="C54">
        <v>78.785264838923894</v>
      </c>
      <c r="D54">
        <v>68.772617539464761</v>
      </c>
      <c r="E54">
        <v>47.326931345326905</v>
      </c>
      <c r="F54">
        <v>35.18530396017777</v>
      </c>
      <c r="G54">
        <v>81.304709952211908</v>
      </c>
      <c r="H54">
        <v>71.23719974352494</v>
      </c>
      <c r="I54" s="147">
        <v>48.818815411059752</v>
      </c>
      <c r="J54" s="112">
        <v>39.674268325539522</v>
      </c>
      <c r="K54" s="112">
        <v>79.525173774187479</v>
      </c>
      <c r="L54" s="126">
        <v>71.285125396024071</v>
      </c>
      <c r="M54" s="112">
        <v>56.748210189892788</v>
      </c>
      <c r="N54" s="126">
        <v>46.272305545728109</v>
      </c>
      <c r="O54" s="147">
        <v>73.981134958159217</v>
      </c>
      <c r="P54" s="147">
        <v>65.388454251134334</v>
      </c>
      <c r="Q54" s="147">
        <v>36.816454552460328</v>
      </c>
      <c r="R54" s="112">
        <v>28.446452142331019</v>
      </c>
      <c r="S54" s="112">
        <v>69.242499999999993</v>
      </c>
      <c r="T54" s="112">
        <v>60.416499999999992</v>
      </c>
      <c r="U54" s="147">
        <v>36.776399999999995</v>
      </c>
      <c r="V54" s="149">
        <v>27.877000000000002</v>
      </c>
      <c r="W54" s="149">
        <v>74.169399999999996</v>
      </c>
      <c r="X54" s="126">
        <v>59.930399999999992</v>
      </c>
      <c r="Y54" s="126">
        <v>33.447800000000001</v>
      </c>
      <c r="Z54" s="104">
        <v>22.291499999999999</v>
      </c>
      <c r="AA54" s="104">
        <v>75.152118132009605</v>
      </c>
      <c r="AB54" s="104">
        <v>60.155745419070826</v>
      </c>
      <c r="AC54" s="104">
        <v>33.211492613489384</v>
      </c>
      <c r="AD54" s="104">
        <v>22.980623287531561</v>
      </c>
    </row>
    <row r="55" spans="1:30" ht="14.7" customHeight="1">
      <c r="A55" s="131" t="s">
        <v>29</v>
      </c>
      <c r="B55" s="131"/>
      <c r="C55">
        <v>84.017352660293398</v>
      </c>
      <c r="D55">
        <v>76.178474876079207</v>
      </c>
      <c r="E55">
        <v>56.011575459033836</v>
      </c>
      <c r="F55">
        <v>48.727288036139441</v>
      </c>
      <c r="G55">
        <v>85.47208591268992</v>
      </c>
      <c r="H55">
        <v>80.312893894748228</v>
      </c>
      <c r="I55" s="147">
        <v>58.477808995180339</v>
      </c>
      <c r="J55" s="112">
        <v>48.744416687951265</v>
      </c>
      <c r="K55" s="112">
        <v>87.332801152625521</v>
      </c>
      <c r="L55" s="126">
        <v>82.986367478310115</v>
      </c>
      <c r="M55" s="112">
        <v>62.099333120871577</v>
      </c>
      <c r="N55" s="126">
        <v>51.635526505921533</v>
      </c>
      <c r="O55" s="147">
        <v>81.078501757078072</v>
      </c>
      <c r="P55" s="147">
        <v>70.031788715935463</v>
      </c>
      <c r="Q55" s="147">
        <v>43.65107396165746</v>
      </c>
      <c r="R55" s="112">
        <v>30.693394485616761</v>
      </c>
      <c r="S55" s="112">
        <v>87.116600000000005</v>
      </c>
      <c r="T55" s="112">
        <v>79.935599999999994</v>
      </c>
      <c r="U55" s="146">
        <v>55.683000000000007</v>
      </c>
      <c r="V55" s="113">
        <v>44.694000000000003</v>
      </c>
      <c r="W55" s="113">
        <v>86.028899999999993</v>
      </c>
      <c r="X55" s="126">
        <v>75.936199999999999</v>
      </c>
      <c r="Y55" s="126">
        <v>54.174100000000003</v>
      </c>
      <c r="Z55" s="104">
        <v>39.441400000000002</v>
      </c>
      <c r="AA55" s="104">
        <v>80.768145290725784</v>
      </c>
      <c r="AB55" s="104">
        <v>74.618815840108795</v>
      </c>
      <c r="AC55" s="104">
        <v>47.910603599836428</v>
      </c>
      <c r="AD55" s="104">
        <v>35.587812452659193</v>
      </c>
    </row>
    <row r="56" spans="1:30" ht="14.7" customHeight="1">
      <c r="A56" s="131" t="s">
        <v>30</v>
      </c>
      <c r="B56" s="131"/>
      <c r="C56">
        <v>86.488124212960443</v>
      </c>
      <c r="D56">
        <v>77.400356451340329</v>
      </c>
      <c r="E56">
        <v>57.55908373849087</v>
      </c>
      <c r="F56">
        <v>46.775500880529648</v>
      </c>
      <c r="G56">
        <v>85.888949015172173</v>
      </c>
      <c r="H56">
        <v>80.008361513969518</v>
      </c>
      <c r="I56" s="147">
        <v>59.348831653479095</v>
      </c>
      <c r="J56" s="112">
        <v>46.738185757417241</v>
      </c>
      <c r="K56" s="112">
        <v>84.251945179509462</v>
      </c>
      <c r="L56" s="126">
        <v>80.283106991449301</v>
      </c>
      <c r="M56" s="112">
        <v>60.151253862182941</v>
      </c>
      <c r="N56" s="126">
        <v>48.843540673676486</v>
      </c>
      <c r="O56" s="147">
        <v>75.941118511191036</v>
      </c>
      <c r="P56" s="147">
        <v>67.417131730934472</v>
      </c>
      <c r="Q56" s="147">
        <v>40.535050581533021</v>
      </c>
      <c r="R56" s="112">
        <v>30.210975112438199</v>
      </c>
      <c r="S56" s="112">
        <v>80.155299999999997</v>
      </c>
      <c r="T56" s="112">
        <v>71.909000000000006</v>
      </c>
      <c r="U56" s="146">
        <v>45.381399999999999</v>
      </c>
      <c r="V56" s="113">
        <v>32.829500000000003</v>
      </c>
      <c r="W56" s="113">
        <v>77.506699999999995</v>
      </c>
      <c r="X56" s="126">
        <v>68.992800000000003</v>
      </c>
      <c r="Y56" s="126">
        <v>45.0276</v>
      </c>
      <c r="Z56" s="104">
        <v>37.4285</v>
      </c>
      <c r="AA56" s="104">
        <v>78.627178356786359</v>
      </c>
      <c r="AB56" s="104">
        <v>67.716949339294757</v>
      </c>
      <c r="AC56" s="104">
        <v>39.085462743323809</v>
      </c>
      <c r="AD56" s="104">
        <v>28.362461862024158</v>
      </c>
    </row>
    <row r="57" spans="1:30" ht="14.7" customHeight="1">
      <c r="A57" s="131" t="s">
        <v>31</v>
      </c>
      <c r="B57" s="131"/>
      <c r="C57">
        <v>81.70818603897068</v>
      </c>
      <c r="D57">
        <v>71.923217886757499</v>
      </c>
      <c r="E57">
        <v>45.130345104158579</v>
      </c>
      <c r="F57">
        <v>36.385233083829299</v>
      </c>
      <c r="G57">
        <v>81.259657845071374</v>
      </c>
      <c r="H57">
        <v>75.444289940706327</v>
      </c>
      <c r="I57" s="146">
        <v>48.412439705718526</v>
      </c>
      <c r="J57" s="144">
        <v>39.67497823422859</v>
      </c>
      <c r="K57" s="144">
        <v>82.459397497644119</v>
      </c>
      <c r="L57" s="126">
        <v>78.353088468886938</v>
      </c>
      <c r="M57" s="144">
        <v>56.09282636754952</v>
      </c>
      <c r="N57" s="126">
        <v>42.796087443237539</v>
      </c>
      <c r="O57" s="146">
        <v>71.50283059021001</v>
      </c>
      <c r="P57" s="146">
        <v>61.376915343537576</v>
      </c>
      <c r="Q57" s="146">
        <v>41.47044409497466</v>
      </c>
      <c r="R57" s="144">
        <v>33.579562486417217</v>
      </c>
      <c r="S57" s="144">
        <v>74.180000000000007</v>
      </c>
      <c r="T57" s="144">
        <v>64.337699999999998</v>
      </c>
      <c r="U57" s="146">
        <v>36.866500000000002</v>
      </c>
      <c r="V57" s="113">
        <v>28.0047</v>
      </c>
      <c r="W57" s="113">
        <v>76.7971</v>
      </c>
      <c r="X57" s="126">
        <v>68.747199999999992</v>
      </c>
      <c r="Y57" s="126">
        <v>43.831199999999995</v>
      </c>
      <c r="Z57" s="104">
        <v>33.348799999999997</v>
      </c>
      <c r="AA57" s="104">
        <v>81.417583763416488</v>
      </c>
      <c r="AB57" s="104">
        <v>73.417659696187542</v>
      </c>
      <c r="AC57" s="104">
        <v>45.819138977918904</v>
      </c>
      <c r="AD57" s="104">
        <v>30.479361737253235</v>
      </c>
    </row>
    <row r="58" spans="1:30" ht="14.7" customHeight="1">
      <c r="A58" s="131" t="s">
        <v>303</v>
      </c>
      <c r="B58" s="131"/>
      <c r="C58">
        <v>86.01619091703779</v>
      </c>
      <c r="D58">
        <v>75.12585772015332</v>
      </c>
      <c r="E58">
        <v>52.478002115757697</v>
      </c>
      <c r="F58">
        <v>42.045528140604645</v>
      </c>
      <c r="G58">
        <v>84.420929808276412</v>
      </c>
      <c r="H58">
        <v>76.822937318895839</v>
      </c>
      <c r="I58" s="147">
        <v>58.308982766509075</v>
      </c>
      <c r="J58" s="112">
        <v>48.862386253876267</v>
      </c>
      <c r="K58" s="112">
        <v>85.563358155025611</v>
      </c>
      <c r="L58" s="126">
        <v>80.495640567094284</v>
      </c>
      <c r="M58" s="112">
        <v>54.614951571802827</v>
      </c>
      <c r="N58" s="126">
        <v>42.797437055279161</v>
      </c>
      <c r="O58" s="147">
        <v>78.357138401544546</v>
      </c>
      <c r="P58" s="147">
        <v>67.134299597572095</v>
      </c>
      <c r="Q58" s="147">
        <v>39.150485949641627</v>
      </c>
      <c r="R58" s="112">
        <v>25.948031497354517</v>
      </c>
      <c r="S58" s="112">
        <v>82.033799999999999</v>
      </c>
      <c r="T58" s="112">
        <v>70.491299999999995</v>
      </c>
      <c r="U58" s="146">
        <v>44.0336</v>
      </c>
      <c r="V58" s="113">
        <v>30.112699999999997</v>
      </c>
      <c r="W58" s="113">
        <v>80.467500000000001</v>
      </c>
      <c r="X58" s="126">
        <v>71.819800000000001</v>
      </c>
      <c r="Y58" s="126">
        <v>45.700400000000002</v>
      </c>
      <c r="Z58" s="104">
        <v>30.978400000000001</v>
      </c>
      <c r="AA58" s="104">
        <v>80.714666893165287</v>
      </c>
      <c r="AB58" s="104">
        <v>71.285757754213932</v>
      </c>
      <c r="AC58" s="104">
        <v>43.112304967878387</v>
      </c>
      <c r="AD58" s="104">
        <v>32.901784046823408</v>
      </c>
    </row>
    <row r="59" spans="1:30" ht="14.7" customHeight="1">
      <c r="A59" s="131" t="s">
        <v>32</v>
      </c>
      <c r="B59" s="131"/>
      <c r="C59">
        <v>88.976485818622564</v>
      </c>
      <c r="D59">
        <v>82.597556892155737</v>
      </c>
      <c r="E59">
        <v>57.471667188586508</v>
      </c>
      <c r="F59">
        <v>44.081800535579546</v>
      </c>
      <c r="G59">
        <v>89.307507182680339</v>
      </c>
      <c r="H59">
        <v>79.870873959379367</v>
      </c>
      <c r="I59" s="147">
        <v>51.708116031226716</v>
      </c>
      <c r="J59" s="112">
        <v>42.570697418289008</v>
      </c>
      <c r="K59" s="112">
        <v>89.997809343054939</v>
      </c>
      <c r="L59" s="126">
        <v>84.547195857487907</v>
      </c>
      <c r="M59" s="112">
        <v>65.366989942458602</v>
      </c>
      <c r="N59" s="126">
        <v>52.299410527713405</v>
      </c>
      <c r="O59" s="147">
        <v>86.092820663094102</v>
      </c>
      <c r="P59" s="147">
        <v>77.501487571350651</v>
      </c>
      <c r="Q59" s="147">
        <v>41.54829364488873</v>
      </c>
      <c r="R59" s="112">
        <v>32.799357054581648</v>
      </c>
      <c r="S59" s="112">
        <v>74.589799999999997</v>
      </c>
      <c r="T59" s="112">
        <v>67.539000000000001</v>
      </c>
      <c r="U59" s="147">
        <v>35.896499999999996</v>
      </c>
      <c r="V59" s="149">
        <v>25.565700000000003</v>
      </c>
      <c r="W59" s="149">
        <v>76.783900000000003</v>
      </c>
      <c r="X59" s="126">
        <v>67.698599999999999</v>
      </c>
      <c r="Y59" s="126">
        <v>39.967599999999997</v>
      </c>
      <c r="Z59" s="104">
        <v>29.745500000000003</v>
      </c>
      <c r="AA59" s="104">
        <v>83.694914028500719</v>
      </c>
      <c r="AB59" s="104">
        <v>75.739490105837575</v>
      </c>
      <c r="AC59" s="104">
        <v>46.841175319962538</v>
      </c>
      <c r="AD59" s="104">
        <v>36.169910980343381</v>
      </c>
    </row>
    <row r="60" spans="1:30" ht="14.7" customHeight="1">
      <c r="A60" s="131" t="s">
        <v>33</v>
      </c>
      <c r="B60" s="131"/>
      <c r="C60">
        <v>88.916050591040047</v>
      </c>
      <c r="D60">
        <v>81.144349397373873</v>
      </c>
      <c r="E60">
        <v>54.477224239230992</v>
      </c>
      <c r="F60">
        <v>43.025813349785871</v>
      </c>
      <c r="G60">
        <v>86.500737343618326</v>
      </c>
      <c r="H60">
        <v>80.972082648072984</v>
      </c>
      <c r="I60" s="147">
        <v>56.910622790744689</v>
      </c>
      <c r="J60" s="112">
        <v>43.251776174194035</v>
      </c>
      <c r="K60" s="112">
        <v>86.307845627438198</v>
      </c>
      <c r="L60" s="126">
        <v>75.230624043908009</v>
      </c>
      <c r="M60" s="112">
        <v>55.773532746088236</v>
      </c>
      <c r="N60" s="126">
        <v>46.302437289457686</v>
      </c>
      <c r="O60" s="147">
        <v>76.865482991975767</v>
      </c>
      <c r="P60" s="147">
        <v>62.675736787163984</v>
      </c>
      <c r="Q60" s="147">
        <v>41.128478113315062</v>
      </c>
      <c r="R60" s="112">
        <v>31.30056121508386</v>
      </c>
      <c r="S60" s="112">
        <v>79.207000000000008</v>
      </c>
      <c r="T60" s="112">
        <v>72.373699999999999</v>
      </c>
      <c r="U60" s="147">
        <v>39.386800000000001</v>
      </c>
      <c r="V60" s="149">
        <v>26.377400000000002</v>
      </c>
      <c r="W60" s="149">
        <v>76.000399999999999</v>
      </c>
      <c r="X60" s="126">
        <v>66.404399999999995</v>
      </c>
      <c r="Y60" s="126">
        <v>39.341200000000001</v>
      </c>
      <c r="Z60" s="104">
        <v>26.935599999999997</v>
      </c>
      <c r="AA60" s="104">
        <v>84.374301378764812</v>
      </c>
      <c r="AB60" s="104">
        <v>76.184309398001076</v>
      </c>
      <c r="AC60" s="104">
        <v>47.290359457518804</v>
      </c>
      <c r="AD60" s="104">
        <v>34.154691547426097</v>
      </c>
    </row>
    <row r="61" spans="1:30" ht="14.7" customHeight="1">
      <c r="A61" s="131" t="s">
        <v>34</v>
      </c>
      <c r="B61" s="131"/>
      <c r="C61">
        <v>86.053405281553694</v>
      </c>
      <c r="D61">
        <v>77.399259762196223</v>
      </c>
      <c r="E61">
        <v>56.942768220736326</v>
      </c>
      <c r="F61">
        <v>44.59969593609749</v>
      </c>
      <c r="G61">
        <v>90.15711960780375</v>
      </c>
      <c r="H61">
        <v>83.333232491302383</v>
      </c>
      <c r="I61" s="147">
        <v>61.792971310442191</v>
      </c>
      <c r="J61" s="112">
        <v>53.101598346190691</v>
      </c>
      <c r="K61" s="112">
        <v>90.490667086713401</v>
      </c>
      <c r="L61" s="126">
        <v>86.928255128179686</v>
      </c>
      <c r="M61" s="112">
        <v>67.387557338310927</v>
      </c>
      <c r="N61" s="126">
        <v>51.079449552215095</v>
      </c>
      <c r="O61" s="147">
        <v>86.19826346877683</v>
      </c>
      <c r="P61" s="147">
        <v>74.663950471924494</v>
      </c>
      <c r="Q61" s="147">
        <v>44.796694424323327</v>
      </c>
      <c r="R61" s="112">
        <v>34.004044801186787</v>
      </c>
      <c r="S61" s="112">
        <v>84.199399999999997</v>
      </c>
      <c r="T61" s="112">
        <v>75.364900000000006</v>
      </c>
      <c r="U61" s="146">
        <v>50.979600000000005</v>
      </c>
      <c r="V61" s="113">
        <v>37.489199999999997</v>
      </c>
      <c r="W61" s="113">
        <v>83.323700000000002</v>
      </c>
      <c r="X61" s="126">
        <v>74.418099999999995</v>
      </c>
      <c r="Y61" s="126">
        <v>47.142200000000003</v>
      </c>
      <c r="Z61" s="104">
        <v>38.192100000000003</v>
      </c>
      <c r="AA61" s="104">
        <v>83.288485527931542</v>
      </c>
      <c r="AB61" s="104">
        <v>71.968810934564758</v>
      </c>
      <c r="AC61" s="104">
        <v>44.687770401855424</v>
      </c>
      <c r="AD61" s="104">
        <v>33.452792491438181</v>
      </c>
    </row>
    <row r="62" spans="1:30" ht="14.7" customHeight="1">
      <c r="A62" s="131" t="s">
        <v>35</v>
      </c>
      <c r="B62" s="131"/>
      <c r="C62">
        <v>90.883082888067662</v>
      </c>
      <c r="D62">
        <v>79.376204482514623</v>
      </c>
      <c r="E62">
        <v>55.492635389800881</v>
      </c>
      <c r="F62">
        <v>41.941213499205347</v>
      </c>
      <c r="G62">
        <v>87.241338153393627</v>
      </c>
      <c r="H62">
        <v>80.566545919801797</v>
      </c>
      <c r="I62" s="147">
        <v>60.310817913999429</v>
      </c>
      <c r="J62" s="112">
        <v>50.853445360345859</v>
      </c>
      <c r="K62" s="112">
        <v>87.541251692818136</v>
      </c>
      <c r="L62" s="126">
        <v>82.947283161627439</v>
      </c>
      <c r="M62" s="112">
        <v>61.424154722982259</v>
      </c>
      <c r="N62" s="126">
        <v>49.73379823980877</v>
      </c>
      <c r="O62" s="147">
        <v>78.172846822088431</v>
      </c>
      <c r="P62" s="147">
        <v>67.404766256816956</v>
      </c>
      <c r="Q62" s="147">
        <v>37.527034764954777</v>
      </c>
      <c r="R62" s="112">
        <v>26.474980594858611</v>
      </c>
      <c r="S62" s="112">
        <v>79.575700000000012</v>
      </c>
      <c r="T62" s="112">
        <v>66.587299999999999</v>
      </c>
      <c r="U62" s="146">
        <v>36.534800000000004</v>
      </c>
      <c r="V62" s="113">
        <v>26.1112</v>
      </c>
      <c r="W62" s="113">
        <v>82.117499999999993</v>
      </c>
      <c r="X62" s="126">
        <v>70.555199999999999</v>
      </c>
      <c r="Y62" s="126">
        <v>43.684200000000004</v>
      </c>
      <c r="Z62" s="104">
        <v>32.828899999999997</v>
      </c>
      <c r="AA62" s="104">
        <v>83.502992137546002</v>
      </c>
      <c r="AB62" s="104">
        <v>73.93116354496243</v>
      </c>
      <c r="AC62" s="104">
        <v>42.959544083443461</v>
      </c>
      <c r="AD62" s="104">
        <v>30.04235933615443</v>
      </c>
    </row>
    <row r="63" spans="1:30" ht="14.7" customHeight="1">
      <c r="A63" s="131" t="s">
        <v>304</v>
      </c>
      <c r="B63" s="131"/>
      <c r="C63">
        <v>86.174865028098537</v>
      </c>
      <c r="D63">
        <v>77.329760293380673</v>
      </c>
      <c r="E63">
        <v>53.423679265514899</v>
      </c>
      <c r="F63">
        <v>40.143014105592918</v>
      </c>
      <c r="G63">
        <v>85.600108044040041</v>
      </c>
      <c r="H63">
        <v>79.065285033024338</v>
      </c>
      <c r="I63" s="147">
        <v>52.701253544125883</v>
      </c>
      <c r="J63" s="112">
        <v>41.722181150530908</v>
      </c>
      <c r="K63" s="112">
        <v>88.343953107878903</v>
      </c>
      <c r="L63" s="126">
        <v>84.045884727861662</v>
      </c>
      <c r="M63" s="112">
        <v>67.033496311874913</v>
      </c>
      <c r="N63" s="126">
        <v>55.742882801286441</v>
      </c>
      <c r="O63" s="147">
        <v>77.957358959401176</v>
      </c>
      <c r="P63" s="147">
        <v>66.359482562408786</v>
      </c>
      <c r="Q63" s="147">
        <v>34.062588809309638</v>
      </c>
      <c r="R63" s="112">
        <v>23.909857712682065</v>
      </c>
      <c r="S63" s="112">
        <v>83.389499999999998</v>
      </c>
      <c r="T63" s="112">
        <v>73.073999999999998</v>
      </c>
      <c r="U63" s="146">
        <v>43.374699999999997</v>
      </c>
      <c r="V63" s="113">
        <v>32.001100000000001</v>
      </c>
      <c r="W63" s="113">
        <v>80.417699999999996</v>
      </c>
      <c r="X63" s="126">
        <v>69.443100000000001</v>
      </c>
      <c r="Y63" s="126">
        <v>44.511699999999998</v>
      </c>
      <c r="Z63" s="104">
        <v>32.540300000000002</v>
      </c>
      <c r="AA63" s="104">
        <v>77.112172185872979</v>
      </c>
      <c r="AB63" s="104">
        <v>66.042392974668601</v>
      </c>
      <c r="AC63" s="104">
        <v>41.580126868875446</v>
      </c>
      <c r="AD63" s="104">
        <v>29.340736880186924</v>
      </c>
    </row>
    <row r="64" spans="1:30" ht="14.7" customHeight="1">
      <c r="A64" s="131" t="s">
        <v>812</v>
      </c>
      <c r="B64" s="131"/>
      <c r="C64">
        <v>86.436248411187705</v>
      </c>
      <c r="D64">
        <v>78.716759988953044</v>
      </c>
      <c r="E64">
        <v>53.092825296018056</v>
      </c>
      <c r="F64">
        <v>41.91201870468462</v>
      </c>
      <c r="G64">
        <v>87.165170043953665</v>
      </c>
      <c r="H64">
        <v>82.677149452400329</v>
      </c>
      <c r="I64" s="147">
        <v>59.274054297491119</v>
      </c>
      <c r="J64" s="112">
        <v>45.254775719412478</v>
      </c>
      <c r="K64" s="112">
        <v>88.162905658686654</v>
      </c>
      <c r="L64" s="126">
        <v>81.329637675921035</v>
      </c>
      <c r="M64" s="112">
        <v>63.470252747963521</v>
      </c>
      <c r="N64" s="126">
        <v>51.488218665225936</v>
      </c>
      <c r="O64" s="147">
        <v>78.12553962910404</v>
      </c>
      <c r="P64" s="147">
        <v>68.277838013763301</v>
      </c>
      <c r="Q64" s="147">
        <v>42.078631300443107</v>
      </c>
      <c r="R64" s="112">
        <v>31.012389453451227</v>
      </c>
      <c r="S64" s="112">
        <v>79.400300000000001</v>
      </c>
      <c r="T64" s="112">
        <v>73.152100000000004</v>
      </c>
      <c r="U64" s="146">
        <v>44.4161</v>
      </c>
      <c r="V64" s="113">
        <v>32.932699999999997</v>
      </c>
      <c r="W64" s="113">
        <v>81.491699999999994</v>
      </c>
      <c r="X64" s="126">
        <v>74.624600000000001</v>
      </c>
      <c r="Y64" s="126">
        <v>41.642400000000002</v>
      </c>
      <c r="Z64" s="104">
        <v>30.431000000000001</v>
      </c>
      <c r="AA64" s="104">
        <v>79.102942858155927</v>
      </c>
      <c r="AB64" s="104">
        <v>68.972816796811159</v>
      </c>
      <c r="AC64" s="104">
        <v>43.157406767636694</v>
      </c>
      <c r="AD64" s="104">
        <v>27.563413568198904</v>
      </c>
    </row>
    <row r="65" spans="1:30" ht="14.7" customHeight="1">
      <c r="A65" s="131" t="s">
        <v>36</v>
      </c>
      <c r="B65" s="131"/>
      <c r="C65">
        <v>87.011182304497453</v>
      </c>
      <c r="D65">
        <v>74.771680172442458</v>
      </c>
      <c r="E65">
        <v>50.277631326264526</v>
      </c>
      <c r="F65">
        <v>40.130782809857891</v>
      </c>
      <c r="G65">
        <v>84.22495669805204</v>
      </c>
      <c r="H65">
        <v>76.79994299534323</v>
      </c>
      <c r="I65" s="147">
        <v>55.895371305700046</v>
      </c>
      <c r="J65" s="112">
        <v>47.749573512953894</v>
      </c>
      <c r="K65" s="112">
        <v>82.072407962826489</v>
      </c>
      <c r="L65" s="126">
        <v>76.283437301490281</v>
      </c>
      <c r="M65" s="112">
        <v>56.612114277469736</v>
      </c>
      <c r="N65" s="126">
        <v>47.704651614829537</v>
      </c>
      <c r="O65" s="147">
        <v>77.850464001255489</v>
      </c>
      <c r="P65" s="147">
        <v>66.239912733190906</v>
      </c>
      <c r="Q65" s="147">
        <v>40.532837005977385</v>
      </c>
      <c r="R65" s="112">
        <v>29.918144704380513</v>
      </c>
      <c r="S65" s="112">
        <v>78.036600000000007</v>
      </c>
      <c r="T65" s="112">
        <v>71.379800000000003</v>
      </c>
      <c r="U65" s="146">
        <v>44.305099999999996</v>
      </c>
      <c r="V65" s="113">
        <v>30.645400000000002</v>
      </c>
      <c r="W65" s="113">
        <v>85.148099999999999</v>
      </c>
      <c r="X65" s="126">
        <v>72.813099999999991</v>
      </c>
      <c r="Y65" s="126">
        <v>39.583600000000004</v>
      </c>
      <c r="Z65" s="104">
        <v>29.4773</v>
      </c>
      <c r="AA65" s="104">
        <v>77.603153628558843</v>
      </c>
      <c r="AB65" s="104">
        <v>68.035039664199388</v>
      </c>
      <c r="AC65" s="104">
        <v>41.265499245945193</v>
      </c>
      <c r="AD65" s="104">
        <v>29.425715689837968</v>
      </c>
    </row>
    <row r="66" spans="1:30" ht="14.7" customHeight="1">
      <c r="A66" s="131" t="s">
        <v>37</v>
      </c>
      <c r="B66" s="131"/>
      <c r="C66">
        <v>89.747735865457344</v>
      </c>
      <c r="D66">
        <v>83.177370235840726</v>
      </c>
      <c r="E66">
        <v>59.628594720481111</v>
      </c>
      <c r="F66">
        <v>47.425069649415207</v>
      </c>
      <c r="G66">
        <v>86.929707417749185</v>
      </c>
      <c r="H66">
        <v>79.940410171197968</v>
      </c>
      <c r="I66" s="147">
        <v>58.645231790518835</v>
      </c>
      <c r="J66" s="112">
        <v>47.703990799592368</v>
      </c>
      <c r="K66" s="112">
        <v>89.285232288590393</v>
      </c>
      <c r="L66" s="126">
        <v>84.249716515038287</v>
      </c>
      <c r="M66" s="112">
        <v>69.300038872183009</v>
      </c>
      <c r="N66" s="126">
        <v>59.968499433030075</v>
      </c>
      <c r="O66" s="147">
        <v>83.704958236873281</v>
      </c>
      <c r="P66" s="147">
        <v>73.220353420375048</v>
      </c>
      <c r="Q66" s="147">
        <v>47.993187321820415</v>
      </c>
      <c r="R66" s="112">
        <v>34.751883009789616</v>
      </c>
      <c r="S66" s="112">
        <v>86.009899999999988</v>
      </c>
      <c r="T66" s="112">
        <v>73.66</v>
      </c>
      <c r="U66" s="146">
        <v>46.513199999999998</v>
      </c>
      <c r="V66" s="113">
        <v>35.590600000000002</v>
      </c>
      <c r="W66" s="113">
        <v>82.44019999999999</v>
      </c>
      <c r="X66" s="126">
        <v>75.628100000000003</v>
      </c>
      <c r="Y66" s="126">
        <v>50.318399999999997</v>
      </c>
      <c r="Z66" s="104">
        <v>41.197299999999998</v>
      </c>
      <c r="AA66" s="104">
        <v>84.717303427909457</v>
      </c>
      <c r="AB66" s="104">
        <v>76.060768168930977</v>
      </c>
      <c r="AC66" s="104">
        <v>49.968194838718112</v>
      </c>
      <c r="AD66" s="104">
        <v>35.183698499770813</v>
      </c>
    </row>
    <row r="67" spans="1:30" ht="14.7" customHeight="1">
      <c r="A67" s="131" t="s">
        <v>38</v>
      </c>
      <c r="B67" s="131"/>
      <c r="C67">
        <v>90.598816668335829</v>
      </c>
      <c r="D67">
        <v>80.542810880059406</v>
      </c>
      <c r="E67">
        <v>53.708685835514899</v>
      </c>
      <c r="F67">
        <v>44.269020016773503</v>
      </c>
      <c r="G67">
        <v>87.564205825678243</v>
      </c>
      <c r="H67">
        <v>80.371337877920595</v>
      </c>
      <c r="I67" s="147">
        <v>55.077691627205084</v>
      </c>
      <c r="J67" s="112">
        <v>44.394234271738561</v>
      </c>
      <c r="K67" s="112">
        <v>89.44546478473076</v>
      </c>
      <c r="L67" s="126">
        <v>85.895238835332663</v>
      </c>
      <c r="M67" s="112">
        <v>64.399240896690785</v>
      </c>
      <c r="N67" s="126">
        <v>47.46031681111171</v>
      </c>
      <c r="O67" s="147">
        <v>80.499453806735389</v>
      </c>
      <c r="P67" s="147">
        <v>70.703938487340793</v>
      </c>
      <c r="Q67" s="147">
        <v>38.809996666552607</v>
      </c>
      <c r="R67" s="112">
        <v>27.425379473249762</v>
      </c>
      <c r="S67" s="112">
        <v>83.320099999999996</v>
      </c>
      <c r="T67" s="112">
        <v>72.763599999999997</v>
      </c>
      <c r="U67" s="146">
        <v>43.828600000000002</v>
      </c>
      <c r="V67" s="113">
        <v>32.310299999999998</v>
      </c>
      <c r="W67" s="113">
        <v>84.992800000000003</v>
      </c>
      <c r="X67" s="126">
        <v>74.604299999999995</v>
      </c>
      <c r="Y67" s="126">
        <v>45.084299999999999</v>
      </c>
      <c r="Z67" s="104">
        <v>27.143800000000002</v>
      </c>
      <c r="AA67" s="104">
        <v>86.548326647473345</v>
      </c>
      <c r="AB67" s="104">
        <v>78.339518273290864</v>
      </c>
      <c r="AC67" s="104">
        <v>47.843674419254221</v>
      </c>
      <c r="AD67" s="104">
        <v>31.792499950790866</v>
      </c>
    </row>
    <row r="68" spans="1:30" ht="14.7" customHeight="1">
      <c r="A68" s="131" t="s">
        <v>39</v>
      </c>
      <c r="B68" s="131"/>
      <c r="C68">
        <v>89.636244996681796</v>
      </c>
      <c r="D68">
        <v>82.322795079887186</v>
      </c>
      <c r="E68">
        <v>55.617011277467412</v>
      </c>
      <c r="F68">
        <v>46.546969993451761</v>
      </c>
      <c r="G68">
        <v>91.160091129353063</v>
      </c>
      <c r="H68">
        <v>83.286192186481088</v>
      </c>
      <c r="I68" s="147">
        <v>64.15435646782592</v>
      </c>
      <c r="J68" s="112">
        <v>50.451323485174271</v>
      </c>
      <c r="K68" s="112">
        <v>85.62452040425832</v>
      </c>
      <c r="L68" s="126">
        <v>77.443062331657529</v>
      </c>
      <c r="M68" s="112">
        <v>60.166831033866345</v>
      </c>
      <c r="N68" s="126">
        <v>47.621563101940474</v>
      </c>
      <c r="O68" s="147">
        <v>80.301510908164104</v>
      </c>
      <c r="P68" s="147">
        <v>69.612479630354841</v>
      </c>
      <c r="Q68" s="147">
        <v>40.576730577150698</v>
      </c>
      <c r="R68" s="112">
        <v>29.382990795756943</v>
      </c>
      <c r="S68" s="112">
        <v>79.230699999999999</v>
      </c>
      <c r="T68" s="112">
        <v>71.022199999999998</v>
      </c>
      <c r="U68" s="147">
        <v>40.2622</v>
      </c>
      <c r="V68" s="149">
        <v>26.961800000000004</v>
      </c>
      <c r="W68" s="149">
        <v>76.975999999999999</v>
      </c>
      <c r="X68" s="126">
        <v>65.622399999999999</v>
      </c>
      <c r="Y68" s="126">
        <v>38.657799999999995</v>
      </c>
      <c r="Z68" s="104">
        <v>27.975499999999997</v>
      </c>
      <c r="AA68" s="104">
        <v>79.374804851569777</v>
      </c>
      <c r="AB68" s="104">
        <v>69.7706946488927</v>
      </c>
      <c r="AC68" s="104">
        <v>43.626087739880568</v>
      </c>
      <c r="AD68" s="104">
        <v>33.15477975240772</v>
      </c>
    </row>
    <row r="69" spans="1:30" ht="14.7" customHeight="1">
      <c r="A69" s="131" t="s">
        <v>40</v>
      </c>
      <c r="B69" s="131"/>
      <c r="C69">
        <v>87.063150207919307</v>
      </c>
      <c r="D69">
        <v>77.975212190520367</v>
      </c>
      <c r="E69">
        <v>51.564730089325295</v>
      </c>
      <c r="F69">
        <v>40.609809266143522</v>
      </c>
      <c r="G69">
        <v>84.505660794620354</v>
      </c>
      <c r="H69">
        <v>78.164152122577207</v>
      </c>
      <c r="I69" s="147">
        <v>53.826133642041327</v>
      </c>
      <c r="J69" s="112">
        <v>44.702679803534203</v>
      </c>
      <c r="K69" s="112">
        <v>86.81476375611949</v>
      </c>
      <c r="L69" s="126">
        <v>82.901073456081747</v>
      </c>
      <c r="M69" s="112">
        <v>56.675231295764064</v>
      </c>
      <c r="N69" s="126">
        <v>45.295784374460482</v>
      </c>
      <c r="O69" s="147">
        <v>81.937698843614257</v>
      </c>
      <c r="P69" s="147">
        <v>71.766706284615807</v>
      </c>
      <c r="Q69" s="147">
        <v>39.130992778286192</v>
      </c>
      <c r="R69" s="112">
        <v>29.430856394268517</v>
      </c>
      <c r="S69" s="112">
        <v>81.33120000000001</v>
      </c>
      <c r="T69" s="112">
        <v>68.495599999999996</v>
      </c>
      <c r="U69" s="146">
        <v>36.589199999999998</v>
      </c>
      <c r="V69" s="113">
        <v>26.1953</v>
      </c>
      <c r="W69" s="113">
        <v>87.220500000000001</v>
      </c>
      <c r="X69" s="126">
        <v>76.393200000000007</v>
      </c>
      <c r="Y69" s="126">
        <v>46.171800000000005</v>
      </c>
      <c r="Z69" s="104">
        <v>30.5322</v>
      </c>
      <c r="AA69" s="104" t="s">
        <v>911</v>
      </c>
      <c r="AB69" s="104" t="s">
        <v>911</v>
      </c>
      <c r="AC69" s="104" t="s">
        <v>911</v>
      </c>
      <c r="AD69" s="104" t="s">
        <v>911</v>
      </c>
    </row>
    <row r="70" spans="1:30" ht="14.7" customHeight="1">
      <c r="A70" s="131" t="s">
        <v>369</v>
      </c>
      <c r="B70" s="131"/>
      <c r="C70">
        <v>86.720233780073855</v>
      </c>
      <c r="D70">
        <v>76.619956059100772</v>
      </c>
      <c r="E70">
        <v>54.295989228652616</v>
      </c>
      <c r="F70">
        <v>51.773336444348608</v>
      </c>
      <c r="G70">
        <v>86.090592537552638</v>
      </c>
      <c r="H70">
        <v>78.935866429674533</v>
      </c>
      <c r="I70" s="147">
        <v>68.40088580669601</v>
      </c>
      <c r="J70" s="112">
        <v>56.742620705731525</v>
      </c>
      <c r="K70" s="112">
        <v>91.923616961527671</v>
      </c>
      <c r="L70" s="126">
        <v>85.659317511585471</v>
      </c>
      <c r="M70" s="112">
        <v>58.670130599634888</v>
      </c>
      <c r="N70" s="126">
        <v>51.362168234798474</v>
      </c>
      <c r="O70" s="147">
        <v>87.716598733671077</v>
      </c>
      <c r="P70" s="147">
        <v>85.049485614603825</v>
      </c>
      <c r="Q70" s="147">
        <v>59.738260306088556</v>
      </c>
      <c r="R70" s="112">
        <v>45.897736937911304</v>
      </c>
      <c r="S70" s="112">
        <v>90.414900000000003</v>
      </c>
      <c r="T70" s="112">
        <v>87.018900000000002</v>
      </c>
      <c r="U70" s="146">
        <v>68.568700000000007</v>
      </c>
      <c r="V70" s="113">
        <v>54.752699999999997</v>
      </c>
      <c r="W70" s="113">
        <v>90.046999999999997</v>
      </c>
      <c r="X70" s="126">
        <v>86.506299999999996</v>
      </c>
      <c r="Y70" s="126">
        <v>64.921499999999995</v>
      </c>
      <c r="Z70" s="104">
        <v>51.833300000000001</v>
      </c>
      <c r="AA70" s="104">
        <v>90.14890778693217</v>
      </c>
      <c r="AB70" s="104">
        <v>87.717063019919522</v>
      </c>
      <c r="AC70" s="104">
        <v>70.151302575523019</v>
      </c>
      <c r="AD70" s="104">
        <v>58.275191323550004</v>
      </c>
    </row>
    <row r="71" spans="1:30" ht="14.7" customHeight="1">
      <c r="A71" s="131" t="s">
        <v>41</v>
      </c>
      <c r="B71" s="131"/>
      <c r="C71">
        <v>86.834282009229156</v>
      </c>
      <c r="D71">
        <v>77.864418647210002</v>
      </c>
      <c r="E71">
        <v>51.763533602476741</v>
      </c>
      <c r="F71">
        <v>41.955224591823651</v>
      </c>
      <c r="G71">
        <v>86.957537349054974</v>
      </c>
      <c r="H71">
        <v>80.253310775095883</v>
      </c>
      <c r="I71" s="147">
        <v>59.098024249424995</v>
      </c>
      <c r="J71" s="112">
        <v>47.739244190199408</v>
      </c>
      <c r="K71" s="112">
        <v>85.513489455215961</v>
      </c>
      <c r="L71" s="126">
        <v>80.49764775806662</v>
      </c>
      <c r="M71" s="112">
        <v>65.938730897478521</v>
      </c>
      <c r="N71" s="126">
        <v>52.433336355485707</v>
      </c>
      <c r="O71" s="147">
        <v>80.491711503629261</v>
      </c>
      <c r="P71" s="147">
        <v>70.425972208242143</v>
      </c>
      <c r="Q71" s="147">
        <v>43.277466224065947</v>
      </c>
      <c r="R71" s="112">
        <v>32.704070063786908</v>
      </c>
      <c r="S71" s="112">
        <v>78.25569999999999</v>
      </c>
      <c r="T71" s="112">
        <v>70.897400000000005</v>
      </c>
      <c r="U71" s="146">
        <v>43.420099999999998</v>
      </c>
      <c r="V71" s="113">
        <v>32.174300000000002</v>
      </c>
      <c r="W71" s="113">
        <v>79.939599999999999</v>
      </c>
      <c r="X71" s="126">
        <v>69.808599999999998</v>
      </c>
      <c r="Y71" s="126">
        <v>39.3568</v>
      </c>
      <c r="Z71" s="104">
        <v>29.206800000000001</v>
      </c>
      <c r="AA71" s="104">
        <v>85.935779844222566</v>
      </c>
      <c r="AB71" s="104">
        <v>76.850561502535868</v>
      </c>
      <c r="AC71" s="104">
        <v>49.142093297811783</v>
      </c>
      <c r="AD71" s="104">
        <v>35.367215839666642</v>
      </c>
    </row>
    <row r="72" spans="1:30" ht="14.7" customHeight="1">
      <c r="A72" s="131" t="s">
        <v>42</v>
      </c>
      <c r="B72" s="131"/>
      <c r="C72">
        <v>88.248680815006566</v>
      </c>
      <c r="D72">
        <v>81.722622791860758</v>
      </c>
      <c r="E72">
        <v>61.424740034066531</v>
      </c>
      <c r="F72">
        <v>49.937992729079596</v>
      </c>
      <c r="G72">
        <v>87.223850062962796</v>
      </c>
      <c r="H72">
        <v>83.28485874874211</v>
      </c>
      <c r="I72" s="147">
        <v>63.611745166858938</v>
      </c>
      <c r="J72" s="112">
        <v>50.646736862773977</v>
      </c>
      <c r="K72" s="112">
        <v>87.980397214340982</v>
      </c>
      <c r="L72" s="126">
        <v>85.611303578817569</v>
      </c>
      <c r="M72" s="112">
        <v>62.737418156150362</v>
      </c>
      <c r="N72" s="126">
        <v>56.104313890939771</v>
      </c>
      <c r="O72" s="147">
        <v>77.06609120134901</v>
      </c>
      <c r="P72" s="147">
        <v>67.933480725982989</v>
      </c>
      <c r="Q72" s="147">
        <v>40.83071053453002</v>
      </c>
      <c r="R72" s="112">
        <v>30.30431374314858</v>
      </c>
      <c r="S72" s="112">
        <v>76.580399999999997</v>
      </c>
      <c r="T72" s="112">
        <v>68.150100000000009</v>
      </c>
      <c r="U72" s="146">
        <v>42.048000000000002</v>
      </c>
      <c r="V72" s="113">
        <v>35.325299999999999</v>
      </c>
      <c r="W72" s="113">
        <v>75.910399999999996</v>
      </c>
      <c r="X72" s="126">
        <v>67.012299999999996</v>
      </c>
      <c r="Y72" s="126">
        <v>43.2727</v>
      </c>
      <c r="Z72" s="104">
        <v>32.964300000000001</v>
      </c>
      <c r="AA72" s="104">
        <v>80.802168649499023</v>
      </c>
      <c r="AB72" s="104">
        <v>70.691151552146351</v>
      </c>
      <c r="AC72" s="104">
        <v>42.707819803266325</v>
      </c>
      <c r="AD72" s="104">
        <v>31.283381961791086</v>
      </c>
    </row>
    <row r="73" spans="1:30" ht="14.7" customHeight="1">
      <c r="A73" s="131" t="s">
        <v>43</v>
      </c>
      <c r="B73" s="131"/>
      <c r="C73">
        <v>82.4619717433375</v>
      </c>
      <c r="D73">
        <v>70.027763729587562</v>
      </c>
      <c r="E73">
        <v>48.849161263457766</v>
      </c>
      <c r="F73">
        <v>37.001696247131498</v>
      </c>
      <c r="G73">
        <v>84.351398447826071</v>
      </c>
      <c r="H73">
        <v>79.275684945973126</v>
      </c>
      <c r="I73" s="147">
        <v>59.774683822349139</v>
      </c>
      <c r="J73" s="112">
        <v>52.011962793684042</v>
      </c>
      <c r="K73" s="112">
        <v>84.049477457464533</v>
      </c>
      <c r="L73" s="126">
        <v>78.16889834791219</v>
      </c>
      <c r="M73" s="112">
        <v>59.380045934697122</v>
      </c>
      <c r="N73" s="126">
        <v>47.850560214307137</v>
      </c>
      <c r="O73" s="147">
        <v>73.401744088307936</v>
      </c>
      <c r="P73" s="147">
        <v>64.996962332703816</v>
      </c>
      <c r="Q73" s="147">
        <v>39.463412144794383</v>
      </c>
      <c r="R73" s="112">
        <v>27.912987478458618</v>
      </c>
      <c r="S73" s="112">
        <v>74.397300000000001</v>
      </c>
      <c r="T73" s="112">
        <v>63.5578</v>
      </c>
      <c r="U73" s="146">
        <v>36.648199999999996</v>
      </c>
      <c r="V73" s="113">
        <v>29.321199999999997</v>
      </c>
      <c r="W73" s="113">
        <v>69.814499999999995</v>
      </c>
      <c r="X73" s="126">
        <v>60.152999999999999</v>
      </c>
      <c r="Y73" s="126">
        <v>33.204599999999999</v>
      </c>
      <c r="Z73" s="104">
        <v>24.455299999999998</v>
      </c>
      <c r="AA73" s="104">
        <v>73.347914819097085</v>
      </c>
      <c r="AB73" s="104">
        <v>65.92099477138234</v>
      </c>
      <c r="AC73" s="104">
        <v>39.053572804625055</v>
      </c>
      <c r="AD73" s="104">
        <v>30.142623844668798</v>
      </c>
    </row>
    <row r="74" spans="1:30" ht="14.7" customHeight="1">
      <c r="A74" s="131" t="s">
        <v>305</v>
      </c>
      <c r="B74" s="131"/>
      <c r="C74">
        <v>86.515844184371488</v>
      </c>
      <c r="D74">
        <v>78.392226240002302</v>
      </c>
      <c r="E74">
        <v>57.490010767589183</v>
      </c>
      <c r="F74">
        <v>47.63210206488781</v>
      </c>
      <c r="G74">
        <v>84.940042250658493</v>
      </c>
      <c r="H74">
        <v>76.214672850899092</v>
      </c>
      <c r="I74" s="147">
        <v>58.234692875103732</v>
      </c>
      <c r="J74" s="112">
        <v>47.570236256351627</v>
      </c>
      <c r="K74" s="112">
        <v>87.733537183069743</v>
      </c>
      <c r="L74" s="126">
        <v>80.129966009466386</v>
      </c>
      <c r="M74" s="112">
        <v>57.457118337274537</v>
      </c>
      <c r="N74" s="126">
        <v>46.766964349289282</v>
      </c>
      <c r="O74" s="147">
        <v>81.034542812801561</v>
      </c>
      <c r="P74" s="147">
        <v>71.802068058207851</v>
      </c>
      <c r="Q74" s="147">
        <v>46.643565408530129</v>
      </c>
      <c r="R74" s="112">
        <v>36.234935345966804</v>
      </c>
      <c r="S74" s="112">
        <v>79.674800000000005</v>
      </c>
      <c r="T74" s="112">
        <v>69.904399999999995</v>
      </c>
      <c r="U74" s="146">
        <v>41.426400000000001</v>
      </c>
      <c r="V74" s="113">
        <v>30.374600000000001</v>
      </c>
      <c r="W74" s="113">
        <v>78.453499999999991</v>
      </c>
      <c r="X74" s="126">
        <v>70.966899999999995</v>
      </c>
      <c r="Y74" s="126">
        <v>46.342100000000002</v>
      </c>
      <c r="Z74" s="104">
        <v>34.755800000000001</v>
      </c>
      <c r="AA74" s="104">
        <v>83.814483237821719</v>
      </c>
      <c r="AB74" s="104">
        <v>76.402130569515563</v>
      </c>
      <c r="AC74" s="104">
        <v>49.637665772571971</v>
      </c>
      <c r="AD74" s="104">
        <v>36.138277454737022</v>
      </c>
    </row>
    <row r="75" spans="1:30" ht="14.7" customHeight="1">
      <c r="A75" s="131" t="s">
        <v>44</v>
      </c>
      <c r="B75" s="131"/>
      <c r="C75">
        <v>90.841257092940609</v>
      </c>
      <c r="D75">
        <v>83.666265731789153</v>
      </c>
      <c r="E75">
        <v>54.990870274759054</v>
      </c>
      <c r="F75">
        <v>45.670360126208998</v>
      </c>
      <c r="G75">
        <v>90.588022597033785</v>
      </c>
      <c r="H75">
        <v>84.327324884663852</v>
      </c>
      <c r="I75" s="147">
        <v>65.898380016268135</v>
      </c>
      <c r="J75" s="112">
        <v>48.698859367529536</v>
      </c>
      <c r="K75" s="112">
        <v>91.573063406134054</v>
      </c>
      <c r="L75" s="126">
        <v>85.555901415403881</v>
      </c>
      <c r="M75" s="112">
        <v>65.585997830996135</v>
      </c>
      <c r="N75" s="126">
        <v>56.358611282388829</v>
      </c>
      <c r="O75" s="147">
        <v>82.388523860297042</v>
      </c>
      <c r="P75" s="147">
        <v>76.371880489473227</v>
      </c>
      <c r="Q75" s="147">
        <v>44.827099400728358</v>
      </c>
      <c r="R75" s="112">
        <v>35.979707753249116</v>
      </c>
      <c r="S75" s="112">
        <v>82.935099999999991</v>
      </c>
      <c r="T75" s="112">
        <v>72.671399999999991</v>
      </c>
      <c r="U75" s="146">
        <v>44.912500000000001</v>
      </c>
      <c r="V75" s="113">
        <v>35.587699999999998</v>
      </c>
      <c r="W75" s="113">
        <v>86.574300000000008</v>
      </c>
      <c r="X75" s="126">
        <v>79.833200000000005</v>
      </c>
      <c r="Y75" s="126">
        <v>46.005099999999999</v>
      </c>
      <c r="Z75" s="104">
        <v>34.578900000000004</v>
      </c>
      <c r="AA75" s="104">
        <v>86.859304329799087</v>
      </c>
      <c r="AB75" s="104">
        <v>79.895887662813934</v>
      </c>
      <c r="AC75" s="104">
        <v>47.191763035673354</v>
      </c>
      <c r="AD75" s="104">
        <v>36.222940249072451</v>
      </c>
    </row>
    <row r="76" spans="1:30" ht="14.7" customHeight="1">
      <c r="A76" s="131" t="s">
        <v>228</v>
      </c>
      <c r="B76" s="131"/>
      <c r="C76">
        <v>85.757462006551719</v>
      </c>
      <c r="D76">
        <v>73.37404003846973</v>
      </c>
      <c r="E76">
        <v>48.338378079202009</v>
      </c>
      <c r="F76">
        <v>36.346188326530068</v>
      </c>
      <c r="G76">
        <v>84.676965350166753</v>
      </c>
      <c r="H76">
        <v>75.709391160893674</v>
      </c>
      <c r="I76" s="147">
        <v>53.273785407225951</v>
      </c>
      <c r="J76" s="112">
        <v>43.393109810448102</v>
      </c>
      <c r="K76" s="112">
        <v>88.400104639461688</v>
      </c>
      <c r="L76" s="126">
        <v>83.263176594167078</v>
      </c>
      <c r="M76" s="112">
        <v>67.352207427088487</v>
      </c>
      <c r="N76" s="126">
        <v>57.98879294364805</v>
      </c>
      <c r="O76" s="147">
        <v>74.021724827364181</v>
      </c>
      <c r="P76" s="147">
        <v>64.843426242261771</v>
      </c>
      <c r="Q76" s="147">
        <v>37.049757247065486</v>
      </c>
      <c r="R76" s="112">
        <v>27.055869341429073</v>
      </c>
      <c r="S76" s="112">
        <v>70.065699999999993</v>
      </c>
      <c r="T76" s="112">
        <v>61.216300000000004</v>
      </c>
      <c r="U76" s="147">
        <v>38.262500000000003</v>
      </c>
      <c r="V76" s="149">
        <v>28.3688</v>
      </c>
      <c r="W76" s="149">
        <v>75.285200000000003</v>
      </c>
      <c r="X76" s="126">
        <v>65.037300000000002</v>
      </c>
      <c r="Y76" s="126">
        <v>42.206900000000005</v>
      </c>
      <c r="Z76" s="104">
        <v>34.2941</v>
      </c>
      <c r="AA76" s="104">
        <v>70.802903734952963</v>
      </c>
      <c r="AB76" s="104">
        <v>63.14636101611444</v>
      </c>
      <c r="AC76" s="104">
        <v>34.854149549069781</v>
      </c>
      <c r="AD76" s="104">
        <v>25.919208315381614</v>
      </c>
    </row>
    <row r="77" spans="1:30" ht="14.7" customHeight="1">
      <c r="A77" s="131" t="s">
        <v>45</v>
      </c>
      <c r="B77" s="131"/>
      <c r="C77">
        <v>89.357722633049946</v>
      </c>
      <c r="D77">
        <v>81.327500445694184</v>
      </c>
      <c r="E77">
        <v>62.023122225955106</v>
      </c>
      <c r="F77">
        <v>50.000019388498259</v>
      </c>
      <c r="G77">
        <v>88.401355286920577</v>
      </c>
      <c r="H77">
        <v>81.503065597637757</v>
      </c>
      <c r="I77" s="147">
        <v>60.421186458055651</v>
      </c>
      <c r="J77" s="112">
        <v>52.657124694978165</v>
      </c>
      <c r="K77" s="112">
        <v>91.798946638777608</v>
      </c>
      <c r="L77" s="126">
        <v>85.157569985091925</v>
      </c>
      <c r="M77" s="112">
        <v>70.154257081331778</v>
      </c>
      <c r="N77" s="126">
        <v>57.55010766937221</v>
      </c>
      <c r="O77" s="147">
        <v>83.690780387885127</v>
      </c>
      <c r="P77" s="147">
        <v>70.780344708318211</v>
      </c>
      <c r="Q77" s="147">
        <v>44.396901538806475</v>
      </c>
      <c r="R77" s="112">
        <v>31.672653852505821</v>
      </c>
      <c r="S77" s="112">
        <v>85.907799999999995</v>
      </c>
      <c r="T77" s="112">
        <v>74.667699999999996</v>
      </c>
      <c r="U77" s="147">
        <v>44.654899999999998</v>
      </c>
      <c r="V77" s="149">
        <v>33.956699999999998</v>
      </c>
      <c r="W77" s="149">
        <v>83.753699999999995</v>
      </c>
      <c r="X77" s="126">
        <v>73.138599999999997</v>
      </c>
      <c r="Y77" s="126">
        <v>50.302899999999994</v>
      </c>
      <c r="Z77" s="104">
        <v>37.200100000000006</v>
      </c>
      <c r="AA77" s="104">
        <v>81.02170787711259</v>
      </c>
      <c r="AB77" s="104">
        <v>73.152204246532321</v>
      </c>
      <c r="AC77" s="104">
        <v>46.462942508520847</v>
      </c>
      <c r="AD77" s="104">
        <v>34.755880828875306</v>
      </c>
    </row>
    <row r="78" spans="1:30" ht="14.7" customHeight="1">
      <c r="A78" s="131" t="s">
        <v>46</v>
      </c>
      <c r="B78" s="131"/>
      <c r="C78">
        <v>85.163597983168188</v>
      </c>
      <c r="D78">
        <v>76.107300507054603</v>
      </c>
      <c r="E78">
        <v>55.225173383543002</v>
      </c>
      <c r="F78">
        <v>42.62233961696441</v>
      </c>
      <c r="G78">
        <v>84.90215250148097</v>
      </c>
      <c r="H78">
        <v>76.963217063760695</v>
      </c>
      <c r="I78" s="147">
        <v>56.307960015116841</v>
      </c>
      <c r="J78" s="112">
        <v>45.792409184728669</v>
      </c>
      <c r="K78" s="112">
        <v>84.88797992755201</v>
      </c>
      <c r="L78" s="126">
        <v>76.240278569781978</v>
      </c>
      <c r="M78" s="112">
        <v>60.483978597687496</v>
      </c>
      <c r="N78" s="126">
        <v>48.894901380311651</v>
      </c>
      <c r="O78" s="147">
        <v>79.358011946088993</v>
      </c>
      <c r="P78" s="147">
        <v>69.170503669323466</v>
      </c>
      <c r="Q78" s="147">
        <v>38.61286354703148</v>
      </c>
      <c r="R78" s="112">
        <v>25.504859684215077</v>
      </c>
      <c r="S78" s="112">
        <v>78.506600000000006</v>
      </c>
      <c r="T78" s="112">
        <v>69.25869999999999</v>
      </c>
      <c r="U78" s="146">
        <v>42.549799999999998</v>
      </c>
      <c r="V78" s="113">
        <v>29.160000000000004</v>
      </c>
      <c r="W78" s="113">
        <v>78.207700000000003</v>
      </c>
      <c r="X78" s="126">
        <v>64.94959999999999</v>
      </c>
      <c r="Y78" s="126">
        <v>35.488100000000003</v>
      </c>
      <c r="Z78" s="104">
        <v>27.373399999999997</v>
      </c>
      <c r="AA78" s="104">
        <v>72.492816346787393</v>
      </c>
      <c r="AB78" s="104">
        <v>62.200193255724223</v>
      </c>
      <c r="AC78" s="104">
        <v>38.370751833398245</v>
      </c>
      <c r="AD78" s="104">
        <v>30.302168184939603</v>
      </c>
    </row>
    <row r="79" spans="1:30" ht="14.7" customHeight="1">
      <c r="A79" s="131" t="s">
        <v>201</v>
      </c>
      <c r="B79" s="131"/>
      <c r="C79">
        <v>88.188738675693713</v>
      </c>
      <c r="D79">
        <v>79.874814927808458</v>
      </c>
      <c r="E79">
        <v>56.082776672880911</v>
      </c>
      <c r="F79">
        <v>45.577393066102466</v>
      </c>
      <c r="G79">
        <v>86.875859286884506</v>
      </c>
      <c r="H79">
        <v>81.059553117890857</v>
      </c>
      <c r="I79" s="146">
        <v>58.841763013285963</v>
      </c>
      <c r="J79" s="144">
        <v>44.945412238877289</v>
      </c>
      <c r="K79" s="144">
        <v>88.766578858700655</v>
      </c>
      <c r="L79" s="126">
        <v>83.964488344063255</v>
      </c>
      <c r="M79" s="144">
        <v>67.14485894307748</v>
      </c>
      <c r="N79" s="126">
        <v>51.056824528912003</v>
      </c>
      <c r="O79" s="146">
        <v>75.574187278818428</v>
      </c>
      <c r="P79" s="146">
        <v>67.136974963950749</v>
      </c>
      <c r="Q79" s="146">
        <v>48.159294543689732</v>
      </c>
      <c r="R79" s="144">
        <v>37.941089809319308</v>
      </c>
      <c r="S79" s="144">
        <v>74.873699999999999</v>
      </c>
      <c r="T79" s="144">
        <v>68.907700000000006</v>
      </c>
      <c r="U79" s="146">
        <v>42.081699999999998</v>
      </c>
      <c r="V79" s="113">
        <v>31.979499999999998</v>
      </c>
      <c r="W79" s="113">
        <v>77.039000000000001</v>
      </c>
      <c r="X79" s="126">
        <v>69.640299999999996</v>
      </c>
      <c r="Y79" s="126">
        <v>47.569400000000002</v>
      </c>
      <c r="Z79" s="104">
        <v>36.424800000000005</v>
      </c>
      <c r="AA79" s="104">
        <v>73.52554324109137</v>
      </c>
      <c r="AB79" s="104">
        <v>67.424605148744888</v>
      </c>
      <c r="AC79" s="104">
        <v>42.21087494319972</v>
      </c>
      <c r="AD79" s="104">
        <v>28.535462853618959</v>
      </c>
    </row>
    <row r="80" spans="1:30" ht="14.7" customHeight="1">
      <c r="A80" s="131" t="s">
        <v>306</v>
      </c>
      <c r="B80" s="131"/>
      <c r="C80">
        <v>87.445158329832452</v>
      </c>
      <c r="D80">
        <v>80.441674203720027</v>
      </c>
      <c r="E80">
        <v>59.314834981082555</v>
      </c>
      <c r="F80">
        <v>49.302991560137386</v>
      </c>
      <c r="G80">
        <v>86.682793495796119</v>
      </c>
      <c r="H80">
        <v>81.619868222361674</v>
      </c>
      <c r="I80" s="147">
        <v>61.625015042721323</v>
      </c>
      <c r="J80" s="112">
        <v>50.574852921279479</v>
      </c>
      <c r="K80" s="112">
        <v>87.319520779143744</v>
      </c>
      <c r="L80" s="126">
        <v>82.854820200545234</v>
      </c>
      <c r="M80" s="112">
        <v>63.972471931950501</v>
      </c>
      <c r="N80" s="126">
        <v>53.174093735370221</v>
      </c>
      <c r="O80" s="147">
        <v>77.453377440436341</v>
      </c>
      <c r="P80" s="147">
        <v>69.403937620890844</v>
      </c>
      <c r="Q80" s="147">
        <v>43.480562061236441</v>
      </c>
      <c r="R80" s="112">
        <v>31.799094862942518</v>
      </c>
      <c r="S80" s="112">
        <v>80.151899999999998</v>
      </c>
      <c r="T80" s="112">
        <v>71.536200000000008</v>
      </c>
      <c r="U80" s="146">
        <v>44.939399999999999</v>
      </c>
      <c r="V80" s="113">
        <v>32.623699999999999</v>
      </c>
      <c r="W80" s="113">
        <v>79.128699999999995</v>
      </c>
      <c r="X80" s="126">
        <v>70.650500000000008</v>
      </c>
      <c r="Y80" s="126">
        <v>42.429899999999996</v>
      </c>
      <c r="Z80" s="104">
        <v>32.110900000000001</v>
      </c>
      <c r="AA80" s="104">
        <v>81.644720455556069</v>
      </c>
      <c r="AB80" s="104">
        <v>72.901452219212459</v>
      </c>
      <c r="AC80" s="104">
        <v>44.876449443594538</v>
      </c>
      <c r="AD80" s="104">
        <v>33.342933290881547</v>
      </c>
    </row>
    <row r="81" spans="1:30" ht="14.7" customHeight="1">
      <c r="A81" s="131" t="s">
        <v>47</v>
      </c>
      <c r="B81" s="131"/>
      <c r="C81">
        <v>87.116205851669577</v>
      </c>
      <c r="D81">
        <v>78.506154260354677</v>
      </c>
      <c r="E81">
        <v>52.566236860254413</v>
      </c>
      <c r="F81">
        <v>42.559719191114397</v>
      </c>
      <c r="G81">
        <v>88.426126371991572</v>
      </c>
      <c r="H81">
        <v>77.550873542468139</v>
      </c>
      <c r="I81" s="147">
        <v>55.097429233499128</v>
      </c>
      <c r="J81" s="112">
        <v>44.836569323104825</v>
      </c>
      <c r="K81" s="112">
        <v>91.165760413685575</v>
      </c>
      <c r="L81" s="126">
        <v>84.487606237262057</v>
      </c>
      <c r="M81" s="112">
        <v>64.167606878543324</v>
      </c>
      <c r="N81" s="126">
        <v>51.073043941795703</v>
      </c>
      <c r="O81" s="147">
        <v>79.929798722771679</v>
      </c>
      <c r="P81" s="147">
        <v>68.36892792363075</v>
      </c>
      <c r="Q81" s="147">
        <v>39.340479221737482</v>
      </c>
      <c r="R81" s="112">
        <v>30.573216650822648</v>
      </c>
      <c r="S81" s="112">
        <v>77.729399999999998</v>
      </c>
      <c r="T81" s="112">
        <v>67.556000000000012</v>
      </c>
      <c r="U81" s="146">
        <v>41.225000000000001</v>
      </c>
      <c r="V81" s="113">
        <v>33.7074</v>
      </c>
      <c r="W81" s="113">
        <v>81.12</v>
      </c>
      <c r="X81" s="126">
        <v>71.563299999999998</v>
      </c>
      <c r="Y81" s="126">
        <v>44.1494</v>
      </c>
      <c r="Z81" s="104">
        <v>29.709799999999998</v>
      </c>
      <c r="AA81" s="104">
        <v>83.013741593227948</v>
      </c>
      <c r="AB81" s="104">
        <v>73.587525174498694</v>
      </c>
      <c r="AC81" s="104">
        <v>43.515235103420977</v>
      </c>
      <c r="AD81" s="104">
        <v>32.376332381885533</v>
      </c>
    </row>
    <row r="82" spans="1:30" ht="14.7" customHeight="1">
      <c r="A82" s="131" t="s">
        <v>264</v>
      </c>
      <c r="B82" s="131"/>
      <c r="C82">
        <v>87.785935357872347</v>
      </c>
      <c r="D82">
        <v>78.240802649434372</v>
      </c>
      <c r="E82">
        <v>52.352063865311493</v>
      </c>
      <c r="F82">
        <v>42.879253855184899</v>
      </c>
      <c r="G82">
        <v>83.62422429635653</v>
      </c>
      <c r="H82">
        <v>78.548857286823761</v>
      </c>
      <c r="I82" s="147">
        <v>55.454076251598863</v>
      </c>
      <c r="J82" s="112">
        <v>44.225233734467849</v>
      </c>
      <c r="K82" s="112">
        <v>86.89519845399137</v>
      </c>
      <c r="L82" s="126">
        <v>83.740171950907694</v>
      </c>
      <c r="M82" s="112">
        <v>65.416653349526982</v>
      </c>
      <c r="N82" s="126">
        <v>55.207467719253387</v>
      </c>
      <c r="O82" s="147">
        <v>76.113491230159482</v>
      </c>
      <c r="P82" s="147">
        <v>69.255180687490153</v>
      </c>
      <c r="Q82" s="147">
        <v>46.485397544673091</v>
      </c>
      <c r="R82" s="112">
        <v>35.524521767095209</v>
      </c>
      <c r="S82" s="112">
        <v>79.179500000000004</v>
      </c>
      <c r="T82" s="112">
        <v>67.950400000000002</v>
      </c>
      <c r="U82" s="146">
        <v>43.031999999999996</v>
      </c>
      <c r="V82" s="113">
        <v>31.8508</v>
      </c>
      <c r="W82" s="113">
        <v>77.154499999999999</v>
      </c>
      <c r="X82" s="126">
        <v>69.216399999999993</v>
      </c>
      <c r="Y82" s="126">
        <v>48.623399999999997</v>
      </c>
      <c r="Z82" s="104">
        <v>36.823399999999999</v>
      </c>
      <c r="AA82" s="104">
        <v>85.167822935906187</v>
      </c>
      <c r="AB82" s="104">
        <v>76.660395755759396</v>
      </c>
      <c r="AC82" s="104">
        <v>45.407858876193977</v>
      </c>
      <c r="AD82" s="104">
        <v>36.13096620486354</v>
      </c>
    </row>
    <row r="83" spans="1:30" ht="14.7" customHeight="1">
      <c r="A83" s="131" t="s">
        <v>48</v>
      </c>
      <c r="B83" s="131"/>
      <c r="C83">
        <v>82.394460913570427</v>
      </c>
      <c r="D83">
        <v>70.206744792875554</v>
      </c>
      <c r="E83">
        <v>50.303268224004881</v>
      </c>
      <c r="F83">
        <v>41.44595699144196</v>
      </c>
      <c r="G83">
        <v>89.295204041464373</v>
      </c>
      <c r="H83">
        <v>81.45223596653733</v>
      </c>
      <c r="I83" s="147">
        <v>58.116022696119565</v>
      </c>
      <c r="J83" s="112">
        <v>45.314979272760496</v>
      </c>
      <c r="K83" s="112">
        <v>86.977790487852033</v>
      </c>
      <c r="L83" s="126">
        <v>83.481687802515964</v>
      </c>
      <c r="M83" s="112">
        <v>66.297052103445949</v>
      </c>
      <c r="N83" s="126">
        <v>56.935359499331639</v>
      </c>
      <c r="O83" s="147">
        <v>72.524341820085937</v>
      </c>
      <c r="P83" s="147">
        <v>61.559805952460486</v>
      </c>
      <c r="Q83" s="147">
        <v>37.641425341322801</v>
      </c>
      <c r="R83" s="112">
        <v>27.928898299651937</v>
      </c>
      <c r="S83" s="112">
        <v>79.302199999999999</v>
      </c>
      <c r="T83" s="112">
        <v>70.548299999999998</v>
      </c>
      <c r="U83" s="146">
        <v>41.608499999999999</v>
      </c>
      <c r="V83" s="113">
        <v>32.0261</v>
      </c>
      <c r="W83" s="113">
        <v>80.159599999999998</v>
      </c>
      <c r="X83" s="126">
        <v>70.102200000000011</v>
      </c>
      <c r="Y83" s="126">
        <v>44.720100000000002</v>
      </c>
      <c r="Z83" s="104">
        <v>31.563000000000002</v>
      </c>
      <c r="AA83" s="104">
        <v>81.981863208624958</v>
      </c>
      <c r="AB83" s="104">
        <v>71.635158474326076</v>
      </c>
      <c r="AC83" s="104">
        <v>41.192295199614179</v>
      </c>
      <c r="AD83" s="104">
        <v>28.335868630955108</v>
      </c>
    </row>
    <row r="84" spans="1:30" ht="14.7" customHeight="1">
      <c r="A84" s="131" t="s">
        <v>49</v>
      </c>
      <c r="B84" s="131"/>
      <c r="C84">
        <v>86.733941092203139</v>
      </c>
      <c r="D84">
        <v>78.615410318166255</v>
      </c>
      <c r="E84">
        <v>51.209629006593225</v>
      </c>
      <c r="F84">
        <v>37.976175357243932</v>
      </c>
      <c r="G84">
        <v>88.480941245727934</v>
      </c>
      <c r="H84">
        <v>81.477509756425789</v>
      </c>
      <c r="I84" s="147">
        <v>57.279891670030949</v>
      </c>
      <c r="J84" s="112">
        <v>45.02401258242498</v>
      </c>
      <c r="K84" s="112">
        <v>85.514854885452792</v>
      </c>
      <c r="L84" s="126">
        <v>77.825131246294845</v>
      </c>
      <c r="M84" s="112">
        <v>56.165265415964669</v>
      </c>
      <c r="N84" s="126">
        <v>42.342489167215</v>
      </c>
      <c r="O84" s="147">
        <v>78.730387807190056</v>
      </c>
      <c r="P84" s="147">
        <v>67.97900429939078</v>
      </c>
      <c r="Q84" s="147">
        <v>36.98739465474754</v>
      </c>
      <c r="R84" s="112">
        <v>27.448641015229953</v>
      </c>
      <c r="S84" s="112">
        <v>79.846199999999996</v>
      </c>
      <c r="T84" s="112">
        <v>65.633499999999998</v>
      </c>
      <c r="U84" s="146">
        <v>38.471899999999998</v>
      </c>
      <c r="V84" s="113">
        <v>28.096500000000002</v>
      </c>
      <c r="W84" s="113">
        <v>80.259799999999998</v>
      </c>
      <c r="X84" s="126">
        <v>72.870800000000003</v>
      </c>
      <c r="Y84" s="126">
        <v>46.711399999999998</v>
      </c>
      <c r="Z84" s="104">
        <v>34.408300000000004</v>
      </c>
      <c r="AA84" s="104">
        <v>78.593721958095685</v>
      </c>
      <c r="AB84" s="104">
        <v>70.055282272331596</v>
      </c>
      <c r="AC84" s="104">
        <v>40.545972604478308</v>
      </c>
      <c r="AD84" s="104">
        <v>29.194084858670749</v>
      </c>
    </row>
    <row r="85" spans="1:30" ht="14.7" customHeight="1">
      <c r="A85" s="131" t="s">
        <v>265</v>
      </c>
      <c r="B85" s="131"/>
      <c r="C85">
        <v>85.509420583746632</v>
      </c>
      <c r="D85">
        <v>77.322939284337735</v>
      </c>
      <c r="E85">
        <v>52.577997185370776</v>
      </c>
      <c r="F85">
        <v>42.984597976563151</v>
      </c>
      <c r="G85">
        <v>84.037427254299359</v>
      </c>
      <c r="H85">
        <v>77.685565184244481</v>
      </c>
      <c r="I85" s="147">
        <v>59.012100658585744</v>
      </c>
      <c r="J85" s="112">
        <v>50.083177785005631</v>
      </c>
      <c r="K85" s="112">
        <v>83.206089034014255</v>
      </c>
      <c r="L85" s="126">
        <v>78.13890842106305</v>
      </c>
      <c r="M85" s="112">
        <v>61.221118516831233</v>
      </c>
      <c r="N85" s="126">
        <v>47.155180097649861</v>
      </c>
      <c r="O85" s="147">
        <v>73.639476079715962</v>
      </c>
      <c r="P85" s="147">
        <v>64.100960513807451</v>
      </c>
      <c r="Q85" s="147">
        <v>35.694429532660976</v>
      </c>
      <c r="R85" s="112">
        <v>27.290360661604968</v>
      </c>
      <c r="S85" s="112">
        <v>75.3339</v>
      </c>
      <c r="T85" s="112">
        <v>66.0351</v>
      </c>
      <c r="U85" s="146">
        <v>37.248100000000001</v>
      </c>
      <c r="V85" s="113">
        <v>25.508399999999998</v>
      </c>
      <c r="W85" s="113">
        <v>75.0107</v>
      </c>
      <c r="X85" s="126">
        <v>66.36</v>
      </c>
      <c r="Y85" s="126">
        <v>37.677500000000002</v>
      </c>
      <c r="Z85" s="104">
        <v>28.818200000000001</v>
      </c>
      <c r="AA85" s="104">
        <v>76.657297757635362</v>
      </c>
      <c r="AB85" s="104">
        <v>66.777289168258392</v>
      </c>
      <c r="AC85" s="104">
        <v>38.493319559801634</v>
      </c>
      <c r="AD85" s="104">
        <v>27.00205384406701</v>
      </c>
    </row>
    <row r="86" spans="1:30" ht="14.7" customHeight="1">
      <c r="A86" s="131" t="s">
        <v>307</v>
      </c>
      <c r="B86" s="131"/>
      <c r="C86">
        <v>86.495998662969342</v>
      </c>
      <c r="D86">
        <v>76.908566253297096</v>
      </c>
      <c r="E86">
        <v>51.797396189375334</v>
      </c>
      <c r="F86">
        <v>42.625076398453153</v>
      </c>
      <c r="G86">
        <v>85.36132170871862</v>
      </c>
      <c r="H86">
        <v>77.626473773441433</v>
      </c>
      <c r="I86" s="147">
        <v>56.258887473697726</v>
      </c>
      <c r="J86" s="112">
        <v>45.829686610525869</v>
      </c>
      <c r="K86" s="112">
        <v>85.604569925778691</v>
      </c>
      <c r="L86" s="126">
        <v>79.788032777986601</v>
      </c>
      <c r="M86" s="112">
        <v>58.970318095414918</v>
      </c>
      <c r="N86" s="126">
        <v>47.745486127492832</v>
      </c>
      <c r="O86" s="147">
        <v>77.101804919013347</v>
      </c>
      <c r="P86" s="147">
        <v>67.159292153730505</v>
      </c>
      <c r="Q86" s="147">
        <v>40.134392271973418</v>
      </c>
      <c r="R86" s="112">
        <v>28.311293276694521</v>
      </c>
      <c r="S86" s="112">
        <v>80.013800000000003</v>
      </c>
      <c r="T86" s="112">
        <v>70.040400000000005</v>
      </c>
      <c r="U86" s="147">
        <v>42.082000000000001</v>
      </c>
      <c r="V86" s="149">
        <v>31.183599999999998</v>
      </c>
      <c r="W86" s="149">
        <v>78.673400000000001</v>
      </c>
      <c r="X86" s="126">
        <v>69.800899999999999</v>
      </c>
      <c r="Y86" s="126">
        <v>41.281199999999998</v>
      </c>
      <c r="Z86" s="104">
        <v>29.869899999999998</v>
      </c>
      <c r="AA86" s="104">
        <v>80.232823513374115</v>
      </c>
      <c r="AB86" s="104">
        <v>69.550751255336706</v>
      </c>
      <c r="AC86" s="104">
        <v>41.249204470907216</v>
      </c>
      <c r="AD86" s="104">
        <v>30.123439320060463</v>
      </c>
    </row>
    <row r="87" spans="1:30" ht="14.7" customHeight="1">
      <c r="A87" s="131" t="s">
        <v>50</v>
      </c>
      <c r="B87" s="131"/>
      <c r="C87">
        <v>87.549869539863636</v>
      </c>
      <c r="D87">
        <v>80.369323143458416</v>
      </c>
      <c r="E87">
        <v>61.164596767026055</v>
      </c>
      <c r="F87">
        <v>54.184311226536316</v>
      </c>
      <c r="G87">
        <v>87.769378337318088</v>
      </c>
      <c r="H87">
        <v>79.239117069012579</v>
      </c>
      <c r="I87" s="147">
        <v>56.460773096073233</v>
      </c>
      <c r="J87" s="112">
        <v>44.765334683865099</v>
      </c>
      <c r="K87" s="112">
        <v>88.862982777456466</v>
      </c>
      <c r="L87" s="126">
        <v>85.956646392328679</v>
      </c>
      <c r="M87" s="112">
        <v>64.996193499793478</v>
      </c>
      <c r="N87" s="126">
        <v>50.707847059681058</v>
      </c>
      <c r="O87" s="147">
        <v>78.77369408287656</v>
      </c>
      <c r="P87" s="147">
        <v>66.187942980566262</v>
      </c>
      <c r="Q87" s="147">
        <v>39.157784068387414</v>
      </c>
      <c r="R87" s="112">
        <v>26.82827669189523</v>
      </c>
      <c r="S87" s="112">
        <v>82.304000000000002</v>
      </c>
      <c r="T87" s="112">
        <v>70.928200000000004</v>
      </c>
      <c r="U87" s="146">
        <v>49.267699999999998</v>
      </c>
      <c r="V87" s="113">
        <v>37.190400000000004</v>
      </c>
      <c r="W87" s="113">
        <v>78.128699999999995</v>
      </c>
      <c r="X87" s="126">
        <v>70.189000000000007</v>
      </c>
      <c r="Y87" s="126">
        <v>40.776200000000003</v>
      </c>
      <c r="Z87" s="104">
        <v>29.1599</v>
      </c>
      <c r="AA87" s="104">
        <v>85.843279685738466</v>
      </c>
      <c r="AB87" s="104">
        <v>71.802249425442483</v>
      </c>
      <c r="AC87" s="104">
        <v>43.540152593577766</v>
      </c>
      <c r="AD87" s="104">
        <v>33.496237477890404</v>
      </c>
    </row>
    <row r="88" spans="1:30" ht="14.7" customHeight="1">
      <c r="A88" s="131" t="s">
        <v>308</v>
      </c>
      <c r="B88" s="131"/>
      <c r="C88">
        <v>87.948347522296189</v>
      </c>
      <c r="D88">
        <v>80.291598017084482</v>
      </c>
      <c r="E88">
        <v>59.404651704663749</v>
      </c>
      <c r="F88">
        <v>48.106644234317208</v>
      </c>
      <c r="G88">
        <v>89.270654190523828</v>
      </c>
      <c r="H88">
        <v>82.699298678481028</v>
      </c>
      <c r="I88" s="147">
        <v>61.406939200066944</v>
      </c>
      <c r="J88" s="112">
        <v>50.000141152279966</v>
      </c>
      <c r="K88" s="112">
        <v>89.008718863719537</v>
      </c>
      <c r="L88" s="126">
        <v>84.012903591330797</v>
      </c>
      <c r="M88" s="112">
        <v>65.360956859257044</v>
      </c>
      <c r="N88" s="126">
        <v>53.115806673757895</v>
      </c>
      <c r="O88" s="147">
        <v>80.202333981179734</v>
      </c>
      <c r="P88" s="147">
        <v>70.400149402522572</v>
      </c>
      <c r="Q88" s="147">
        <v>45.694377191981836</v>
      </c>
      <c r="R88" s="112">
        <v>33.331962677206334</v>
      </c>
      <c r="S88" s="112">
        <v>84.101600000000005</v>
      </c>
      <c r="T88" s="112">
        <v>74.295199999999994</v>
      </c>
      <c r="U88" s="146">
        <v>48.007899999999999</v>
      </c>
      <c r="V88" s="113">
        <v>36.895699999999998</v>
      </c>
      <c r="W88" s="113">
        <v>83.974400000000003</v>
      </c>
      <c r="X88" s="126">
        <v>75.438400000000001</v>
      </c>
      <c r="Y88" s="126">
        <v>50.117699999999999</v>
      </c>
      <c r="Z88" s="104">
        <v>38.370800000000003</v>
      </c>
      <c r="AA88" s="104">
        <v>84.445711528806413</v>
      </c>
      <c r="AB88" s="104">
        <v>76.742545490313745</v>
      </c>
      <c r="AC88" s="104">
        <v>48.718342205103255</v>
      </c>
      <c r="AD88" s="104">
        <v>36.75701680936325</v>
      </c>
    </row>
    <row r="89" spans="1:30" ht="14.7" customHeight="1">
      <c r="A89" s="131" t="s">
        <v>229</v>
      </c>
      <c r="B89" s="131"/>
      <c r="C89">
        <v>84.803774875927004</v>
      </c>
      <c r="D89">
        <v>74.457330968325024</v>
      </c>
      <c r="E89">
        <v>51.429765123852235</v>
      </c>
      <c r="F89">
        <v>42.7089365005979</v>
      </c>
      <c r="G89">
        <v>84.25877114726444</v>
      </c>
      <c r="H89">
        <v>76.890659562046196</v>
      </c>
      <c r="I89" s="147">
        <v>55.367318745837139</v>
      </c>
      <c r="J89" s="112">
        <v>48.22733963210564</v>
      </c>
      <c r="K89" s="112">
        <v>86.086086661569155</v>
      </c>
      <c r="L89" s="126">
        <v>77.269573571009232</v>
      </c>
      <c r="M89" s="112">
        <v>57.591535069252963</v>
      </c>
      <c r="N89" s="126">
        <v>46.003451281777593</v>
      </c>
      <c r="O89" s="147">
        <v>72.887766193211988</v>
      </c>
      <c r="P89" s="147">
        <v>60.555034518322515</v>
      </c>
      <c r="Q89" s="147">
        <v>40.823115071499608</v>
      </c>
      <c r="R89" s="112">
        <v>32.022514195893457</v>
      </c>
      <c r="S89" s="112">
        <v>76.555499999999995</v>
      </c>
      <c r="T89" s="112">
        <v>68.323800000000006</v>
      </c>
      <c r="U89" s="146">
        <v>41.593699999999998</v>
      </c>
      <c r="V89" s="113">
        <v>29.551500000000004</v>
      </c>
      <c r="W89" s="113">
        <v>75.762900000000002</v>
      </c>
      <c r="X89" s="126">
        <v>66.865899999999996</v>
      </c>
      <c r="Y89" s="126">
        <v>41.0321</v>
      </c>
      <c r="Z89" s="104">
        <v>33.164300000000004</v>
      </c>
      <c r="AA89" s="104">
        <v>76.735281483078737</v>
      </c>
      <c r="AB89" s="104">
        <v>66.334898664925731</v>
      </c>
      <c r="AC89" s="104">
        <v>40.318889114327163</v>
      </c>
      <c r="AD89" s="104">
        <v>28.760637414766492</v>
      </c>
    </row>
    <row r="90" spans="1:30" ht="14.7" customHeight="1">
      <c r="A90" s="131" t="s">
        <v>309</v>
      </c>
      <c r="B90" s="131"/>
      <c r="C90">
        <v>87.273478417360579</v>
      </c>
      <c r="D90">
        <v>77.984293930419753</v>
      </c>
      <c r="E90">
        <v>56.037372300855239</v>
      </c>
      <c r="F90">
        <v>44.654595884336942</v>
      </c>
      <c r="G90">
        <v>86.777220212944144</v>
      </c>
      <c r="H90">
        <v>81.108008682550064</v>
      </c>
      <c r="I90" s="147">
        <v>60.072427439371737</v>
      </c>
      <c r="J90" s="112">
        <v>48.705096558535494</v>
      </c>
      <c r="K90" s="112">
        <v>87.104750765144132</v>
      </c>
      <c r="L90" s="126">
        <v>81.839692036509604</v>
      </c>
      <c r="M90" s="112">
        <v>61.191994500360394</v>
      </c>
      <c r="N90" s="126">
        <v>49.224291616961395</v>
      </c>
      <c r="O90" s="147">
        <v>79.341316018315752</v>
      </c>
      <c r="P90" s="147">
        <v>69.282959486887847</v>
      </c>
      <c r="Q90" s="147">
        <v>40.757967523555763</v>
      </c>
      <c r="R90" s="112">
        <v>29.746025413115717</v>
      </c>
      <c r="S90" s="112">
        <v>81.29849999999999</v>
      </c>
      <c r="T90" s="112">
        <v>71.735299999999995</v>
      </c>
      <c r="U90" s="147">
        <v>44.319299999999998</v>
      </c>
      <c r="V90" s="149">
        <v>32.297499999999999</v>
      </c>
      <c r="W90" s="149">
        <v>82.111199999999997</v>
      </c>
      <c r="X90" s="126">
        <v>73.422699999999992</v>
      </c>
      <c r="Y90" s="126">
        <v>47.97</v>
      </c>
      <c r="Z90" s="104">
        <v>35.703400000000002</v>
      </c>
      <c r="AA90" s="104" t="s">
        <v>911</v>
      </c>
      <c r="AB90" s="104" t="s">
        <v>911</v>
      </c>
      <c r="AC90" s="104" t="s">
        <v>911</v>
      </c>
      <c r="AD90" s="104" t="s">
        <v>911</v>
      </c>
    </row>
    <row r="91" spans="1:30" ht="14.7" customHeight="1">
      <c r="A91" s="131" t="s">
        <v>907</v>
      </c>
      <c r="B91" s="131"/>
      <c r="C91" t="s">
        <v>911</v>
      </c>
      <c r="D91" t="s">
        <v>911</v>
      </c>
      <c r="E91" t="s">
        <v>911</v>
      </c>
      <c r="F91" t="s">
        <v>911</v>
      </c>
      <c r="G91" t="s">
        <v>911</v>
      </c>
      <c r="H91" t="s">
        <v>911</v>
      </c>
      <c r="I91" s="147" t="s">
        <v>911</v>
      </c>
      <c r="J91" s="112" t="s">
        <v>911</v>
      </c>
      <c r="K91" s="112" t="s">
        <v>911</v>
      </c>
      <c r="L91" s="126" t="s">
        <v>911</v>
      </c>
      <c r="M91" s="112" t="s">
        <v>911</v>
      </c>
      <c r="N91" s="126" t="s">
        <v>911</v>
      </c>
      <c r="O91" s="147" t="s">
        <v>911</v>
      </c>
      <c r="P91" s="147" t="s">
        <v>911</v>
      </c>
      <c r="Q91" s="147" t="s">
        <v>911</v>
      </c>
      <c r="R91" s="112" t="s">
        <v>911</v>
      </c>
      <c r="S91" s="112" t="s">
        <v>911</v>
      </c>
      <c r="T91" s="112" t="s">
        <v>911</v>
      </c>
      <c r="U91" s="146" t="s">
        <v>911</v>
      </c>
      <c r="V91" s="113" t="s">
        <v>911</v>
      </c>
      <c r="W91" s="113" t="s">
        <v>911</v>
      </c>
      <c r="X91" s="126" t="s">
        <v>911</v>
      </c>
      <c r="Y91" s="126" t="s">
        <v>911</v>
      </c>
      <c r="Z91" s="104" t="s">
        <v>911</v>
      </c>
      <c r="AA91" s="104">
        <v>83.247437355084955</v>
      </c>
      <c r="AB91" s="104">
        <v>74.975263023010086</v>
      </c>
      <c r="AC91" s="104">
        <v>47.387633752758447</v>
      </c>
      <c r="AD91" s="104">
        <v>36.167645549303288</v>
      </c>
    </row>
    <row r="92" spans="1:30" ht="14.7" customHeight="1">
      <c r="A92" s="131" t="s">
        <v>51</v>
      </c>
      <c r="B92" s="131"/>
      <c r="C92">
        <v>88.74257539722953</v>
      </c>
      <c r="D92">
        <v>81.862941430180015</v>
      </c>
      <c r="E92">
        <v>59.955971895897676</v>
      </c>
      <c r="F92">
        <v>48.095359727013495</v>
      </c>
      <c r="G92">
        <v>85.548350477154955</v>
      </c>
      <c r="H92">
        <v>77.363099554542629</v>
      </c>
      <c r="I92" s="147">
        <v>61.676577229876727</v>
      </c>
      <c r="J92" s="112">
        <v>49.811871956904582</v>
      </c>
      <c r="K92" s="112">
        <v>83.452251148057655</v>
      </c>
      <c r="L92" s="126">
        <v>77.842915341792562</v>
      </c>
      <c r="M92" s="112">
        <v>57.63436868127372</v>
      </c>
      <c r="N92" s="126">
        <v>47.065316542612543</v>
      </c>
      <c r="O92" s="147">
        <v>80.044835909355911</v>
      </c>
      <c r="P92" s="147">
        <v>71.662579361092952</v>
      </c>
      <c r="Q92" s="147">
        <v>47.521708058330283</v>
      </c>
      <c r="R92" s="112">
        <v>36.860398729478675</v>
      </c>
      <c r="S92" s="112">
        <v>78.575500000000005</v>
      </c>
      <c r="T92" s="112">
        <v>70.384</v>
      </c>
      <c r="U92" s="146">
        <v>44.492899999999999</v>
      </c>
      <c r="V92" s="113">
        <v>32.8367</v>
      </c>
      <c r="W92" s="113">
        <v>82.900599999999997</v>
      </c>
      <c r="X92" s="126">
        <v>73.647300000000001</v>
      </c>
      <c r="Y92" s="126">
        <v>49.2607</v>
      </c>
      <c r="Z92" s="104">
        <v>38.157799999999995</v>
      </c>
      <c r="AA92" s="104">
        <v>82.037877068464695</v>
      </c>
      <c r="AB92" s="104">
        <v>73.32953303157862</v>
      </c>
      <c r="AC92" s="104">
        <v>48.203961111293154</v>
      </c>
      <c r="AD92" s="104">
        <v>33.166445695737593</v>
      </c>
    </row>
    <row r="93" spans="1:30" ht="14.7" customHeight="1">
      <c r="A93" s="131" t="s">
        <v>230</v>
      </c>
      <c r="B93" s="131"/>
      <c r="C93">
        <v>81.400484265203787</v>
      </c>
      <c r="D93">
        <v>72.56052585669903</v>
      </c>
      <c r="E93">
        <v>49.295827434270201</v>
      </c>
      <c r="F93">
        <v>38.249011481211021</v>
      </c>
      <c r="G93">
        <v>82.920458190787969</v>
      </c>
      <c r="H93">
        <v>75.681875702325399</v>
      </c>
      <c r="I93" s="147">
        <v>55.430607720264433</v>
      </c>
      <c r="J93" s="112">
        <v>42.723048421223133</v>
      </c>
      <c r="K93" s="112">
        <v>81.197013345875718</v>
      </c>
      <c r="L93" s="126">
        <v>75.081056136596004</v>
      </c>
      <c r="M93" s="112">
        <v>57.881839049365681</v>
      </c>
      <c r="N93" s="126">
        <v>44.597185810501692</v>
      </c>
      <c r="O93" s="147">
        <v>70.383008357285092</v>
      </c>
      <c r="P93" s="147">
        <v>61.930812349903562</v>
      </c>
      <c r="Q93" s="147">
        <v>33.438460634930074</v>
      </c>
      <c r="R93" s="112">
        <v>23.494700543000643</v>
      </c>
      <c r="S93" s="112">
        <v>72.176299999999998</v>
      </c>
      <c r="T93" s="112">
        <v>62.602500000000006</v>
      </c>
      <c r="U93" s="146">
        <v>35.996899999999997</v>
      </c>
      <c r="V93" s="113">
        <v>26.107000000000003</v>
      </c>
      <c r="W93" s="113">
        <v>72.606300000000005</v>
      </c>
      <c r="X93" s="126">
        <v>63.005900000000004</v>
      </c>
      <c r="Y93" s="126">
        <v>35.468400000000003</v>
      </c>
      <c r="Z93" s="104">
        <v>25.2349</v>
      </c>
      <c r="AA93" s="104">
        <v>70.37103986899173</v>
      </c>
      <c r="AB93" s="104">
        <v>60.211537337651485</v>
      </c>
      <c r="AC93" s="104">
        <v>35.60380160861822</v>
      </c>
      <c r="AD93" s="104">
        <v>24.240066564793771</v>
      </c>
    </row>
    <row r="94" spans="1:30" ht="14.7" customHeight="1">
      <c r="A94" s="131" t="s">
        <v>266</v>
      </c>
      <c r="B94" s="131"/>
      <c r="C94">
        <v>81.995612987121987</v>
      </c>
      <c r="D94">
        <v>73.693044185741456</v>
      </c>
      <c r="E94">
        <v>54.994700015573329</v>
      </c>
      <c r="F94">
        <v>44.288773790165607</v>
      </c>
      <c r="G94">
        <v>82.593099360119524</v>
      </c>
      <c r="H94">
        <v>76.539216488100109</v>
      </c>
      <c r="I94" s="147">
        <v>53.341171178539291</v>
      </c>
      <c r="J94" s="112">
        <v>44.287846569068449</v>
      </c>
      <c r="K94" s="112">
        <v>85.965125799384836</v>
      </c>
      <c r="L94" s="126">
        <v>82.612444209908247</v>
      </c>
      <c r="M94" s="112">
        <v>61.264860325022575</v>
      </c>
      <c r="N94" s="126">
        <v>51.426108090631729</v>
      </c>
      <c r="O94" s="147">
        <v>75.683181558755749</v>
      </c>
      <c r="P94" s="147">
        <v>65.551333450309031</v>
      </c>
      <c r="Q94" s="147">
        <v>39.175084150105015</v>
      </c>
      <c r="R94" s="112">
        <v>31.558852445699927</v>
      </c>
      <c r="S94" s="112">
        <v>80.5792</v>
      </c>
      <c r="T94" s="112">
        <v>71.259900000000002</v>
      </c>
      <c r="U94" s="146">
        <v>46.643499999999996</v>
      </c>
      <c r="V94" s="113">
        <v>34.691000000000003</v>
      </c>
      <c r="W94" s="113">
        <v>77.124700000000004</v>
      </c>
      <c r="X94" s="126">
        <v>69.078400000000002</v>
      </c>
      <c r="Y94" s="126">
        <v>46.059699999999999</v>
      </c>
      <c r="Z94" s="104">
        <v>29.012700000000002</v>
      </c>
      <c r="AA94" s="104">
        <v>77.753327388114386</v>
      </c>
      <c r="AB94" s="104">
        <v>71.893516772600393</v>
      </c>
      <c r="AC94" s="104">
        <v>39.784088468046669</v>
      </c>
      <c r="AD94" s="104">
        <v>32.340339623379798</v>
      </c>
    </row>
    <row r="95" spans="1:30" ht="14.7" customHeight="1">
      <c r="A95" s="131" t="s">
        <v>202</v>
      </c>
      <c r="B95" s="131"/>
      <c r="C95">
        <v>85.824395836035691</v>
      </c>
      <c r="D95">
        <v>77.533092975554112</v>
      </c>
      <c r="E95">
        <v>56.526561959574636</v>
      </c>
      <c r="F95">
        <v>47.013228454785619</v>
      </c>
      <c r="G95">
        <v>87.259319700137681</v>
      </c>
      <c r="H95">
        <v>79.747764663065851</v>
      </c>
      <c r="I95" s="147">
        <v>62.906020728045732</v>
      </c>
      <c r="J95" s="112">
        <v>51.787028842256753</v>
      </c>
      <c r="K95" s="112">
        <v>87.796803139933786</v>
      </c>
      <c r="L95" s="126">
        <v>82.84111658406465</v>
      </c>
      <c r="M95" s="112">
        <v>65.268683514562781</v>
      </c>
      <c r="N95" s="126">
        <v>56.450860514576107</v>
      </c>
      <c r="O95" s="147">
        <v>75.528442160405845</v>
      </c>
      <c r="P95" s="147">
        <v>69.543413578364891</v>
      </c>
      <c r="Q95" s="147">
        <v>46.79590593871427</v>
      </c>
      <c r="R95" s="112">
        <v>36.90986981492216</v>
      </c>
      <c r="S95" s="112">
        <v>78.403999999999996</v>
      </c>
      <c r="T95" s="112">
        <v>69.437400000000011</v>
      </c>
      <c r="U95" s="146">
        <v>39.574399999999997</v>
      </c>
      <c r="V95" s="113">
        <v>30.311700000000002</v>
      </c>
      <c r="W95" s="113">
        <v>82.515500000000003</v>
      </c>
      <c r="X95" s="126">
        <v>74.346400000000003</v>
      </c>
      <c r="Y95" s="126">
        <v>52.442399999999999</v>
      </c>
      <c r="Z95" s="104">
        <v>42.452199999999998</v>
      </c>
      <c r="AA95" s="104">
        <v>75.813402248914315</v>
      </c>
      <c r="AB95" s="104">
        <v>68.430379436433128</v>
      </c>
      <c r="AC95" s="104">
        <v>44.645949815772937</v>
      </c>
      <c r="AD95" s="104">
        <v>35.545300919294206</v>
      </c>
    </row>
    <row r="96" spans="1:30" ht="14.7" customHeight="1">
      <c r="A96" s="131" t="s">
        <v>52</v>
      </c>
      <c r="B96" s="131"/>
      <c r="C96">
        <v>88.235702442072238</v>
      </c>
      <c r="D96">
        <v>75.547133698990905</v>
      </c>
      <c r="E96">
        <v>55.11529287660629</v>
      </c>
      <c r="F96">
        <v>44.871597815455807</v>
      </c>
      <c r="G96">
        <v>86.92010230179028</v>
      </c>
      <c r="H96">
        <v>77.687626774847871</v>
      </c>
      <c r="I96" s="147">
        <v>58.207994321312192</v>
      </c>
      <c r="J96" s="112">
        <v>45.870054620227435</v>
      </c>
      <c r="K96" s="112">
        <v>85.415843636690767</v>
      </c>
      <c r="L96" s="126">
        <v>79.766054736608325</v>
      </c>
      <c r="M96" s="112">
        <v>61.844396061121621</v>
      </c>
      <c r="N96" s="126">
        <v>50.068212553489346</v>
      </c>
      <c r="O96" s="147">
        <v>73.411832791395511</v>
      </c>
      <c r="P96" s="147">
        <v>67.84534529145985</v>
      </c>
      <c r="Q96" s="147">
        <v>42.706841021489296</v>
      </c>
      <c r="R96" s="112">
        <v>32.537231575597161</v>
      </c>
      <c r="S96" s="112">
        <v>81.431200000000004</v>
      </c>
      <c r="T96" s="112">
        <v>71.626000000000005</v>
      </c>
      <c r="U96" s="146">
        <v>44.731400000000001</v>
      </c>
      <c r="V96" s="113">
        <v>30.9101</v>
      </c>
      <c r="W96" s="113">
        <v>81.391999999999996</v>
      </c>
      <c r="X96" s="126">
        <v>69.905600000000007</v>
      </c>
      <c r="Y96" s="126">
        <v>40.559200000000004</v>
      </c>
      <c r="Z96" s="104">
        <v>31.232100000000003</v>
      </c>
      <c r="AA96" s="104">
        <v>82.545700078353448</v>
      </c>
      <c r="AB96" s="104">
        <v>71.313335251103666</v>
      </c>
      <c r="AC96" s="104">
        <v>45.215220081607249</v>
      </c>
      <c r="AD96" s="104">
        <v>33.140448607534267</v>
      </c>
    </row>
    <row r="97" spans="1:30" ht="14.7" customHeight="1">
      <c r="A97" s="131" t="s">
        <v>53</v>
      </c>
      <c r="B97" s="131"/>
      <c r="C97">
        <v>87.037251291461914</v>
      </c>
      <c r="D97">
        <v>79.690191649096604</v>
      </c>
      <c r="E97">
        <v>60.45272962442538</v>
      </c>
      <c r="F97">
        <v>50.027787961548199</v>
      </c>
      <c r="G97">
        <v>89.850182073228908</v>
      </c>
      <c r="H97">
        <v>82.860929514833742</v>
      </c>
      <c r="I97" s="147">
        <v>60.526108382557908</v>
      </c>
      <c r="J97" s="112">
        <v>49.297512776266011</v>
      </c>
      <c r="K97" s="112">
        <v>89.027081754429261</v>
      </c>
      <c r="L97" s="126">
        <v>85.892554486643903</v>
      </c>
      <c r="M97" s="112">
        <v>66.879321731796011</v>
      </c>
      <c r="N97" s="126">
        <v>54.033881581564856</v>
      </c>
      <c r="O97" s="147">
        <v>80.099888152576</v>
      </c>
      <c r="P97" s="147">
        <v>70.78254555740979</v>
      </c>
      <c r="Q97" s="147">
        <v>45.370808235192669</v>
      </c>
      <c r="R97" s="112">
        <v>33.256746058308792</v>
      </c>
      <c r="S97" s="112">
        <v>84.539000000000001</v>
      </c>
      <c r="T97" s="112">
        <v>75.700699999999998</v>
      </c>
      <c r="U97" s="146">
        <v>45.178600000000003</v>
      </c>
      <c r="V97" s="113">
        <v>35.202800000000003</v>
      </c>
      <c r="W97" s="113">
        <v>85.751599999999996</v>
      </c>
      <c r="X97" s="126">
        <v>75.065600000000003</v>
      </c>
      <c r="Y97" s="126">
        <v>52.690899999999999</v>
      </c>
      <c r="Z97" s="104">
        <v>40.095100000000002</v>
      </c>
      <c r="AA97" s="104">
        <v>85.145310565461088</v>
      </c>
      <c r="AB97" s="104">
        <v>82.506089371581311</v>
      </c>
      <c r="AC97" s="104">
        <v>49.065161357357525</v>
      </c>
      <c r="AD97" s="104">
        <v>37.902885622242856</v>
      </c>
    </row>
    <row r="98" spans="1:30" ht="14.7" customHeight="1">
      <c r="A98" s="131" t="s">
        <v>54</v>
      </c>
      <c r="B98" s="131"/>
      <c r="C98">
        <v>85.273404365107808</v>
      </c>
      <c r="D98">
        <v>74.987531066295546</v>
      </c>
      <c r="E98">
        <v>54.834135796865255</v>
      </c>
      <c r="F98">
        <v>41.909841511700712</v>
      </c>
      <c r="G98">
        <v>86.114672756061921</v>
      </c>
      <c r="H98">
        <v>78.463689221241268</v>
      </c>
      <c r="I98" s="147">
        <v>52.996936355251023</v>
      </c>
      <c r="J98" s="112">
        <v>45.674043022796148</v>
      </c>
      <c r="K98" s="112">
        <v>86.142845205266866</v>
      </c>
      <c r="L98" s="126">
        <v>80.854796057539275</v>
      </c>
      <c r="M98" s="112">
        <v>57.732373667874711</v>
      </c>
      <c r="N98" s="126">
        <v>44.395774599219067</v>
      </c>
      <c r="O98" s="147">
        <v>74.093292833756522</v>
      </c>
      <c r="P98" s="147">
        <v>63.822044492883236</v>
      </c>
      <c r="Q98" s="147">
        <v>34.844498608586569</v>
      </c>
      <c r="R98" s="112">
        <v>24.951331072514201</v>
      </c>
      <c r="S98" s="112">
        <v>80.891800000000003</v>
      </c>
      <c r="T98" s="112">
        <v>69.542699999999996</v>
      </c>
      <c r="U98" s="146">
        <v>38.644099999999995</v>
      </c>
      <c r="V98" s="113">
        <v>24.1371</v>
      </c>
      <c r="W98" s="113">
        <v>77.761400000000009</v>
      </c>
      <c r="X98" s="126">
        <v>65.837999999999994</v>
      </c>
      <c r="Y98" s="126">
        <v>39.490199999999994</v>
      </c>
      <c r="Z98" s="104">
        <v>27.057500000000001</v>
      </c>
      <c r="AA98" s="104" t="s">
        <v>911</v>
      </c>
      <c r="AB98" s="104" t="s">
        <v>911</v>
      </c>
      <c r="AC98" s="104" t="s">
        <v>911</v>
      </c>
      <c r="AD98" s="104" t="s">
        <v>911</v>
      </c>
    </row>
    <row r="99" spans="1:30" ht="14.7" customHeight="1">
      <c r="A99" s="131" t="s">
        <v>55</v>
      </c>
      <c r="B99" s="131"/>
      <c r="C99">
        <v>89.0372441262666</v>
      </c>
      <c r="D99">
        <v>78.841681374169525</v>
      </c>
      <c r="E99">
        <v>53.45290852136889</v>
      </c>
      <c r="F99">
        <v>42.325514332096873</v>
      </c>
      <c r="G99">
        <v>87.304452466907335</v>
      </c>
      <c r="H99">
        <v>77.060764613885553</v>
      </c>
      <c r="I99" s="147">
        <v>55.651289231701426</v>
      </c>
      <c r="J99" s="112">
        <v>43.408910396554404</v>
      </c>
      <c r="K99" s="112">
        <v>89.68898337339941</v>
      </c>
      <c r="L99" s="126">
        <v>85.579027661324531</v>
      </c>
      <c r="M99" s="112">
        <v>62.096477059761938</v>
      </c>
      <c r="N99" s="126">
        <v>52.96778189596283</v>
      </c>
      <c r="O99" s="147">
        <v>81.332244103701626</v>
      </c>
      <c r="P99" s="147">
        <v>69.497115689874704</v>
      </c>
      <c r="Q99" s="147">
        <v>42.899821421246742</v>
      </c>
      <c r="R99" s="112">
        <v>32.844014808072046</v>
      </c>
      <c r="S99" s="112">
        <v>79.773799999999994</v>
      </c>
      <c r="T99" s="112">
        <v>68.579100000000011</v>
      </c>
      <c r="U99" s="146">
        <v>47.0075</v>
      </c>
      <c r="V99" s="113">
        <v>33.217200000000005</v>
      </c>
      <c r="W99" s="113">
        <v>79.9011</v>
      </c>
      <c r="X99" s="126">
        <v>67.827300000000008</v>
      </c>
      <c r="Y99" s="126">
        <v>40.183</v>
      </c>
      <c r="Z99" s="104">
        <v>26.361400000000003</v>
      </c>
      <c r="AA99" s="104">
        <v>82.91320054160262</v>
      </c>
      <c r="AB99" s="104">
        <v>71.853667256049491</v>
      </c>
      <c r="AC99" s="104">
        <v>42.533525760234873</v>
      </c>
      <c r="AD99" s="104">
        <v>33.874940045332707</v>
      </c>
    </row>
    <row r="100" spans="1:30" ht="14.7" customHeight="1">
      <c r="A100" s="131" t="s">
        <v>56</v>
      </c>
      <c r="B100" s="131"/>
      <c r="C100">
        <v>91.308656248454483</v>
      </c>
      <c r="D100">
        <v>80.067262109978827</v>
      </c>
      <c r="E100">
        <v>55.920125140718127</v>
      </c>
      <c r="F100">
        <v>42.99819805388158</v>
      </c>
      <c r="G100">
        <v>89.565511169352362</v>
      </c>
      <c r="H100">
        <v>84.644301146613046</v>
      </c>
      <c r="I100" s="147">
        <v>63.650915424329767</v>
      </c>
      <c r="J100" s="112">
        <v>55.027887785357365</v>
      </c>
      <c r="K100" s="112">
        <v>88.705408241129334</v>
      </c>
      <c r="L100" s="126">
        <v>84.298038459684804</v>
      </c>
      <c r="M100" s="112">
        <v>64.848506755345625</v>
      </c>
      <c r="N100" s="126">
        <v>51.88723954568092</v>
      </c>
      <c r="O100" s="147">
        <v>83.945418129451994</v>
      </c>
      <c r="P100" s="147">
        <v>75.871990859554415</v>
      </c>
      <c r="Q100" s="147">
        <v>47.906381213393814</v>
      </c>
      <c r="R100" s="112">
        <v>34.457440017310809</v>
      </c>
      <c r="S100" s="112">
        <v>83.225499999999997</v>
      </c>
      <c r="T100" s="112">
        <v>75.044799999999995</v>
      </c>
      <c r="U100" s="146">
        <v>46.2684</v>
      </c>
      <c r="V100" s="113">
        <v>36.511900000000004</v>
      </c>
      <c r="W100" s="113">
        <v>81.938599999999994</v>
      </c>
      <c r="X100" s="126">
        <v>72.322400000000002</v>
      </c>
      <c r="Y100" s="126">
        <v>43.473299999999995</v>
      </c>
      <c r="Z100" s="104">
        <v>30.097000000000001</v>
      </c>
      <c r="AA100" s="104">
        <v>89.096389225280319</v>
      </c>
      <c r="AB100" s="104">
        <v>79.00913622350096</v>
      </c>
      <c r="AC100" s="104">
        <v>43.678393386236394</v>
      </c>
      <c r="AD100" s="104">
        <v>31.648860284656077</v>
      </c>
    </row>
    <row r="101" spans="1:30" ht="14.7" customHeight="1">
      <c r="A101" s="131" t="s">
        <v>57</v>
      </c>
      <c r="B101" s="131"/>
      <c r="C101">
        <v>76.13546206301028</v>
      </c>
      <c r="D101">
        <v>66.975608051685313</v>
      </c>
      <c r="E101">
        <v>47.661456697691285</v>
      </c>
      <c r="F101">
        <v>36.819996456258266</v>
      </c>
      <c r="G101">
        <v>77.812153852030093</v>
      </c>
      <c r="H101">
        <v>69.161191088662548</v>
      </c>
      <c r="I101" s="147">
        <v>52.309738539025354</v>
      </c>
      <c r="J101" s="112">
        <v>43.70255830700092</v>
      </c>
      <c r="K101" s="112">
        <v>86.020411650360529</v>
      </c>
      <c r="L101" s="126">
        <v>78.096081497550657</v>
      </c>
      <c r="M101" s="112">
        <v>59.420458174849735</v>
      </c>
      <c r="N101" s="126">
        <v>49.476537515502692</v>
      </c>
      <c r="O101" s="147">
        <v>82.283607069495147</v>
      </c>
      <c r="P101" s="147">
        <v>72.177497210319686</v>
      </c>
      <c r="Q101" s="147">
        <v>45.987306699483049</v>
      </c>
      <c r="R101" s="112">
        <v>35.61772545432062</v>
      </c>
      <c r="S101" s="112">
        <v>76.203800000000001</v>
      </c>
      <c r="T101" s="112">
        <v>68.165599999999998</v>
      </c>
      <c r="U101" s="146">
        <v>41.889700000000005</v>
      </c>
      <c r="V101" s="113">
        <v>34.422799999999995</v>
      </c>
      <c r="W101" s="113">
        <v>69.4041</v>
      </c>
      <c r="X101" s="126">
        <v>62.2498</v>
      </c>
      <c r="Y101" s="126">
        <v>37.488100000000003</v>
      </c>
      <c r="Z101" s="104">
        <v>28.148499999999999</v>
      </c>
      <c r="AA101" s="104">
        <v>79.865505920133472</v>
      </c>
      <c r="AB101" s="104">
        <v>74.195287952319859</v>
      </c>
      <c r="AC101" s="104">
        <v>47.615992256671511</v>
      </c>
      <c r="AD101" s="104">
        <v>35.841165474908735</v>
      </c>
    </row>
    <row r="102" spans="1:30" ht="14.7" customHeight="1">
      <c r="A102" s="131" t="s">
        <v>58</v>
      </c>
      <c r="B102" s="131"/>
      <c r="C102">
        <v>87.81629051044392</v>
      </c>
      <c r="D102">
        <v>79.552773193279279</v>
      </c>
      <c r="E102">
        <v>57.39750669148598</v>
      </c>
      <c r="F102">
        <v>46.275952293944947</v>
      </c>
      <c r="G102">
        <v>83.535653693897487</v>
      </c>
      <c r="H102">
        <v>75.935528297112427</v>
      </c>
      <c r="I102" s="147">
        <v>49.666482762053704</v>
      </c>
      <c r="J102" s="112">
        <v>42.790593486458114</v>
      </c>
      <c r="K102" s="112">
        <v>81.837823668538007</v>
      </c>
      <c r="L102" s="126">
        <v>77.413449979290633</v>
      </c>
      <c r="M102" s="112">
        <v>59.199911101233468</v>
      </c>
      <c r="N102" s="126">
        <v>50.287607713988422</v>
      </c>
      <c r="O102" s="147">
        <v>80.348598213108133</v>
      </c>
      <c r="P102" s="147">
        <v>70.272969115363054</v>
      </c>
      <c r="Q102" s="147">
        <v>41.147542028360952</v>
      </c>
      <c r="R102" s="112">
        <v>28.219617721466495</v>
      </c>
      <c r="S102" s="112">
        <v>76.029499999999999</v>
      </c>
      <c r="T102" s="112">
        <v>63.058599999999998</v>
      </c>
      <c r="U102" s="146">
        <v>38.387599999999999</v>
      </c>
      <c r="V102" s="113">
        <v>28.043900000000001</v>
      </c>
      <c r="W102" s="113">
        <v>78.668499999999995</v>
      </c>
      <c r="X102" s="126">
        <v>72.076899999999995</v>
      </c>
      <c r="Y102" s="126">
        <v>44.048000000000002</v>
      </c>
      <c r="Z102" s="104">
        <v>34.202300000000001</v>
      </c>
      <c r="AA102" s="104">
        <v>85.003927852800842</v>
      </c>
      <c r="AB102" s="104">
        <v>76.090428370208855</v>
      </c>
      <c r="AC102" s="104">
        <v>51.461281634828005</v>
      </c>
      <c r="AD102" s="104">
        <v>37.784035909962356</v>
      </c>
    </row>
    <row r="103" spans="1:30" ht="14.7" customHeight="1">
      <c r="A103" s="131" t="s">
        <v>267</v>
      </c>
      <c r="B103" s="131"/>
      <c r="C103">
        <v>84.829715525028902</v>
      </c>
      <c r="D103">
        <v>77.598512906114792</v>
      </c>
      <c r="E103">
        <v>55.090147530294978</v>
      </c>
      <c r="F103">
        <v>41.727716649080833</v>
      </c>
      <c r="G103">
        <v>88.336618614005928</v>
      </c>
      <c r="H103">
        <v>81.52626012678914</v>
      </c>
      <c r="I103" s="147">
        <v>59.384851480525924</v>
      </c>
      <c r="J103" s="112">
        <v>48.448832691538669</v>
      </c>
      <c r="K103" s="112">
        <v>85.439769276314536</v>
      </c>
      <c r="L103" s="126">
        <v>78.619338379504768</v>
      </c>
      <c r="M103" s="112">
        <v>62.876164501103204</v>
      </c>
      <c r="N103" s="126">
        <v>50.287486209855345</v>
      </c>
      <c r="O103" s="147">
        <v>76.738460870379711</v>
      </c>
      <c r="P103" s="147">
        <v>69.252358831107159</v>
      </c>
      <c r="Q103" s="147">
        <v>44.523881284600819</v>
      </c>
      <c r="R103" s="112">
        <v>35.388777707560266</v>
      </c>
      <c r="S103" s="112">
        <v>75.7637</v>
      </c>
      <c r="T103" s="112">
        <v>68.20859999999999</v>
      </c>
      <c r="U103" s="146">
        <v>45.545000000000002</v>
      </c>
      <c r="V103" s="113">
        <v>32.101600000000005</v>
      </c>
      <c r="W103" s="113">
        <v>77.254900000000006</v>
      </c>
      <c r="X103" s="126">
        <v>67.583300000000008</v>
      </c>
      <c r="Y103" s="126">
        <v>42.453099999999999</v>
      </c>
      <c r="Z103" s="104">
        <v>30.718600000000002</v>
      </c>
      <c r="AA103" s="104">
        <v>81.9817101186771</v>
      </c>
      <c r="AB103" s="104">
        <v>76.385056514822367</v>
      </c>
      <c r="AC103" s="104">
        <v>51.316583307699993</v>
      </c>
      <c r="AD103" s="104">
        <v>37.28110465997753</v>
      </c>
    </row>
    <row r="104" spans="1:30" ht="14.7" customHeight="1">
      <c r="A104" s="131" t="s">
        <v>59</v>
      </c>
      <c r="B104" s="131"/>
      <c r="C104">
        <v>87.501904439304482</v>
      </c>
      <c r="D104">
        <v>76.152061278852074</v>
      </c>
      <c r="E104">
        <v>49.972097830101873</v>
      </c>
      <c r="F104">
        <v>40.292660138126188</v>
      </c>
      <c r="G104">
        <v>83.493468105719799</v>
      </c>
      <c r="H104">
        <v>76.669245510830095</v>
      </c>
      <c r="I104" s="147">
        <v>57.517469757665118</v>
      </c>
      <c r="J104" s="112">
        <v>42.708995856471681</v>
      </c>
      <c r="K104" s="112">
        <v>83.156819960301746</v>
      </c>
      <c r="L104" s="126">
        <v>77.356986800001607</v>
      </c>
      <c r="M104" s="112">
        <v>55.239158277061208</v>
      </c>
      <c r="N104" s="126">
        <v>46.316173467567026</v>
      </c>
      <c r="O104" s="147">
        <v>74.920319699381594</v>
      </c>
      <c r="P104" s="147">
        <v>64.254999972203308</v>
      </c>
      <c r="Q104" s="147">
        <v>40.480701589177627</v>
      </c>
      <c r="R104" s="112">
        <v>30.454749612254606</v>
      </c>
      <c r="S104" s="112">
        <v>73.854600000000005</v>
      </c>
      <c r="T104" s="112">
        <v>64.382899999999992</v>
      </c>
      <c r="U104" s="146">
        <v>37.486199999999997</v>
      </c>
      <c r="V104" s="113">
        <v>24.744700000000002</v>
      </c>
      <c r="W104" s="113">
        <v>77.572299999999998</v>
      </c>
      <c r="X104" s="126">
        <v>67.845999999999989</v>
      </c>
      <c r="Y104" s="126">
        <v>42.856699999999996</v>
      </c>
      <c r="Z104" s="104">
        <v>32.202500000000001</v>
      </c>
      <c r="AA104" s="104">
        <v>75.244431660961723</v>
      </c>
      <c r="AB104" s="104">
        <v>66.820402667297671</v>
      </c>
      <c r="AC104" s="104">
        <v>39.109203445276655</v>
      </c>
      <c r="AD104" s="104">
        <v>28.151633177038459</v>
      </c>
    </row>
    <row r="105" spans="1:30" ht="14.7" customHeight="1">
      <c r="A105" s="131" t="s">
        <v>908</v>
      </c>
      <c r="B105" s="131"/>
      <c r="C105" t="s">
        <v>911</v>
      </c>
      <c r="D105" t="s">
        <v>911</v>
      </c>
      <c r="E105" t="s">
        <v>911</v>
      </c>
      <c r="F105" t="s">
        <v>911</v>
      </c>
      <c r="G105" t="s">
        <v>911</v>
      </c>
      <c r="H105" t="s">
        <v>911</v>
      </c>
      <c r="I105" s="147" t="s">
        <v>911</v>
      </c>
      <c r="J105" s="112" t="s">
        <v>911</v>
      </c>
      <c r="K105" s="112" t="s">
        <v>911</v>
      </c>
      <c r="L105" s="126" t="s">
        <v>911</v>
      </c>
      <c r="M105" s="112" t="s">
        <v>911</v>
      </c>
      <c r="N105" s="126" t="s">
        <v>911</v>
      </c>
      <c r="O105" s="147" t="s">
        <v>911</v>
      </c>
      <c r="P105" s="147" t="s">
        <v>911</v>
      </c>
      <c r="Q105" s="147" t="s">
        <v>911</v>
      </c>
      <c r="R105" s="112" t="s">
        <v>911</v>
      </c>
      <c r="S105" s="112" t="s">
        <v>911</v>
      </c>
      <c r="T105" s="112" t="s">
        <v>911</v>
      </c>
      <c r="U105" s="146" t="s">
        <v>911</v>
      </c>
      <c r="V105" s="113" t="s">
        <v>911</v>
      </c>
      <c r="W105" s="113" t="s">
        <v>911</v>
      </c>
      <c r="X105" s="126" t="s">
        <v>911</v>
      </c>
      <c r="Y105" s="126" t="s">
        <v>911</v>
      </c>
      <c r="Z105" s="104" t="s">
        <v>911</v>
      </c>
      <c r="AA105" s="104">
        <v>80.594473970476059</v>
      </c>
      <c r="AB105" s="104">
        <v>72.072633863942897</v>
      </c>
      <c r="AC105" s="104">
        <v>45.376512925943594</v>
      </c>
      <c r="AD105" s="104">
        <v>32.663184628964729</v>
      </c>
    </row>
    <row r="106" spans="1:30" ht="14.7" customHeight="1">
      <c r="A106" s="131" t="s">
        <v>310</v>
      </c>
      <c r="B106" s="131"/>
      <c r="C106">
        <v>87.16575265953847</v>
      </c>
      <c r="D106">
        <v>78.670473794185298</v>
      </c>
      <c r="E106">
        <v>57.572685615513699</v>
      </c>
      <c r="F106">
        <v>45.780453148596493</v>
      </c>
      <c r="G106">
        <v>84.599786652276023</v>
      </c>
      <c r="H106">
        <v>77.359212846565342</v>
      </c>
      <c r="I106" s="147">
        <v>60.198722983174534</v>
      </c>
      <c r="J106" s="112">
        <v>49.561992778499494</v>
      </c>
      <c r="K106" s="112">
        <v>86.971070566901318</v>
      </c>
      <c r="L106" s="126">
        <v>82.067788196693513</v>
      </c>
      <c r="M106" s="112">
        <v>63.617186569889796</v>
      </c>
      <c r="N106" s="126">
        <v>51.725860771268806</v>
      </c>
      <c r="O106" s="147">
        <v>79.219006575849363</v>
      </c>
      <c r="P106" s="147">
        <v>69.830906416778674</v>
      </c>
      <c r="Q106" s="147">
        <v>43.070418881047509</v>
      </c>
      <c r="R106" s="112">
        <v>32.724325346439784</v>
      </c>
      <c r="S106" s="112">
        <v>78.707300000000004</v>
      </c>
      <c r="T106" s="112">
        <v>69.343900000000005</v>
      </c>
      <c r="U106" s="146">
        <v>43.704799999999999</v>
      </c>
      <c r="V106" s="113">
        <v>32.252700000000004</v>
      </c>
      <c r="W106" s="113">
        <v>78.338700000000003</v>
      </c>
      <c r="X106" s="126">
        <v>69.233500000000006</v>
      </c>
      <c r="Y106" s="126">
        <v>44.407400000000003</v>
      </c>
      <c r="Z106" s="104">
        <v>33.720599999999997</v>
      </c>
      <c r="AA106" s="104">
        <v>82.023993758774964</v>
      </c>
      <c r="AB106" s="104">
        <v>73.806916848622805</v>
      </c>
      <c r="AC106" s="104">
        <v>47.027734334257218</v>
      </c>
      <c r="AD106" s="104">
        <v>33.66482064180903</v>
      </c>
    </row>
    <row r="107" spans="1:30" ht="14.7" customHeight="1">
      <c r="A107" s="131" t="s">
        <v>60</v>
      </c>
      <c r="B107" s="131"/>
      <c r="C107">
        <v>86.399780274370187</v>
      </c>
      <c r="D107">
        <v>77.201703654961648</v>
      </c>
      <c r="E107">
        <v>57.476307330071897</v>
      </c>
      <c r="F107">
        <v>45.434767665619511</v>
      </c>
      <c r="G107">
        <v>85.80456698503103</v>
      </c>
      <c r="H107">
        <v>78.895363463627049</v>
      </c>
      <c r="I107" s="147">
        <v>63.822580744128402</v>
      </c>
      <c r="J107" s="112">
        <v>55.18785243423784</v>
      </c>
      <c r="K107" s="112">
        <v>85.296845827271682</v>
      </c>
      <c r="L107" s="126">
        <v>78.246879057225598</v>
      </c>
      <c r="M107" s="112">
        <v>62.440627184659938</v>
      </c>
      <c r="N107" s="126">
        <v>50.587236592429839</v>
      </c>
      <c r="O107" s="147">
        <v>74.538136710795627</v>
      </c>
      <c r="P107" s="147">
        <v>66.267934988078366</v>
      </c>
      <c r="Q107" s="147">
        <v>43.704020480265868</v>
      </c>
      <c r="R107" s="112">
        <v>34.683273325191678</v>
      </c>
      <c r="S107" s="112">
        <v>79.035599999999988</v>
      </c>
      <c r="T107" s="112">
        <v>71.299400000000006</v>
      </c>
      <c r="U107" s="146">
        <v>47.9679</v>
      </c>
      <c r="V107" s="113">
        <v>35.309400000000004</v>
      </c>
      <c r="W107" s="113">
        <v>75.6751</v>
      </c>
      <c r="X107" s="126">
        <v>67.486699999999999</v>
      </c>
      <c r="Y107" s="126">
        <v>43.871000000000002</v>
      </c>
      <c r="Z107" s="104">
        <v>31.2575</v>
      </c>
      <c r="AA107" s="104">
        <v>83.083729736789735</v>
      </c>
      <c r="AB107" s="104">
        <v>76.403137992090564</v>
      </c>
      <c r="AC107" s="104">
        <v>46.301559390472093</v>
      </c>
      <c r="AD107" s="104">
        <v>33.440336153759688</v>
      </c>
    </row>
    <row r="108" spans="1:30" ht="14.7" customHeight="1">
      <c r="A108" s="131" t="s">
        <v>61</v>
      </c>
      <c r="B108" s="131"/>
      <c r="C108">
        <v>85.78343957602678</v>
      </c>
      <c r="D108">
        <v>78.045417645694968</v>
      </c>
      <c r="E108">
        <v>51.025652985352075</v>
      </c>
      <c r="F108">
        <v>37.908403954293163</v>
      </c>
      <c r="G108">
        <v>87.031089978801816</v>
      </c>
      <c r="H108">
        <v>77.496162140997043</v>
      </c>
      <c r="I108" s="147">
        <v>52.870884271718346</v>
      </c>
      <c r="J108" s="112">
        <v>37.699273448230855</v>
      </c>
      <c r="K108" s="112">
        <v>89.989609895186845</v>
      </c>
      <c r="L108" s="126">
        <v>83.457404310384732</v>
      </c>
      <c r="M108" s="112">
        <v>61.030443173882496</v>
      </c>
      <c r="N108" s="126">
        <v>50.169352355537313</v>
      </c>
      <c r="O108" s="147">
        <v>76.581998321601972</v>
      </c>
      <c r="P108" s="147">
        <v>66.98074071714133</v>
      </c>
      <c r="Q108" s="147">
        <v>40.227983357429729</v>
      </c>
      <c r="R108" s="112">
        <v>27.528961384789014</v>
      </c>
      <c r="S108" s="112">
        <v>83.144800000000004</v>
      </c>
      <c r="T108" s="112">
        <v>72.281399999999991</v>
      </c>
      <c r="U108" s="146">
        <v>44.451800000000006</v>
      </c>
      <c r="V108" s="113">
        <v>31.112099999999998</v>
      </c>
      <c r="W108" s="113">
        <v>79.438100000000006</v>
      </c>
      <c r="X108" s="126">
        <v>66.034499999999994</v>
      </c>
      <c r="Y108" s="126">
        <v>39.643299999999996</v>
      </c>
      <c r="Z108" s="104">
        <v>27.069700000000001</v>
      </c>
      <c r="AA108" s="104">
        <v>81.958114409887827</v>
      </c>
      <c r="AB108" s="104">
        <v>69.122015942843461</v>
      </c>
      <c r="AC108" s="104">
        <v>41.109106475416382</v>
      </c>
      <c r="AD108" s="104">
        <v>28.631833424405716</v>
      </c>
    </row>
    <row r="109" spans="1:30" ht="14.7" customHeight="1">
      <c r="A109" s="131" t="s">
        <v>62</v>
      </c>
      <c r="B109" s="131"/>
      <c r="C109">
        <v>88.803054852867419</v>
      </c>
      <c r="D109">
        <v>83.673609443107139</v>
      </c>
      <c r="E109">
        <v>63.60152034246277</v>
      </c>
      <c r="F109">
        <v>54.706002494094605</v>
      </c>
      <c r="G109">
        <v>87.696038900858184</v>
      </c>
      <c r="H109">
        <v>82.986973080935087</v>
      </c>
      <c r="I109" s="147">
        <v>61.051654847291523</v>
      </c>
      <c r="J109" s="112">
        <v>49.152158619518552</v>
      </c>
      <c r="K109" s="112">
        <v>89.871982274159407</v>
      </c>
      <c r="L109" s="126">
        <v>85.232291005845013</v>
      </c>
      <c r="M109" s="112">
        <v>69.556933828526141</v>
      </c>
      <c r="N109" s="126">
        <v>58.949090812038193</v>
      </c>
      <c r="O109" s="147">
        <v>80.114407405741929</v>
      </c>
      <c r="P109" s="147">
        <v>73.254191757785065</v>
      </c>
      <c r="Q109" s="147">
        <v>49.720952577391323</v>
      </c>
      <c r="R109" s="112">
        <v>37.332596309645204</v>
      </c>
      <c r="S109" s="112">
        <v>78.267299999999992</v>
      </c>
      <c r="T109" s="112">
        <v>68.222000000000008</v>
      </c>
      <c r="U109" s="146">
        <v>39.3752</v>
      </c>
      <c r="V109" s="113">
        <v>28.968399999999999</v>
      </c>
      <c r="W109" s="113">
        <v>83.357399999999998</v>
      </c>
      <c r="X109" s="126">
        <v>76.997700000000009</v>
      </c>
      <c r="Y109" s="126">
        <v>46.720800000000004</v>
      </c>
      <c r="Z109" s="104">
        <v>32.814500000000002</v>
      </c>
      <c r="AA109" s="104">
        <v>83.882245443162091</v>
      </c>
      <c r="AB109" s="104">
        <v>74.526555660850079</v>
      </c>
      <c r="AC109" s="104">
        <v>46.867786322868966</v>
      </c>
      <c r="AD109" s="104">
        <v>38.374112979702346</v>
      </c>
    </row>
    <row r="110" spans="1:30" ht="14.7" customHeight="1">
      <c r="A110" s="131" t="s">
        <v>63</v>
      </c>
      <c r="B110" s="131"/>
      <c r="C110">
        <v>89.199056236438238</v>
      </c>
      <c r="D110">
        <v>82.26350491682166</v>
      </c>
      <c r="E110">
        <v>56.903090547685053</v>
      </c>
      <c r="F110">
        <v>43.228789707953602</v>
      </c>
      <c r="G110">
        <v>90.423212502801718</v>
      </c>
      <c r="H110">
        <v>84.687985787252956</v>
      </c>
      <c r="I110" s="147">
        <v>59.85474704106727</v>
      </c>
      <c r="J110" s="112">
        <v>48.243146544279128</v>
      </c>
      <c r="K110" s="112">
        <v>91.760034461990102</v>
      </c>
      <c r="L110" s="126">
        <v>87.396207504893098</v>
      </c>
      <c r="M110" s="112">
        <v>67.050516626310056</v>
      </c>
      <c r="N110" s="126">
        <v>55.349356861343693</v>
      </c>
      <c r="O110" s="147">
        <v>82.367361543900032</v>
      </c>
      <c r="P110" s="147">
        <v>73.211423270476487</v>
      </c>
      <c r="Q110" s="147">
        <v>47.079269937781092</v>
      </c>
      <c r="R110" s="112">
        <v>33.589287251903855</v>
      </c>
      <c r="S110" s="112">
        <v>83.622799999999998</v>
      </c>
      <c r="T110" s="112">
        <v>75.826000000000008</v>
      </c>
      <c r="U110" s="146">
        <v>46.857300000000002</v>
      </c>
      <c r="V110" s="113">
        <v>32.130199999999995</v>
      </c>
      <c r="W110" s="113">
        <v>84.782499999999999</v>
      </c>
      <c r="X110" s="126">
        <v>72.026600000000002</v>
      </c>
      <c r="Y110" s="126">
        <v>45.1023</v>
      </c>
      <c r="Z110" s="104">
        <v>31.556699999999999</v>
      </c>
      <c r="AA110" s="104">
        <v>86.958562974579777</v>
      </c>
      <c r="AB110" s="104">
        <v>77.213548433204068</v>
      </c>
      <c r="AC110" s="104">
        <v>45.098650324298674</v>
      </c>
      <c r="AD110" s="104">
        <v>32.019759186159462</v>
      </c>
    </row>
    <row r="111" spans="1:30" ht="14.7" customHeight="1">
      <c r="A111" s="131" t="s">
        <v>203</v>
      </c>
      <c r="B111" s="131"/>
      <c r="C111">
        <v>81.558059268470089</v>
      </c>
      <c r="D111">
        <v>70.553352131992412</v>
      </c>
      <c r="E111">
        <v>45.929143863340904</v>
      </c>
      <c r="F111">
        <v>38.677223069613092</v>
      </c>
      <c r="G111">
        <v>85.770693305379126</v>
      </c>
      <c r="H111">
        <v>80.26161836379093</v>
      </c>
      <c r="I111" s="147">
        <v>59.600880478791908</v>
      </c>
      <c r="J111" s="112">
        <v>45.536157711765242</v>
      </c>
      <c r="K111" s="112">
        <v>85.423039113934465</v>
      </c>
      <c r="L111" s="126">
        <v>81.258211378241398</v>
      </c>
      <c r="M111" s="112">
        <v>61.194465282987409</v>
      </c>
      <c r="N111" s="126">
        <v>50.904988151799849</v>
      </c>
      <c r="O111" s="147">
        <v>75.37062008792158</v>
      </c>
      <c r="P111" s="147">
        <v>66.817774057831357</v>
      </c>
      <c r="Q111" s="147">
        <v>41.098465374458833</v>
      </c>
      <c r="R111" s="112">
        <v>30.246781800023427</v>
      </c>
      <c r="S111" s="112">
        <v>75.609800000000007</v>
      </c>
      <c r="T111" s="112">
        <v>66.274100000000004</v>
      </c>
      <c r="U111" s="146">
        <v>40.378500000000003</v>
      </c>
      <c r="V111" s="113">
        <v>29.037200000000002</v>
      </c>
      <c r="W111" s="113">
        <v>70.464200000000005</v>
      </c>
      <c r="X111" s="126">
        <v>65.309899999999999</v>
      </c>
      <c r="Y111" s="126">
        <v>43.305799999999998</v>
      </c>
      <c r="Z111" s="104">
        <v>34.775300000000001</v>
      </c>
      <c r="AA111" s="104">
        <v>78.841988186644812</v>
      </c>
      <c r="AB111" s="104">
        <v>70.226015623367417</v>
      </c>
      <c r="AC111" s="104">
        <v>41.446019908618432</v>
      </c>
      <c r="AD111" s="104">
        <v>28.430952771501651</v>
      </c>
    </row>
    <row r="112" spans="1:30" ht="14.7" customHeight="1">
      <c r="A112" s="131" t="s">
        <v>64</v>
      </c>
      <c r="B112" s="131"/>
      <c r="C112">
        <v>85.407708773039005</v>
      </c>
      <c r="D112">
        <v>75.52300279062041</v>
      </c>
      <c r="E112">
        <v>52.679821805226645</v>
      </c>
      <c r="F112">
        <v>43.649729340090929</v>
      </c>
      <c r="G112">
        <v>87.331221870311708</v>
      </c>
      <c r="H112">
        <v>77.300258259152884</v>
      </c>
      <c r="I112" s="147">
        <v>56.501689908591793</v>
      </c>
      <c r="J112" s="112">
        <v>49.517363784556061</v>
      </c>
      <c r="K112" s="112">
        <v>86.62799944237517</v>
      </c>
      <c r="L112" s="126">
        <v>80.633049232093583</v>
      </c>
      <c r="M112" s="112">
        <v>64.533890824991119</v>
      </c>
      <c r="N112" s="126">
        <v>52.857706733734922</v>
      </c>
      <c r="O112" s="147">
        <v>79.568990366107812</v>
      </c>
      <c r="P112" s="147">
        <v>73.521640688672719</v>
      </c>
      <c r="Q112" s="147">
        <v>41.022652141406056</v>
      </c>
      <c r="R112" s="112">
        <v>28.359641686696946</v>
      </c>
      <c r="S112" s="112">
        <v>82.995499999999993</v>
      </c>
      <c r="T112" s="112">
        <v>71.807000000000002</v>
      </c>
      <c r="U112" s="146">
        <v>47.535600000000002</v>
      </c>
      <c r="V112" s="113">
        <v>34.891100000000002</v>
      </c>
      <c r="W112" s="113">
        <v>81.58</v>
      </c>
      <c r="X112" s="126">
        <v>71.709800000000001</v>
      </c>
      <c r="Y112" s="126">
        <v>42.017299999999999</v>
      </c>
      <c r="Z112" s="104">
        <v>30.907499999999999</v>
      </c>
      <c r="AA112" s="104">
        <v>81.927842885542788</v>
      </c>
      <c r="AB112" s="104">
        <v>74.039969889278794</v>
      </c>
      <c r="AC112" s="104">
        <v>45.551053213292697</v>
      </c>
      <c r="AD112" s="104">
        <v>32.112813535041326</v>
      </c>
    </row>
    <row r="113" spans="1:30" ht="14.7" customHeight="1">
      <c r="A113" s="131" t="s">
        <v>343</v>
      </c>
      <c r="B113" s="131"/>
      <c r="C113">
        <v>87.066055065333657</v>
      </c>
      <c r="D113">
        <v>76.6909033234232</v>
      </c>
      <c r="E113">
        <v>53.780298988159615</v>
      </c>
      <c r="F113">
        <v>41.328890419795208</v>
      </c>
      <c r="G113">
        <v>86.137038063847044</v>
      </c>
      <c r="H113">
        <v>77.568343971001468</v>
      </c>
      <c r="I113" s="147">
        <v>54.243332741384535</v>
      </c>
      <c r="J113" s="112">
        <v>41.737404548256016</v>
      </c>
      <c r="K113" s="112">
        <v>90.501250918611973</v>
      </c>
      <c r="L113" s="126">
        <v>83.207603219607023</v>
      </c>
      <c r="M113" s="112">
        <v>65.160465036385276</v>
      </c>
      <c r="N113" s="126">
        <v>52.372772778436797</v>
      </c>
      <c r="O113" s="147">
        <v>86.58532871845793</v>
      </c>
      <c r="P113" s="147">
        <v>78.660480916212236</v>
      </c>
      <c r="Q113" s="147">
        <v>48.761251700325623</v>
      </c>
      <c r="R113" s="112">
        <v>38.727892780084098</v>
      </c>
      <c r="S113" s="112">
        <v>86.370599999999996</v>
      </c>
      <c r="T113" s="112">
        <v>78.223299999999995</v>
      </c>
      <c r="U113" s="146">
        <v>48.6965</v>
      </c>
      <c r="V113" s="113">
        <v>32.365699999999997</v>
      </c>
      <c r="W113" s="113">
        <v>86.363599999999991</v>
      </c>
      <c r="X113" s="126">
        <v>76.978300000000004</v>
      </c>
      <c r="Y113" s="126">
        <v>50.200299999999999</v>
      </c>
      <c r="Z113" s="104">
        <v>35.534300000000002</v>
      </c>
      <c r="AA113" s="104">
        <v>85.253874322530251</v>
      </c>
      <c r="AB113" s="104">
        <v>78.00958323863253</v>
      </c>
      <c r="AC113" s="104">
        <v>49.884431778975333</v>
      </c>
      <c r="AD113" s="104">
        <v>37.81080703127374</v>
      </c>
    </row>
    <row r="114" spans="1:30" ht="14.7" customHeight="1">
      <c r="A114" s="131" t="s">
        <v>65</v>
      </c>
      <c r="B114" s="131"/>
      <c r="C114">
        <v>85.155880609632433</v>
      </c>
      <c r="D114">
        <v>76.121549804017192</v>
      </c>
      <c r="E114">
        <v>49.921355647852586</v>
      </c>
      <c r="F114">
        <v>40.387857762502989</v>
      </c>
      <c r="G114">
        <v>87.602998093461309</v>
      </c>
      <c r="H114">
        <v>76.941277471103234</v>
      </c>
      <c r="I114" s="147">
        <v>56.254847231841801</v>
      </c>
      <c r="J114" s="112">
        <v>46.110187170543767</v>
      </c>
      <c r="K114" s="112">
        <v>85.113969436280641</v>
      </c>
      <c r="L114" s="126">
        <v>78.730851182000876</v>
      </c>
      <c r="M114" s="112">
        <v>60.365758833449469</v>
      </c>
      <c r="N114" s="126">
        <v>48.298544841305905</v>
      </c>
      <c r="O114" s="147">
        <v>78.476223258809242</v>
      </c>
      <c r="P114" s="147">
        <v>68.965269068878939</v>
      </c>
      <c r="Q114" s="147">
        <v>40.460907078531662</v>
      </c>
      <c r="R114" s="112">
        <v>30.098498545953273</v>
      </c>
      <c r="S114" s="112">
        <v>82.061099999999996</v>
      </c>
      <c r="T114" s="112">
        <v>70.793399999999991</v>
      </c>
      <c r="U114" s="146">
        <v>44.698999999999998</v>
      </c>
      <c r="V114" s="113">
        <v>34.818800000000003</v>
      </c>
      <c r="W114" s="113">
        <v>78.512799999999999</v>
      </c>
      <c r="X114" s="126">
        <v>69.313000000000002</v>
      </c>
      <c r="Y114" s="126">
        <v>40.036200000000001</v>
      </c>
      <c r="Z114" s="104">
        <v>27.2864</v>
      </c>
      <c r="AA114" s="104">
        <v>78.048988136066228</v>
      </c>
      <c r="AB114" s="104">
        <v>65.291584570607654</v>
      </c>
      <c r="AC114" s="104">
        <v>38.191680934081873</v>
      </c>
      <c r="AD114" s="104">
        <v>27.300613523747845</v>
      </c>
    </row>
    <row r="115" spans="1:30" ht="14.7" customHeight="1">
      <c r="A115" s="131" t="s">
        <v>311</v>
      </c>
      <c r="B115" s="131"/>
      <c r="C115">
        <v>85.062967567217456</v>
      </c>
      <c r="D115">
        <v>76.246105730181696</v>
      </c>
      <c r="E115">
        <v>52.321156810098024</v>
      </c>
      <c r="F115">
        <v>41.509164148539995</v>
      </c>
      <c r="G115">
        <v>84.834494997122306</v>
      </c>
      <c r="H115">
        <v>76.968284729859633</v>
      </c>
      <c r="I115" s="147">
        <v>55.571480417015771</v>
      </c>
      <c r="J115" s="112">
        <v>45.904700819204599</v>
      </c>
      <c r="K115" s="112">
        <v>85.471988055347481</v>
      </c>
      <c r="L115" s="126">
        <v>78.886077509427039</v>
      </c>
      <c r="M115" s="112">
        <v>59.650841568553361</v>
      </c>
      <c r="N115" s="126">
        <v>48.445372617254328</v>
      </c>
      <c r="O115" s="147">
        <v>76.835582466690795</v>
      </c>
      <c r="P115" s="147">
        <v>66.671796399844638</v>
      </c>
      <c r="Q115" s="147">
        <v>40.331608917140585</v>
      </c>
      <c r="R115" s="112">
        <v>30.025248543156113</v>
      </c>
      <c r="S115" s="112">
        <v>79.072600000000008</v>
      </c>
      <c r="T115" s="112">
        <v>70.216099999999997</v>
      </c>
      <c r="U115" s="146">
        <v>43.215699999999998</v>
      </c>
      <c r="V115" s="113">
        <v>32.429400000000001</v>
      </c>
      <c r="W115" s="113">
        <v>78.156199999999998</v>
      </c>
      <c r="X115" s="126">
        <v>68.7059</v>
      </c>
      <c r="Y115" s="126">
        <v>41.951699999999995</v>
      </c>
      <c r="Z115" s="104">
        <v>31.198700000000002</v>
      </c>
      <c r="AA115" s="104">
        <v>81.53617520933777</v>
      </c>
      <c r="AB115" s="104">
        <v>73.430443012198523</v>
      </c>
      <c r="AC115" s="104">
        <v>44.739321357882211</v>
      </c>
      <c r="AD115" s="104">
        <v>32.197533520175028</v>
      </c>
    </row>
    <row r="116" spans="1:30" ht="14.7" customHeight="1">
      <c r="A116" s="131" t="s">
        <v>66</v>
      </c>
      <c r="B116" s="131"/>
      <c r="C116">
        <v>92.64120714410393</v>
      </c>
      <c r="D116">
        <v>83.065734349045542</v>
      </c>
      <c r="E116">
        <v>65.789678717661118</v>
      </c>
      <c r="F116">
        <v>52.823987171398713</v>
      </c>
      <c r="G116">
        <v>91.337048937924763</v>
      </c>
      <c r="H116">
        <v>83.613461707606916</v>
      </c>
      <c r="I116" s="147">
        <v>56.945935939682904</v>
      </c>
      <c r="J116" s="112">
        <v>48.363718926614339</v>
      </c>
      <c r="K116" s="112">
        <v>93.383341265305546</v>
      </c>
      <c r="L116" s="126">
        <v>85.995090954599405</v>
      </c>
      <c r="M116" s="112">
        <v>70.89109670334993</v>
      </c>
      <c r="N116" s="126">
        <v>59.244225008679649</v>
      </c>
      <c r="O116" s="147">
        <v>80.633597217316961</v>
      </c>
      <c r="P116" s="147">
        <v>72.349972938927507</v>
      </c>
      <c r="Q116" s="147">
        <v>48.176104931438928</v>
      </c>
      <c r="R116" s="112">
        <v>35.829073822367633</v>
      </c>
      <c r="S116" s="112">
        <v>88.018500000000003</v>
      </c>
      <c r="T116" s="112">
        <v>80.027199999999993</v>
      </c>
      <c r="U116" s="147">
        <v>57.932499999999997</v>
      </c>
      <c r="V116" s="149">
        <v>44.171300000000002</v>
      </c>
      <c r="W116" s="149">
        <v>88.26230000000001</v>
      </c>
      <c r="X116" s="126">
        <v>80.181299999999993</v>
      </c>
      <c r="Y116" s="126">
        <v>56.0642</v>
      </c>
      <c r="Z116" s="104">
        <v>46.209099999999999</v>
      </c>
      <c r="AA116" s="104">
        <v>86.243288658425897</v>
      </c>
      <c r="AB116" s="104">
        <v>79.624085455525559</v>
      </c>
      <c r="AC116" s="104">
        <v>55.528024281506902</v>
      </c>
      <c r="AD116" s="104">
        <v>46.052299087448475</v>
      </c>
    </row>
    <row r="117" spans="1:30" ht="14.7" customHeight="1">
      <c r="A117" s="131" t="s">
        <v>67</v>
      </c>
      <c r="B117" s="131"/>
      <c r="C117">
        <v>87.161330558776342</v>
      </c>
      <c r="D117">
        <v>76.250135782237038</v>
      </c>
      <c r="E117">
        <v>49.608095810724151</v>
      </c>
      <c r="F117">
        <v>35.83730907077242</v>
      </c>
      <c r="G117">
        <v>88.863024719339734</v>
      </c>
      <c r="H117">
        <v>81.889650524377828</v>
      </c>
      <c r="I117" s="147">
        <v>56.941636256041036</v>
      </c>
      <c r="J117" s="112">
        <v>43.993695959496343</v>
      </c>
      <c r="K117" s="112">
        <v>84.297670489748995</v>
      </c>
      <c r="L117" s="126">
        <v>78.32379500457759</v>
      </c>
      <c r="M117" s="112">
        <v>59.137234973603228</v>
      </c>
      <c r="N117" s="126">
        <v>47.51075834755008</v>
      </c>
      <c r="O117" s="147">
        <v>80.37050213121006</v>
      </c>
      <c r="P117" s="147">
        <v>67.401485946872725</v>
      </c>
      <c r="Q117" s="147">
        <v>36.927101456238645</v>
      </c>
      <c r="R117" s="112">
        <v>25.762500124576043</v>
      </c>
      <c r="S117" s="112">
        <v>84.182199999999995</v>
      </c>
      <c r="T117" s="112">
        <v>74.209000000000003</v>
      </c>
      <c r="U117" s="146">
        <v>47.118500000000004</v>
      </c>
      <c r="V117" s="113">
        <v>31.1892</v>
      </c>
      <c r="W117" s="113">
        <v>78.559899999999999</v>
      </c>
      <c r="X117" s="126">
        <v>68.881599999999992</v>
      </c>
      <c r="Y117" s="126">
        <v>43.020099999999999</v>
      </c>
      <c r="Z117" s="104">
        <v>29.360000000000003</v>
      </c>
      <c r="AA117" s="104">
        <v>81.456419870507062</v>
      </c>
      <c r="AB117" s="104">
        <v>68.359829375131369</v>
      </c>
      <c r="AC117" s="104">
        <v>40.723998727274534</v>
      </c>
      <c r="AD117" s="104">
        <v>28.930909617942042</v>
      </c>
    </row>
    <row r="118" spans="1:30" ht="14.7" customHeight="1">
      <c r="A118" s="131" t="s">
        <v>68</v>
      </c>
      <c r="B118" s="131"/>
      <c r="C118">
        <v>78.795359141447435</v>
      </c>
      <c r="D118">
        <v>70.229068280033189</v>
      </c>
      <c r="E118">
        <v>50.464466699433544</v>
      </c>
      <c r="F118">
        <v>39.513893066398623</v>
      </c>
      <c r="G118">
        <v>82.026041497284467</v>
      </c>
      <c r="H118">
        <v>74.099511346695365</v>
      </c>
      <c r="I118" s="147">
        <v>51.07483021368229</v>
      </c>
      <c r="J118" s="112">
        <v>42.270788471094903</v>
      </c>
      <c r="K118" s="112">
        <v>80.527838299804245</v>
      </c>
      <c r="L118" s="126">
        <v>71.783151957996751</v>
      </c>
      <c r="M118" s="112">
        <v>55.501047744428256</v>
      </c>
      <c r="N118" s="126">
        <v>45.371618200372353</v>
      </c>
      <c r="O118" s="147">
        <v>72.083861476596354</v>
      </c>
      <c r="P118" s="147">
        <v>63.735215879082659</v>
      </c>
      <c r="Q118" s="147">
        <v>37.932386863450141</v>
      </c>
      <c r="R118" s="112">
        <v>28.276122958801626</v>
      </c>
      <c r="S118" s="112">
        <v>70.450999999999993</v>
      </c>
      <c r="T118" s="112">
        <v>57.484999999999999</v>
      </c>
      <c r="U118" s="146">
        <v>35.238199999999999</v>
      </c>
      <c r="V118" s="113">
        <v>26.040600000000001</v>
      </c>
      <c r="W118" s="113">
        <v>70.484300000000005</v>
      </c>
      <c r="X118" s="126">
        <v>60.354900000000001</v>
      </c>
      <c r="Y118" s="126">
        <v>33.7699</v>
      </c>
      <c r="Z118" s="104">
        <v>22.222000000000001</v>
      </c>
      <c r="AA118" s="104">
        <v>74.34559789460593</v>
      </c>
      <c r="AB118" s="104">
        <v>63.014785886563253</v>
      </c>
      <c r="AC118" s="104">
        <v>44.029851720374111</v>
      </c>
      <c r="AD118" s="104">
        <v>33.675370040295412</v>
      </c>
    </row>
    <row r="119" spans="1:30" ht="14.7" customHeight="1">
      <c r="A119" s="131" t="s">
        <v>897</v>
      </c>
      <c r="B119" s="131"/>
      <c r="C119">
        <v>86.836349617786652</v>
      </c>
      <c r="D119">
        <v>74.381240349997796</v>
      </c>
      <c r="E119">
        <v>51.005366901114556</v>
      </c>
      <c r="F119">
        <v>38.944587067366413</v>
      </c>
      <c r="G119">
        <v>84.038343279404586</v>
      </c>
      <c r="H119">
        <v>77.782732971304583</v>
      </c>
      <c r="I119" s="147">
        <v>57.313450792162591</v>
      </c>
      <c r="J119" s="112">
        <v>44.182718036581761</v>
      </c>
      <c r="K119" s="112">
        <v>84.10238353842665</v>
      </c>
      <c r="L119" s="126">
        <v>78.228121242545811</v>
      </c>
      <c r="M119" s="112">
        <v>59.12760263796055</v>
      </c>
      <c r="N119" s="126">
        <v>49.498803687315032</v>
      </c>
      <c r="O119" s="147">
        <v>78.446430025616067</v>
      </c>
      <c r="P119" s="147">
        <v>67.061466702989435</v>
      </c>
      <c r="Q119" s="147">
        <v>45.12962320466648</v>
      </c>
      <c r="R119" s="112">
        <v>32.174852623418346</v>
      </c>
      <c r="S119" s="112">
        <v>83.099400000000003</v>
      </c>
      <c r="T119" s="112">
        <v>73.631999999999991</v>
      </c>
      <c r="U119" s="146">
        <v>50.463700000000003</v>
      </c>
      <c r="V119" s="113">
        <v>34.711599999999997</v>
      </c>
      <c r="W119" s="113">
        <v>82.763800000000003</v>
      </c>
      <c r="X119" s="126">
        <v>74.545700000000011</v>
      </c>
      <c r="Y119" s="126">
        <v>52.313699999999997</v>
      </c>
      <c r="Z119" s="104">
        <v>39.817300000000003</v>
      </c>
      <c r="AA119" s="104">
        <v>78.742156783431966</v>
      </c>
      <c r="AB119" s="104">
        <v>69.98698071443809</v>
      </c>
      <c r="AC119" s="104">
        <v>42.003749341087271</v>
      </c>
      <c r="AD119" s="104">
        <v>32.653800303808552</v>
      </c>
    </row>
    <row r="120" spans="1:30" ht="14.7" customHeight="1">
      <c r="A120" s="131" t="s">
        <v>69</v>
      </c>
      <c r="B120" s="131"/>
      <c r="C120">
        <v>85.892794811869706</v>
      </c>
      <c r="D120">
        <v>73.214283271099092</v>
      </c>
      <c r="E120">
        <v>47.988292905112331</v>
      </c>
      <c r="F120">
        <v>40.57176550466437</v>
      </c>
      <c r="G120">
        <v>86.015014222816632</v>
      </c>
      <c r="H120">
        <v>79.46883221810198</v>
      </c>
      <c r="I120" s="146">
        <v>53.825278117296108</v>
      </c>
      <c r="J120" s="144">
        <v>43.033084046321804</v>
      </c>
      <c r="K120" s="144">
        <v>82.485780701320536</v>
      </c>
      <c r="L120" s="126">
        <v>76.348708283626237</v>
      </c>
      <c r="M120" s="144">
        <v>60.978235807159834</v>
      </c>
      <c r="N120" s="126">
        <v>50.56831510461047</v>
      </c>
      <c r="O120" s="146">
        <v>73.241239863585662</v>
      </c>
      <c r="P120" s="146">
        <v>62.76585800865719</v>
      </c>
      <c r="Q120" s="146">
        <v>37.680784216697518</v>
      </c>
      <c r="R120" s="144">
        <v>30.249676368074336</v>
      </c>
      <c r="S120" s="144">
        <v>75.857900000000001</v>
      </c>
      <c r="T120" s="144">
        <v>66.623200000000011</v>
      </c>
      <c r="U120" s="146">
        <v>43.724200000000003</v>
      </c>
      <c r="V120" s="113">
        <v>34.7776</v>
      </c>
      <c r="W120" s="113">
        <v>75.3292</v>
      </c>
      <c r="X120" s="126">
        <v>66.001800000000003</v>
      </c>
      <c r="Y120" s="126">
        <v>41.796100000000003</v>
      </c>
      <c r="Z120" s="104">
        <v>32.595600000000005</v>
      </c>
      <c r="AA120" s="104" t="s">
        <v>911</v>
      </c>
      <c r="AB120" s="104" t="s">
        <v>911</v>
      </c>
      <c r="AC120" s="104" t="s">
        <v>911</v>
      </c>
      <c r="AD120" s="104" t="s">
        <v>911</v>
      </c>
    </row>
    <row r="121" spans="1:30" ht="14.7" customHeight="1">
      <c r="A121" s="131" t="s">
        <v>70</v>
      </c>
      <c r="B121" s="131"/>
      <c r="C121">
        <v>82.071943034459849</v>
      </c>
      <c r="D121">
        <v>74.33170868651078</v>
      </c>
      <c r="E121">
        <v>49.641500511310653</v>
      </c>
      <c r="F121">
        <v>41.745720941290301</v>
      </c>
      <c r="G121">
        <v>88.09283345668058</v>
      </c>
      <c r="H121">
        <v>81.144743606419297</v>
      </c>
      <c r="I121" s="147">
        <v>60.441454889305945</v>
      </c>
      <c r="J121" s="112">
        <v>47.623737232968523</v>
      </c>
      <c r="K121" s="112">
        <v>88.703879429534268</v>
      </c>
      <c r="L121" s="126">
        <v>82.782159949723635</v>
      </c>
      <c r="M121" s="112">
        <v>61.301505067921433</v>
      </c>
      <c r="N121" s="126">
        <v>47.991967062539281</v>
      </c>
      <c r="O121" s="147">
        <v>72.038741006867369</v>
      </c>
      <c r="P121" s="147">
        <v>63.02938005567048</v>
      </c>
      <c r="Q121" s="147">
        <v>36.691565698637334</v>
      </c>
      <c r="R121" s="112">
        <v>26.029685941599361</v>
      </c>
      <c r="S121" s="112">
        <v>76.261600000000001</v>
      </c>
      <c r="T121" s="112">
        <v>68.840900000000005</v>
      </c>
      <c r="U121" s="146">
        <v>43.735099999999996</v>
      </c>
      <c r="V121" s="113">
        <v>35.918199999999999</v>
      </c>
      <c r="W121" s="113">
        <v>81.001400000000004</v>
      </c>
      <c r="X121" s="126">
        <v>72.676900000000003</v>
      </c>
      <c r="Y121" s="126">
        <v>46.131599999999999</v>
      </c>
      <c r="Z121" s="104">
        <v>35.707899999999995</v>
      </c>
      <c r="AA121" s="104">
        <v>76.805453253673065</v>
      </c>
      <c r="AB121" s="104">
        <v>70.586910535583002</v>
      </c>
      <c r="AC121" s="104">
        <v>40.499435282526015</v>
      </c>
      <c r="AD121" s="104">
        <v>31.169638952220101</v>
      </c>
    </row>
    <row r="122" spans="1:30" ht="14.7" customHeight="1">
      <c r="A122" s="131" t="s">
        <v>71</v>
      </c>
      <c r="B122" s="131"/>
      <c r="C122">
        <v>85.283773081217532</v>
      </c>
      <c r="D122">
        <v>76.608484504593889</v>
      </c>
      <c r="E122">
        <v>51.393516341974333</v>
      </c>
      <c r="F122">
        <v>39.49110597146985</v>
      </c>
      <c r="G122">
        <v>87.731807637020893</v>
      </c>
      <c r="H122">
        <v>80.746215758434957</v>
      </c>
      <c r="I122" s="147">
        <v>54.466703207487299</v>
      </c>
      <c r="J122" s="112">
        <v>43.817251937968528</v>
      </c>
      <c r="K122" s="112">
        <v>85.337532059851654</v>
      </c>
      <c r="L122" s="126">
        <v>78.087609551949782</v>
      </c>
      <c r="M122" s="112">
        <v>61.186251817947209</v>
      </c>
      <c r="N122" s="126">
        <v>45.662232909295689</v>
      </c>
      <c r="O122" s="147">
        <v>80.86809501867846</v>
      </c>
      <c r="P122" s="147">
        <v>74.579104070054626</v>
      </c>
      <c r="Q122" s="147">
        <v>40.04390932795603</v>
      </c>
      <c r="R122" s="112">
        <v>29.593247920615624</v>
      </c>
      <c r="S122" s="112">
        <v>78.077700000000007</v>
      </c>
      <c r="T122" s="112">
        <v>70.045599999999993</v>
      </c>
      <c r="U122" s="146">
        <v>43.387</v>
      </c>
      <c r="V122" s="113">
        <v>31.100100000000001</v>
      </c>
      <c r="W122" s="113">
        <v>81.230999999999995</v>
      </c>
      <c r="X122" s="126">
        <v>72.706199999999995</v>
      </c>
      <c r="Y122" s="126">
        <v>42.128</v>
      </c>
      <c r="Z122" s="104">
        <v>33.518000000000001</v>
      </c>
      <c r="AA122" s="104">
        <v>78.660073450737343</v>
      </c>
      <c r="AB122" s="104">
        <v>71.334403033605952</v>
      </c>
      <c r="AC122" s="104">
        <v>44.781483430131487</v>
      </c>
      <c r="AD122" s="104">
        <v>32.51573024720134</v>
      </c>
    </row>
    <row r="123" spans="1:30" ht="14.7" customHeight="1">
      <c r="A123" s="131" t="s">
        <v>231</v>
      </c>
      <c r="B123" s="131"/>
      <c r="C123">
        <v>84.32951792941914</v>
      </c>
      <c r="D123">
        <v>72.681857489958261</v>
      </c>
      <c r="E123">
        <v>50.746879398927405</v>
      </c>
      <c r="F123">
        <v>41.475309412415164</v>
      </c>
      <c r="G123">
        <v>85.855231182969888</v>
      </c>
      <c r="H123">
        <v>79.31945278967757</v>
      </c>
      <c r="I123" s="147">
        <v>56.815212955538655</v>
      </c>
      <c r="J123" s="112">
        <v>47.166027188256841</v>
      </c>
      <c r="K123" s="112">
        <v>85.141050535813008</v>
      </c>
      <c r="L123" s="126">
        <v>79.55454060145918</v>
      </c>
      <c r="M123" s="112">
        <v>58.695652173913047</v>
      </c>
      <c r="N123" s="126">
        <v>48.13432983371888</v>
      </c>
      <c r="O123" s="147">
        <v>75.505794934473201</v>
      </c>
      <c r="P123" s="147">
        <v>67.440236081895719</v>
      </c>
      <c r="Q123" s="147">
        <v>32.306667836061933</v>
      </c>
      <c r="R123" s="112">
        <v>23.721008040085092</v>
      </c>
      <c r="S123" s="112">
        <v>77.233199999999997</v>
      </c>
      <c r="T123" s="112">
        <v>66.182200000000009</v>
      </c>
      <c r="U123" s="146">
        <v>41.661700000000003</v>
      </c>
      <c r="V123" s="113">
        <v>32.822499999999998</v>
      </c>
      <c r="W123" s="113">
        <v>82.759700000000009</v>
      </c>
      <c r="X123" s="126">
        <v>75.469799999999992</v>
      </c>
      <c r="Y123" s="126">
        <v>47.365499999999997</v>
      </c>
      <c r="Z123" s="104">
        <v>37.375999999999998</v>
      </c>
      <c r="AA123" s="104">
        <v>73.804820666151898</v>
      </c>
      <c r="AB123" s="104">
        <v>67.02538086518777</v>
      </c>
      <c r="AC123" s="104">
        <v>38.810663824444219</v>
      </c>
      <c r="AD123" s="104">
        <v>26.785119391076488</v>
      </c>
    </row>
    <row r="124" spans="1:30" ht="14.7" customHeight="1">
      <c r="A124" s="131" t="s">
        <v>72</v>
      </c>
      <c r="B124" s="131"/>
      <c r="C124">
        <v>85.140426784115874</v>
      </c>
      <c r="D124">
        <v>76.193382994714142</v>
      </c>
      <c r="E124">
        <v>52.012963901562259</v>
      </c>
      <c r="F124">
        <v>43.735504340517281</v>
      </c>
      <c r="G124">
        <v>88.521384530461006</v>
      </c>
      <c r="H124">
        <v>78.241259450280921</v>
      </c>
      <c r="I124" s="147">
        <v>58.039011660893927</v>
      </c>
      <c r="J124" s="112">
        <v>47.052003940902843</v>
      </c>
      <c r="K124" s="112">
        <v>90.200334851352608</v>
      </c>
      <c r="L124" s="126">
        <v>85.118871263502655</v>
      </c>
      <c r="M124" s="112">
        <v>63.122482643754566</v>
      </c>
      <c r="N124" s="126">
        <v>48.981646821424853</v>
      </c>
      <c r="O124" s="147">
        <v>77.184888537940068</v>
      </c>
      <c r="P124" s="147">
        <v>67.828622596237523</v>
      </c>
      <c r="Q124" s="147">
        <v>40.569347368546197</v>
      </c>
      <c r="R124" s="112">
        <v>30.577701082023822</v>
      </c>
      <c r="S124" s="112">
        <v>78.291399999999996</v>
      </c>
      <c r="T124" s="112">
        <v>69.478700000000003</v>
      </c>
      <c r="U124" s="146">
        <v>44.180799999999998</v>
      </c>
      <c r="V124" s="113">
        <v>31.9498</v>
      </c>
      <c r="W124" s="113">
        <v>79.822199999999995</v>
      </c>
      <c r="X124" s="126">
        <v>68.69</v>
      </c>
      <c r="Y124" s="126">
        <v>42.664999999999999</v>
      </c>
      <c r="Z124" s="104">
        <v>31.552599999999998</v>
      </c>
      <c r="AA124" s="104">
        <v>83.136481738788177</v>
      </c>
      <c r="AB124" s="104">
        <v>72.013802591781683</v>
      </c>
      <c r="AC124" s="104">
        <v>42.460758034585361</v>
      </c>
      <c r="AD124" s="104">
        <v>28.995143057922451</v>
      </c>
    </row>
    <row r="125" spans="1:30" ht="14.7" customHeight="1">
      <c r="A125" s="131" t="s">
        <v>73</v>
      </c>
      <c r="B125" s="131"/>
      <c r="C125">
        <v>83.387831710264777</v>
      </c>
      <c r="D125">
        <v>74.278360952172278</v>
      </c>
      <c r="E125">
        <v>47.587562663686924</v>
      </c>
      <c r="F125">
        <v>39.148045799252067</v>
      </c>
      <c r="G125">
        <v>86.737857885044704</v>
      </c>
      <c r="H125">
        <v>78.495913732511127</v>
      </c>
      <c r="I125" s="147">
        <v>53.152145083217292</v>
      </c>
      <c r="J125" s="112">
        <v>44.804099529208941</v>
      </c>
      <c r="K125" s="112">
        <v>83.950880626223096</v>
      </c>
      <c r="L125" s="126">
        <v>76.676449600852337</v>
      </c>
      <c r="M125" s="112">
        <v>56.028102510472586</v>
      </c>
      <c r="N125" s="126">
        <v>45.056014342187773</v>
      </c>
      <c r="O125" s="147">
        <v>72.238781632560261</v>
      </c>
      <c r="P125" s="147">
        <v>61.500016989871831</v>
      </c>
      <c r="Q125" s="147">
        <v>33.328318737486207</v>
      </c>
      <c r="R125" s="112">
        <v>23.700307610759317</v>
      </c>
      <c r="S125" s="112">
        <v>78.605400000000003</v>
      </c>
      <c r="T125" s="112">
        <v>64.668700000000001</v>
      </c>
      <c r="U125" s="146">
        <v>36.842700000000001</v>
      </c>
      <c r="V125" s="113">
        <v>26.1389</v>
      </c>
      <c r="W125" s="113">
        <v>76.263800000000003</v>
      </c>
      <c r="X125" s="126">
        <v>68.589100000000002</v>
      </c>
      <c r="Y125" s="126">
        <v>44.611600000000003</v>
      </c>
      <c r="Z125" s="104">
        <v>32.224499999999999</v>
      </c>
      <c r="AA125" s="104">
        <v>79.622714647428467</v>
      </c>
      <c r="AB125" s="104">
        <v>71.104278051036772</v>
      </c>
      <c r="AC125" s="104">
        <v>42.559910782457358</v>
      </c>
      <c r="AD125" s="104">
        <v>33.392716753055524</v>
      </c>
    </row>
    <row r="126" spans="1:30" ht="14.7" customHeight="1">
      <c r="A126" s="131" t="s">
        <v>312</v>
      </c>
      <c r="B126" s="131"/>
      <c r="C126">
        <v>85.615718427942511</v>
      </c>
      <c r="D126">
        <v>76.632898114588798</v>
      </c>
      <c r="E126">
        <v>52.374417532930629</v>
      </c>
      <c r="F126">
        <v>42.321643929381878</v>
      </c>
      <c r="G126">
        <v>88.548844071433336</v>
      </c>
      <c r="H126">
        <v>81.112646945369278</v>
      </c>
      <c r="I126" s="147">
        <v>58.98760556675704</v>
      </c>
      <c r="J126" s="112">
        <v>47.808780199547499</v>
      </c>
      <c r="K126" s="112">
        <v>88.575770519813375</v>
      </c>
      <c r="L126" s="126">
        <v>82.61264868402499</v>
      </c>
      <c r="M126" s="112">
        <v>62.57036801540913</v>
      </c>
      <c r="N126" s="126">
        <v>49.790159651591864</v>
      </c>
      <c r="O126" s="147">
        <v>78.824764467880243</v>
      </c>
      <c r="P126" s="147">
        <v>69.596180012643842</v>
      </c>
      <c r="Q126" s="147">
        <v>41.041450093331946</v>
      </c>
      <c r="R126" s="112">
        <v>30.531648292164011</v>
      </c>
      <c r="S126" s="112">
        <v>80.103000000000009</v>
      </c>
      <c r="T126" s="112">
        <v>69.803899999999999</v>
      </c>
      <c r="U126" s="146">
        <v>43.532800000000002</v>
      </c>
      <c r="V126" s="113">
        <v>32.606999999999999</v>
      </c>
      <c r="W126" s="113">
        <v>81.345799999999997</v>
      </c>
      <c r="X126" s="126">
        <v>73.3553</v>
      </c>
      <c r="Y126" s="126">
        <v>45.405099999999997</v>
      </c>
      <c r="Z126" s="104">
        <v>34.754100000000001</v>
      </c>
      <c r="AA126" s="104">
        <v>82.723919519421813</v>
      </c>
      <c r="AB126" s="104">
        <v>73.925650247577622</v>
      </c>
      <c r="AC126" s="104">
        <v>45.243988926952625</v>
      </c>
      <c r="AD126" s="104">
        <v>34.243980365480517</v>
      </c>
    </row>
    <row r="127" spans="1:30" ht="14.7" customHeight="1">
      <c r="A127" s="131" t="s">
        <v>74</v>
      </c>
      <c r="B127" s="131"/>
      <c r="C127">
        <v>85.1153909325092</v>
      </c>
      <c r="D127">
        <v>75.913564492679413</v>
      </c>
      <c r="E127">
        <v>49.832078710187758</v>
      </c>
      <c r="F127">
        <v>37.816043001891728</v>
      </c>
      <c r="G127">
        <v>80.121857713441145</v>
      </c>
      <c r="H127">
        <v>72.519530100320381</v>
      </c>
      <c r="I127" s="147">
        <v>50.779101741521536</v>
      </c>
      <c r="J127" s="112">
        <v>39.922762552661901</v>
      </c>
      <c r="K127" s="112">
        <v>85.786363125712171</v>
      </c>
      <c r="L127" s="126">
        <v>79.559352572849789</v>
      </c>
      <c r="M127" s="112">
        <v>63.246978530944766</v>
      </c>
      <c r="N127" s="126">
        <v>54.557471463056032</v>
      </c>
      <c r="O127" s="147">
        <v>80.527383391418866</v>
      </c>
      <c r="P127" s="147">
        <v>71.320970609530434</v>
      </c>
      <c r="Q127" s="147">
        <v>48.069598769099706</v>
      </c>
      <c r="R127" s="112">
        <v>37.29538264899098</v>
      </c>
      <c r="S127" s="112">
        <v>81.889800000000008</v>
      </c>
      <c r="T127" s="112">
        <v>74.6173</v>
      </c>
      <c r="U127" s="146">
        <v>46.167700000000004</v>
      </c>
      <c r="V127" s="113">
        <v>33.9343</v>
      </c>
      <c r="W127" s="113">
        <v>81.3125</v>
      </c>
      <c r="X127" s="126">
        <v>74.2346</v>
      </c>
      <c r="Y127" s="126">
        <v>50.913499999999999</v>
      </c>
      <c r="Z127" s="104">
        <v>39.311500000000002</v>
      </c>
      <c r="AA127" s="104">
        <v>74.018597968929896</v>
      </c>
      <c r="AB127" s="104">
        <v>65.797905836021812</v>
      </c>
      <c r="AC127" s="104">
        <v>42.487824047017355</v>
      </c>
      <c r="AD127" s="104">
        <v>31.428192601288281</v>
      </c>
    </row>
    <row r="128" spans="1:30" ht="14.7" customHeight="1">
      <c r="A128" s="131" t="s">
        <v>75</v>
      </c>
      <c r="B128" s="131"/>
      <c r="C128">
        <v>85.946453148208491</v>
      </c>
      <c r="D128">
        <v>73.76922627721612</v>
      </c>
      <c r="E128">
        <v>54.635572165331666</v>
      </c>
      <c r="F128">
        <v>42.523683389147962</v>
      </c>
      <c r="G128">
        <v>82.697901591155201</v>
      </c>
      <c r="H128">
        <v>74.216666701469862</v>
      </c>
      <c r="I128" s="147">
        <v>59.216551850869614</v>
      </c>
      <c r="J128" s="112">
        <v>45.503599000173317</v>
      </c>
      <c r="K128" s="112">
        <v>84.155018347852888</v>
      </c>
      <c r="L128" s="126">
        <v>77.83368766814111</v>
      </c>
      <c r="M128" s="112">
        <v>58.858403780466915</v>
      </c>
      <c r="N128" s="126">
        <v>45.208419398067441</v>
      </c>
      <c r="O128" s="147">
        <v>77.185430827657825</v>
      </c>
      <c r="P128" s="147">
        <v>65.972706285103598</v>
      </c>
      <c r="Q128" s="147">
        <v>40.336166230666329</v>
      </c>
      <c r="R128" s="112">
        <v>32.805353391115602</v>
      </c>
      <c r="S128" s="112">
        <v>77.283999999999992</v>
      </c>
      <c r="T128" s="112">
        <v>66.225800000000007</v>
      </c>
      <c r="U128" s="147">
        <v>39.2712</v>
      </c>
      <c r="V128" s="149">
        <v>29.197400000000002</v>
      </c>
      <c r="W128" s="149">
        <v>72.899599999999992</v>
      </c>
      <c r="X128" s="126">
        <v>61.590299999999999</v>
      </c>
      <c r="Y128" s="126">
        <v>38.479999999999997</v>
      </c>
      <c r="Z128" s="104">
        <v>27.141999999999999</v>
      </c>
      <c r="AA128" s="104">
        <v>74.189896490200681</v>
      </c>
      <c r="AB128" s="104">
        <v>65.553067354301845</v>
      </c>
      <c r="AC128" s="104">
        <v>36.43194443489471</v>
      </c>
      <c r="AD128" s="104">
        <v>22.778881291695381</v>
      </c>
    </row>
    <row r="129" spans="1:30" ht="14.7" customHeight="1">
      <c r="A129" s="131" t="s">
        <v>76</v>
      </c>
      <c r="B129" s="131"/>
      <c r="C129">
        <v>83.599923603509794</v>
      </c>
      <c r="D129">
        <v>73.669058525525628</v>
      </c>
      <c r="E129">
        <v>49.442467622984417</v>
      </c>
      <c r="F129">
        <v>38.256246300162807</v>
      </c>
      <c r="G129">
        <v>84.95028935434668</v>
      </c>
      <c r="H129">
        <v>78.792111887877553</v>
      </c>
      <c r="I129" s="147">
        <v>58.859046908967528</v>
      </c>
      <c r="J129" s="112">
        <v>46.693041354784938</v>
      </c>
      <c r="K129" s="112">
        <v>82.064997536758383</v>
      </c>
      <c r="L129" s="126">
        <v>77.255923969236434</v>
      </c>
      <c r="M129" s="112">
        <v>60.378656511965289</v>
      </c>
      <c r="N129" s="126">
        <v>46.989909372527677</v>
      </c>
      <c r="O129" s="147">
        <v>73.724098003101787</v>
      </c>
      <c r="P129" s="147">
        <v>64.242340782690846</v>
      </c>
      <c r="Q129" s="147">
        <v>40.475499466063205</v>
      </c>
      <c r="R129" s="112">
        <v>31.114424545694302</v>
      </c>
      <c r="S129" s="112">
        <v>72.9328</v>
      </c>
      <c r="T129" s="112">
        <v>62.965299999999999</v>
      </c>
      <c r="U129" s="146">
        <v>38.191299999999998</v>
      </c>
      <c r="V129" s="113">
        <v>29.232599999999998</v>
      </c>
      <c r="W129" s="113">
        <v>77.423200000000008</v>
      </c>
      <c r="X129" s="126">
        <v>68.814899999999994</v>
      </c>
      <c r="Y129" s="126">
        <v>41.948800000000006</v>
      </c>
      <c r="Z129" s="104">
        <v>30.271199999999997</v>
      </c>
      <c r="AA129" s="104">
        <v>76.235813453967452</v>
      </c>
      <c r="AB129" s="104">
        <v>68.324048365672482</v>
      </c>
      <c r="AC129" s="104">
        <v>45.214183268965265</v>
      </c>
      <c r="AD129" s="104">
        <v>35.695504461790478</v>
      </c>
    </row>
    <row r="130" spans="1:30" ht="14.7" customHeight="1">
      <c r="A130" s="131" t="s">
        <v>204</v>
      </c>
      <c r="B130" s="131"/>
      <c r="C130">
        <v>87.012488124681937</v>
      </c>
      <c r="D130">
        <v>76.547117174207528</v>
      </c>
      <c r="E130">
        <v>56.27230511520235</v>
      </c>
      <c r="F130">
        <v>49.214705862393771</v>
      </c>
      <c r="G130">
        <v>88.832080241310109</v>
      </c>
      <c r="H130">
        <v>82.034896450400325</v>
      </c>
      <c r="I130" s="147">
        <v>60.884627268504588</v>
      </c>
      <c r="J130" s="112">
        <v>50.773987472964151</v>
      </c>
      <c r="K130" s="112">
        <v>86.415444226471081</v>
      </c>
      <c r="L130" s="126">
        <v>80.722562920080449</v>
      </c>
      <c r="M130" s="112">
        <v>65.846440661335436</v>
      </c>
      <c r="N130" s="126">
        <v>57.152725310307609</v>
      </c>
      <c r="O130" s="147">
        <v>79.468050004838759</v>
      </c>
      <c r="P130" s="147">
        <v>72.739196422444977</v>
      </c>
      <c r="Q130" s="147">
        <v>49.046602265629701</v>
      </c>
      <c r="R130" s="112">
        <v>40.689037517956912</v>
      </c>
      <c r="S130" s="112">
        <v>78.118899999999996</v>
      </c>
      <c r="T130" s="112">
        <v>71.328699999999998</v>
      </c>
      <c r="U130" s="146">
        <v>46.837299999999999</v>
      </c>
      <c r="V130" s="113">
        <v>36.253800000000005</v>
      </c>
      <c r="W130" s="113">
        <v>80.404799999999994</v>
      </c>
      <c r="X130" s="126">
        <v>72.188800000000001</v>
      </c>
      <c r="Y130" s="126">
        <v>49.203000000000003</v>
      </c>
      <c r="Z130" s="104">
        <v>36.900100000000002</v>
      </c>
      <c r="AA130" s="104">
        <v>79.847074731240838</v>
      </c>
      <c r="AB130" s="104">
        <v>74.614688900027502</v>
      </c>
      <c r="AC130" s="104">
        <v>47.307067862975032</v>
      </c>
      <c r="AD130" s="104">
        <v>37.679746556524655</v>
      </c>
    </row>
    <row r="131" spans="1:30" ht="14.7" customHeight="1">
      <c r="A131" s="131" t="s">
        <v>77</v>
      </c>
      <c r="B131" s="131"/>
      <c r="C131">
        <v>86.2979769745358</v>
      </c>
      <c r="D131">
        <v>76.879674039479966</v>
      </c>
      <c r="E131">
        <v>45.378282726244464</v>
      </c>
      <c r="F131">
        <v>33.789884603637546</v>
      </c>
      <c r="G131">
        <v>89.779030093303803</v>
      </c>
      <c r="H131">
        <v>80.779137619416474</v>
      </c>
      <c r="I131" s="147">
        <v>56.658094500387293</v>
      </c>
      <c r="J131" s="112">
        <v>48.401755744900591</v>
      </c>
      <c r="K131" s="112">
        <v>93.195366770823611</v>
      </c>
      <c r="L131" s="126">
        <v>87.552601949965265</v>
      </c>
      <c r="M131" s="112">
        <v>66.148698825389474</v>
      </c>
      <c r="N131" s="126">
        <v>56.558774444435578</v>
      </c>
      <c r="O131" s="147">
        <v>84.08301247963422</v>
      </c>
      <c r="P131" s="147">
        <v>74.860040120450662</v>
      </c>
      <c r="Q131" s="147">
        <v>49.224806915819734</v>
      </c>
      <c r="R131" s="112">
        <v>37.552800661137759</v>
      </c>
      <c r="S131" s="112">
        <v>82.872299999999996</v>
      </c>
      <c r="T131" s="112">
        <v>75.108199999999997</v>
      </c>
      <c r="U131" s="146">
        <v>44.4679</v>
      </c>
      <c r="V131" s="113">
        <v>31.639099999999999</v>
      </c>
      <c r="W131" s="113">
        <v>83.055400000000006</v>
      </c>
      <c r="X131" s="126">
        <v>76.458200000000005</v>
      </c>
      <c r="Y131" s="126">
        <v>48.4739</v>
      </c>
      <c r="Z131" s="104">
        <v>34.2864</v>
      </c>
      <c r="AA131" s="104">
        <v>80.952621005839859</v>
      </c>
      <c r="AB131" s="104">
        <v>70.485686296957766</v>
      </c>
      <c r="AC131" s="104">
        <v>43.406243278796993</v>
      </c>
      <c r="AD131" s="104">
        <v>31.370355074136175</v>
      </c>
    </row>
    <row r="132" spans="1:30" ht="14.7" customHeight="1">
      <c r="A132" s="131" t="s">
        <v>205</v>
      </c>
      <c r="B132" s="131"/>
      <c r="C132">
        <v>88.690464268009748</v>
      </c>
      <c r="D132">
        <v>82.800198761980639</v>
      </c>
      <c r="E132">
        <v>62.725628541706712</v>
      </c>
      <c r="F132">
        <v>54.692092255586324</v>
      </c>
      <c r="G132">
        <v>92.152057310354067</v>
      </c>
      <c r="H132">
        <v>85.968679373751556</v>
      </c>
      <c r="I132" s="147">
        <v>67.06227620067186</v>
      </c>
      <c r="J132" s="112">
        <v>56.447061332808325</v>
      </c>
      <c r="K132" s="112">
        <v>91.44331203829266</v>
      </c>
      <c r="L132" s="126">
        <v>88.906425494926211</v>
      </c>
      <c r="M132" s="112">
        <v>73.880983308753883</v>
      </c>
      <c r="N132" s="126">
        <v>61.956655500102556</v>
      </c>
      <c r="O132" s="147">
        <v>84.982756180738591</v>
      </c>
      <c r="P132" s="147">
        <v>78.622292327479997</v>
      </c>
      <c r="Q132" s="147">
        <v>53.114518666840041</v>
      </c>
      <c r="R132" s="112">
        <v>40.749483736414092</v>
      </c>
      <c r="S132" s="112">
        <v>84.78</v>
      </c>
      <c r="T132" s="112">
        <v>77.760199999999998</v>
      </c>
      <c r="U132" s="146">
        <v>54.465799999999994</v>
      </c>
      <c r="V132" s="113">
        <v>41.588500000000003</v>
      </c>
      <c r="W132" s="113">
        <v>83.775700000000001</v>
      </c>
      <c r="X132" s="126">
        <v>77.482799999999997</v>
      </c>
      <c r="Y132" s="126">
        <v>49.675000000000004</v>
      </c>
      <c r="Z132" s="104">
        <v>35.389600000000002</v>
      </c>
      <c r="AA132" s="104">
        <v>81.364370207667918</v>
      </c>
      <c r="AB132" s="104">
        <v>73.227421678095311</v>
      </c>
      <c r="AC132" s="104">
        <v>48.718430654326497</v>
      </c>
      <c r="AD132" s="104">
        <v>34.725351042636923</v>
      </c>
    </row>
    <row r="133" spans="1:30" ht="14.7" customHeight="1">
      <c r="A133" s="131" t="s">
        <v>268</v>
      </c>
      <c r="B133" s="131"/>
      <c r="C133">
        <v>78.889251397642283</v>
      </c>
      <c r="D133">
        <v>68.878890655301376</v>
      </c>
      <c r="E133">
        <v>49.01336094029309</v>
      </c>
      <c r="F133">
        <v>37.753000906645461</v>
      </c>
      <c r="G133">
        <v>84.199218118962236</v>
      </c>
      <c r="H133">
        <v>77.885863042138368</v>
      </c>
      <c r="I133" s="147">
        <v>57.344819476432995</v>
      </c>
      <c r="J133" s="112">
        <v>43.009577642975316</v>
      </c>
      <c r="K133" s="112">
        <v>80.879388702991562</v>
      </c>
      <c r="L133" s="126">
        <v>74.108680762418885</v>
      </c>
      <c r="M133" s="112">
        <v>52.259859528817664</v>
      </c>
      <c r="N133" s="126">
        <v>41.873057173311288</v>
      </c>
      <c r="O133" s="147">
        <v>76.390781153015169</v>
      </c>
      <c r="P133" s="147">
        <v>64.530172246278056</v>
      </c>
      <c r="Q133" s="147">
        <v>40.758351098280862</v>
      </c>
      <c r="R133" s="112">
        <v>30.632315645608248</v>
      </c>
      <c r="S133" s="112">
        <v>72.375100000000003</v>
      </c>
      <c r="T133" s="112">
        <v>61.753700000000002</v>
      </c>
      <c r="U133" s="146">
        <v>38.720599999999997</v>
      </c>
      <c r="V133" s="113">
        <v>30.126300000000001</v>
      </c>
      <c r="W133" s="113">
        <v>76.669899999999998</v>
      </c>
      <c r="X133" s="126">
        <v>68.3613</v>
      </c>
      <c r="Y133" s="126">
        <v>36.4405</v>
      </c>
      <c r="Z133" s="104">
        <v>27.535700000000002</v>
      </c>
      <c r="AA133" s="104">
        <v>74.781242105060386</v>
      </c>
      <c r="AB133" s="104">
        <v>65.020829152159237</v>
      </c>
      <c r="AC133" s="104">
        <v>39.185968618210495</v>
      </c>
      <c r="AD133" s="104">
        <v>28.268177616470453</v>
      </c>
    </row>
    <row r="134" spans="1:30" ht="14.7" customHeight="1">
      <c r="A134" s="131" t="s">
        <v>78</v>
      </c>
      <c r="B134" s="131"/>
      <c r="C134">
        <v>88.482647076013876</v>
      </c>
      <c r="D134">
        <v>81.794699476592029</v>
      </c>
      <c r="E134">
        <v>61.687627008256321</v>
      </c>
      <c r="F134">
        <v>49.926000287264188</v>
      </c>
      <c r="G134">
        <v>89.470577579486644</v>
      </c>
      <c r="H134">
        <v>83.043789269370095</v>
      </c>
      <c r="I134" s="147">
        <v>53.915433333054452</v>
      </c>
      <c r="J134" s="112">
        <v>44.872497427359505</v>
      </c>
      <c r="K134" s="112">
        <v>86.119069233701566</v>
      </c>
      <c r="L134" s="126">
        <v>82.022804560912192</v>
      </c>
      <c r="M134" s="112">
        <v>63.841768353670737</v>
      </c>
      <c r="N134" s="126">
        <v>51.398879775955187</v>
      </c>
      <c r="O134" s="147">
        <v>77.599214998456873</v>
      </c>
      <c r="P134" s="147">
        <v>70.276407939221073</v>
      </c>
      <c r="Q134" s="147">
        <v>43.617317153877728</v>
      </c>
      <c r="R134" s="112">
        <v>31.915092252978873</v>
      </c>
      <c r="S134" s="112">
        <v>80.741500000000002</v>
      </c>
      <c r="T134" s="112">
        <v>73.658900000000003</v>
      </c>
      <c r="U134" s="146">
        <v>45.2072</v>
      </c>
      <c r="V134" s="113">
        <v>29.909599999999998</v>
      </c>
      <c r="W134" s="113">
        <v>78.3108</v>
      </c>
      <c r="X134" s="126">
        <v>69.454499999999996</v>
      </c>
      <c r="Y134" s="126">
        <v>45.055800000000005</v>
      </c>
      <c r="Z134" s="104">
        <v>31.512699999999999</v>
      </c>
      <c r="AA134" s="104">
        <v>83.210609729168269</v>
      </c>
      <c r="AB134" s="104">
        <v>74.753048726814512</v>
      </c>
      <c r="AC134" s="104">
        <v>48.174665832162347</v>
      </c>
      <c r="AD134" s="104">
        <v>34.142803373411169</v>
      </c>
    </row>
    <row r="135" spans="1:30" ht="14.7" customHeight="1">
      <c r="A135" s="131" t="s">
        <v>336</v>
      </c>
      <c r="B135" s="131"/>
      <c r="C135">
        <v>91.380257172806665</v>
      </c>
      <c r="D135">
        <v>85.472618342771383</v>
      </c>
      <c r="E135">
        <v>65.891085496264608</v>
      </c>
      <c r="F135">
        <v>54.088094187834422</v>
      </c>
      <c r="G135">
        <v>93.110571812511282</v>
      </c>
      <c r="H135">
        <v>90.110868350185441</v>
      </c>
      <c r="I135" s="147">
        <v>72.731466897007266</v>
      </c>
      <c r="J135" s="112">
        <v>61.004420507088057</v>
      </c>
      <c r="K135" s="112">
        <v>93.523707383378223</v>
      </c>
      <c r="L135" s="126">
        <v>88.181801854656712</v>
      </c>
      <c r="M135" s="112">
        <v>76.669320737472489</v>
      </c>
      <c r="N135" s="126">
        <v>67.95099747164835</v>
      </c>
      <c r="O135" s="147">
        <v>86.39322596489761</v>
      </c>
      <c r="P135" s="147">
        <v>80.685756098127285</v>
      </c>
      <c r="Q135" s="147">
        <v>59.108510256613322</v>
      </c>
      <c r="R135" s="112">
        <v>48.701439140087764</v>
      </c>
      <c r="S135" s="112">
        <v>82.929000000000002</v>
      </c>
      <c r="T135" s="112">
        <v>77.451099999999997</v>
      </c>
      <c r="U135" s="146">
        <v>56.800899999999999</v>
      </c>
      <c r="V135" s="113">
        <v>43.180700000000002</v>
      </c>
      <c r="W135" s="113">
        <v>80.246300000000005</v>
      </c>
      <c r="X135" s="126">
        <v>71.861199999999997</v>
      </c>
      <c r="Y135" s="126">
        <v>49.654800000000002</v>
      </c>
      <c r="Z135" s="104">
        <v>40.109499999999997</v>
      </c>
      <c r="AA135" s="104">
        <v>87.723838659617925</v>
      </c>
      <c r="AB135" s="104">
        <v>81.747480389625167</v>
      </c>
      <c r="AC135" s="104">
        <v>59.693391970919109</v>
      </c>
      <c r="AD135" s="104">
        <v>48.627773615112581</v>
      </c>
    </row>
    <row r="136" spans="1:30" ht="14.7" customHeight="1">
      <c r="A136" s="131" t="s">
        <v>313</v>
      </c>
      <c r="B136" s="131"/>
      <c r="C136">
        <v>87.365695902219983</v>
      </c>
      <c r="D136">
        <v>77.932124502987648</v>
      </c>
      <c r="E136">
        <v>53.570835032595923</v>
      </c>
      <c r="F136">
        <v>42.612599444399976</v>
      </c>
      <c r="G136">
        <v>86.603091709329959</v>
      </c>
      <c r="H136">
        <v>78.769607131270945</v>
      </c>
      <c r="I136" s="147">
        <v>56.308776595645391</v>
      </c>
      <c r="J136" s="112">
        <v>44.573037998925585</v>
      </c>
      <c r="K136" s="112">
        <v>88.137936891866133</v>
      </c>
      <c r="L136" s="126">
        <v>81.492339539960028</v>
      </c>
      <c r="M136" s="112">
        <v>60.876167121648237</v>
      </c>
      <c r="N136" s="126">
        <v>48.702748125320163</v>
      </c>
      <c r="O136" s="147">
        <v>78.609297182142683</v>
      </c>
      <c r="P136" s="147">
        <v>68.542539451377039</v>
      </c>
      <c r="Q136" s="147">
        <v>43.023865527273692</v>
      </c>
      <c r="R136" s="112">
        <v>30.576161049218349</v>
      </c>
      <c r="S136" s="112">
        <v>82.043099999999995</v>
      </c>
      <c r="T136" s="112">
        <v>71.870800000000003</v>
      </c>
      <c r="U136" s="146">
        <v>45.213300000000004</v>
      </c>
      <c r="V136" s="113">
        <v>32.724599999999995</v>
      </c>
      <c r="W136" s="113">
        <v>81.193400000000011</v>
      </c>
      <c r="X136" s="126">
        <v>71.057599999999994</v>
      </c>
      <c r="Y136" s="126">
        <v>44.385899999999999</v>
      </c>
      <c r="Z136" s="104">
        <v>31.214100000000002</v>
      </c>
      <c r="AA136" s="104">
        <v>81.409518600750758</v>
      </c>
      <c r="AB136" s="104">
        <v>71.582324476766345</v>
      </c>
      <c r="AC136" s="104">
        <v>43.406468325656498</v>
      </c>
      <c r="AD136" s="104">
        <v>31.268239676665615</v>
      </c>
    </row>
    <row r="137" spans="1:30" ht="14.7" customHeight="1">
      <c r="A137" s="131" t="s">
        <v>79</v>
      </c>
      <c r="B137" s="131"/>
      <c r="C137">
        <v>86.334254216312516</v>
      </c>
      <c r="D137">
        <v>78.042469506004949</v>
      </c>
      <c r="E137">
        <v>58.898845517557554</v>
      </c>
      <c r="F137">
        <v>48.798790798425586</v>
      </c>
      <c r="G137">
        <v>87.958348543550287</v>
      </c>
      <c r="H137">
        <v>79.822232200259208</v>
      </c>
      <c r="I137" s="147">
        <v>59.427510128274463</v>
      </c>
      <c r="J137" s="112">
        <v>49.474962497321236</v>
      </c>
      <c r="K137" s="112">
        <v>92.034895694824641</v>
      </c>
      <c r="L137" s="126">
        <v>86.396539334189214</v>
      </c>
      <c r="M137" s="112">
        <v>69.146097263603252</v>
      </c>
      <c r="N137" s="126">
        <v>56.545066976721657</v>
      </c>
      <c r="O137" s="147">
        <v>82.378224716545958</v>
      </c>
      <c r="P137" s="147">
        <v>70.939020698294613</v>
      </c>
      <c r="Q137" s="147">
        <v>42.824021439219983</v>
      </c>
      <c r="R137" s="112">
        <v>31.052889014324947</v>
      </c>
      <c r="S137" s="112">
        <v>80.948700000000002</v>
      </c>
      <c r="T137" s="112">
        <v>72.305800000000005</v>
      </c>
      <c r="U137" s="146">
        <v>46.399499999999996</v>
      </c>
      <c r="V137" s="113">
        <v>31.916099999999997</v>
      </c>
      <c r="W137" s="113">
        <v>80.265900000000002</v>
      </c>
      <c r="X137" s="126">
        <v>71.317399999999992</v>
      </c>
      <c r="Y137" s="126">
        <v>43.363099999999996</v>
      </c>
      <c r="Z137" s="104">
        <v>30.304100000000002</v>
      </c>
      <c r="AA137" s="104">
        <v>80.522649706930295</v>
      </c>
      <c r="AB137" s="104">
        <v>71.595226948879699</v>
      </c>
      <c r="AC137" s="104">
        <v>44.72539304255104</v>
      </c>
      <c r="AD137" s="104">
        <v>34.712499376535646</v>
      </c>
    </row>
    <row r="138" spans="1:30" ht="14.7" customHeight="1">
      <c r="A138" s="131" t="s">
        <v>206</v>
      </c>
      <c r="B138" s="131"/>
      <c r="C138">
        <v>91.404769973601034</v>
      </c>
      <c r="D138">
        <v>83.004838447267588</v>
      </c>
      <c r="E138">
        <v>60.92690540177712</v>
      </c>
      <c r="F138">
        <v>49.419942905987206</v>
      </c>
      <c r="G138">
        <v>92.128035034180172</v>
      </c>
      <c r="H138">
        <v>84.870183211418848</v>
      </c>
      <c r="I138" s="147">
        <v>65.059715105111351</v>
      </c>
      <c r="J138" s="112">
        <v>54.453464217259629</v>
      </c>
      <c r="K138" s="112">
        <v>89.018630746650246</v>
      </c>
      <c r="L138" s="126">
        <v>81.430757475257209</v>
      </c>
      <c r="M138" s="112">
        <v>64.584286788587988</v>
      </c>
      <c r="N138" s="126">
        <v>53.80673100767536</v>
      </c>
      <c r="O138" s="147">
        <v>80.96981940232493</v>
      </c>
      <c r="P138" s="147">
        <v>75.285243862038215</v>
      </c>
      <c r="Q138" s="147">
        <v>49.508936586380095</v>
      </c>
      <c r="R138" s="112">
        <v>35.163939815578729</v>
      </c>
      <c r="S138" s="112">
        <v>82.848200000000006</v>
      </c>
      <c r="T138" s="112">
        <v>76.115600000000001</v>
      </c>
      <c r="U138" s="146">
        <v>48.203800000000001</v>
      </c>
      <c r="V138" s="113">
        <v>38.4878</v>
      </c>
      <c r="W138" s="113">
        <v>78.826599999999999</v>
      </c>
      <c r="X138" s="126">
        <v>73.158199999999994</v>
      </c>
      <c r="Y138" s="126">
        <v>50.363599999999998</v>
      </c>
      <c r="Z138" s="104">
        <v>38.689800000000005</v>
      </c>
      <c r="AA138" s="104">
        <v>82.821474190105661</v>
      </c>
      <c r="AB138" s="104">
        <v>76.054435088899112</v>
      </c>
      <c r="AC138" s="104">
        <v>48.178715959537513</v>
      </c>
      <c r="AD138" s="104">
        <v>35.179882145985459</v>
      </c>
    </row>
    <row r="139" spans="1:30" ht="14.7" customHeight="1">
      <c r="A139" s="131" t="s">
        <v>80</v>
      </c>
      <c r="B139" s="131"/>
      <c r="C139">
        <v>81.279770837496329</v>
      </c>
      <c r="D139">
        <v>73.045292809719015</v>
      </c>
      <c r="E139">
        <v>46.076527105066617</v>
      </c>
      <c r="F139">
        <v>37.471253970918767</v>
      </c>
      <c r="G139">
        <v>84.660115278835534</v>
      </c>
      <c r="H139">
        <v>76.325460190960285</v>
      </c>
      <c r="I139" s="147">
        <v>53.824716689578281</v>
      </c>
      <c r="J139" s="112">
        <v>42.34422346219997</v>
      </c>
      <c r="K139" s="112">
        <v>84.282512440894337</v>
      </c>
      <c r="L139" s="126">
        <v>77.293243925301041</v>
      </c>
      <c r="M139" s="112">
        <v>57.750172532781228</v>
      </c>
      <c r="N139" s="126">
        <v>46.083042345209769</v>
      </c>
      <c r="O139" s="147">
        <v>69.714013901198783</v>
      </c>
      <c r="P139" s="147">
        <v>61.358973581320456</v>
      </c>
      <c r="Q139" s="147">
        <v>39.395945333537753</v>
      </c>
      <c r="R139" s="112">
        <v>29.212463393427612</v>
      </c>
      <c r="S139" s="112">
        <v>77.052900000000008</v>
      </c>
      <c r="T139" s="112">
        <v>67.770600000000002</v>
      </c>
      <c r="U139" s="146">
        <v>41.886899999999997</v>
      </c>
      <c r="V139" s="113">
        <v>32.2074</v>
      </c>
      <c r="W139" s="113">
        <v>75.2667</v>
      </c>
      <c r="X139" s="126">
        <v>64.512499999999989</v>
      </c>
      <c r="Y139" s="126">
        <v>35.910799999999995</v>
      </c>
      <c r="Z139" s="104">
        <v>26.447500000000002</v>
      </c>
      <c r="AA139" s="104">
        <v>70.591637842088218</v>
      </c>
      <c r="AB139" s="104">
        <v>60.579548194512391</v>
      </c>
      <c r="AC139" s="104">
        <v>31.456476546682964</v>
      </c>
      <c r="AD139" s="104">
        <v>24.078922229733998</v>
      </c>
    </row>
    <row r="140" spans="1:30" ht="14.7" customHeight="1">
      <c r="A140" s="131" t="s">
        <v>81</v>
      </c>
      <c r="B140" s="131"/>
      <c r="C140">
        <v>85.316060802378189</v>
      </c>
      <c r="D140">
        <v>77.769066779126689</v>
      </c>
      <c r="E140">
        <v>57.450178970385657</v>
      </c>
      <c r="F140">
        <v>46.068400630831633</v>
      </c>
      <c r="G140">
        <v>89.760327715164976</v>
      </c>
      <c r="H140">
        <v>84.269546170567381</v>
      </c>
      <c r="I140" s="147">
        <v>62.321018134058193</v>
      </c>
      <c r="J140" s="112">
        <v>46.399373225767569</v>
      </c>
      <c r="K140" s="112">
        <v>88.721917985425378</v>
      </c>
      <c r="L140" s="126">
        <v>85.187477590624027</v>
      </c>
      <c r="M140" s="112">
        <v>63.129440561821845</v>
      </c>
      <c r="N140" s="126">
        <v>50.771483455620938</v>
      </c>
      <c r="O140" s="147">
        <v>81.678746437419321</v>
      </c>
      <c r="P140" s="147">
        <v>74.366533347427506</v>
      </c>
      <c r="Q140" s="147">
        <v>48.326457726566765</v>
      </c>
      <c r="R140" s="112">
        <v>35.51222895019837</v>
      </c>
      <c r="S140" s="112">
        <v>83.606999999999999</v>
      </c>
      <c r="T140" s="112">
        <v>78.364599999999996</v>
      </c>
      <c r="U140" s="146">
        <v>46.511099999999999</v>
      </c>
      <c r="V140" s="113">
        <v>31.916399999999999</v>
      </c>
      <c r="W140" s="113">
        <v>80.305899999999994</v>
      </c>
      <c r="X140" s="126">
        <v>71.989000000000004</v>
      </c>
      <c r="Y140" s="126">
        <v>41.514000000000003</v>
      </c>
      <c r="Z140" s="104">
        <v>28.08</v>
      </c>
      <c r="AA140" s="104">
        <v>84.940364870534182</v>
      </c>
      <c r="AB140" s="104">
        <v>76.038882714999161</v>
      </c>
      <c r="AC140" s="104">
        <v>50.078419579674893</v>
      </c>
      <c r="AD140" s="104">
        <v>38.175401444955988</v>
      </c>
    </row>
    <row r="141" spans="1:30" ht="14.7" customHeight="1">
      <c r="A141" s="131" t="s">
        <v>207</v>
      </c>
      <c r="B141" s="131"/>
      <c r="C141">
        <v>87.775657979806923</v>
      </c>
      <c r="D141">
        <v>77.948662962895483</v>
      </c>
      <c r="E141">
        <v>55.780937949057396</v>
      </c>
      <c r="F141">
        <v>46.319439367056525</v>
      </c>
      <c r="G141">
        <v>84.864065303996455</v>
      </c>
      <c r="H141">
        <v>78.534557749437852</v>
      </c>
      <c r="I141" s="147">
        <v>56.342221018596014</v>
      </c>
      <c r="J141" s="112">
        <v>46.20098642637911</v>
      </c>
      <c r="K141" s="112">
        <v>82.171744302048964</v>
      </c>
      <c r="L141" s="126">
        <v>76.937152072446452</v>
      </c>
      <c r="M141" s="112">
        <v>60.042022670532958</v>
      </c>
      <c r="N141" s="126">
        <v>49.605746716494274</v>
      </c>
      <c r="O141" s="147">
        <v>78.237841710252837</v>
      </c>
      <c r="P141" s="147">
        <v>68.234050918161174</v>
      </c>
      <c r="Q141" s="147">
        <v>39.930613028688065</v>
      </c>
      <c r="R141" s="112">
        <v>30.915687203741438</v>
      </c>
      <c r="S141" s="112">
        <v>74.137600000000006</v>
      </c>
      <c r="T141" s="112">
        <v>66.940999999999988</v>
      </c>
      <c r="U141" s="146">
        <v>43.207099999999997</v>
      </c>
      <c r="V141" s="113">
        <v>33.8033</v>
      </c>
      <c r="W141" s="113">
        <v>74.150300000000001</v>
      </c>
      <c r="X141" s="126">
        <v>65.464199999999991</v>
      </c>
      <c r="Y141" s="126">
        <v>40.297199999999997</v>
      </c>
      <c r="Z141" s="104">
        <v>30.8552</v>
      </c>
      <c r="AA141" s="104">
        <v>77.650688809818234</v>
      </c>
      <c r="AB141" s="104">
        <v>68.996328025178983</v>
      </c>
      <c r="AC141" s="104">
        <v>47.787219613366524</v>
      </c>
      <c r="AD141" s="104">
        <v>36.974263288234752</v>
      </c>
    </row>
    <row r="142" spans="1:30" ht="14.7" customHeight="1">
      <c r="A142" s="131" t="s">
        <v>82</v>
      </c>
      <c r="B142" s="131"/>
      <c r="C142">
        <v>88.427655147925719</v>
      </c>
      <c r="D142">
        <v>79.821237801042628</v>
      </c>
      <c r="E142">
        <v>50.332797826364384</v>
      </c>
      <c r="F142">
        <v>41.816851741715887</v>
      </c>
      <c r="G142">
        <v>89.798324911405686</v>
      </c>
      <c r="H142">
        <v>81.717653814465606</v>
      </c>
      <c r="I142" s="147">
        <v>55.075690115761347</v>
      </c>
      <c r="J142" s="112">
        <v>43.409675352235752</v>
      </c>
      <c r="K142" s="112">
        <v>87.782179010122832</v>
      </c>
      <c r="L142" s="126">
        <v>80.469043076290092</v>
      </c>
      <c r="M142" s="112">
        <v>58.45552198588998</v>
      </c>
      <c r="N142" s="126">
        <v>46.358139478599</v>
      </c>
      <c r="O142" s="147">
        <v>78.709046888489553</v>
      </c>
      <c r="P142" s="147">
        <v>70.579752460436424</v>
      </c>
      <c r="Q142" s="147">
        <v>44.764184991285205</v>
      </c>
      <c r="R142" s="112">
        <v>32.729600529099514</v>
      </c>
      <c r="S142" s="112">
        <v>84.436800000000005</v>
      </c>
      <c r="T142" s="112">
        <v>75.548900000000003</v>
      </c>
      <c r="U142" s="146">
        <v>46.035699999999999</v>
      </c>
      <c r="V142" s="113">
        <v>35.903500000000001</v>
      </c>
      <c r="W142" s="113">
        <v>81.235100000000003</v>
      </c>
      <c r="X142" s="126">
        <v>73.716700000000003</v>
      </c>
      <c r="Y142" s="126">
        <v>48.608000000000004</v>
      </c>
      <c r="Z142" s="104">
        <v>34.3125</v>
      </c>
      <c r="AA142" s="104">
        <v>82.701001066661945</v>
      </c>
      <c r="AB142" s="104">
        <v>73.994437695418725</v>
      </c>
      <c r="AC142" s="104">
        <v>42.869315825977381</v>
      </c>
      <c r="AD142" s="104">
        <v>30.322181040773511</v>
      </c>
    </row>
    <row r="143" spans="1:30" ht="14.7" customHeight="1">
      <c r="A143" s="131" t="s">
        <v>269</v>
      </c>
      <c r="B143" s="131"/>
      <c r="C143">
        <v>82.265317403113045</v>
      </c>
      <c r="D143">
        <v>74.058287017291732</v>
      </c>
      <c r="E143">
        <v>53.89308452976136</v>
      </c>
      <c r="F143">
        <v>41.199361855192294</v>
      </c>
      <c r="G143">
        <v>78.410839589724034</v>
      </c>
      <c r="H143">
        <v>72.035843917317138</v>
      </c>
      <c r="I143" s="147">
        <v>53.894483585389011</v>
      </c>
      <c r="J143" s="112">
        <v>40.446573822637845</v>
      </c>
      <c r="K143" s="112">
        <v>82.213167693939226</v>
      </c>
      <c r="L143" s="126">
        <v>77.834789237505802</v>
      </c>
      <c r="M143" s="112">
        <v>66.357651592711548</v>
      </c>
      <c r="N143" s="126">
        <v>53.690983585124641</v>
      </c>
      <c r="O143" s="147">
        <v>75.677202070099725</v>
      </c>
      <c r="P143" s="147">
        <v>66.032137148168388</v>
      </c>
      <c r="Q143" s="147">
        <v>37.803813086642919</v>
      </c>
      <c r="R143" s="112">
        <v>30.918690145677491</v>
      </c>
      <c r="S143" s="112">
        <v>73.887799999999999</v>
      </c>
      <c r="T143" s="112">
        <v>65.705399999999997</v>
      </c>
      <c r="U143" s="146">
        <v>39.923099999999998</v>
      </c>
      <c r="V143" s="113">
        <v>28.041399999999999</v>
      </c>
      <c r="W143" s="113">
        <v>72.153800000000004</v>
      </c>
      <c r="X143" s="126">
        <v>65.30510000000001</v>
      </c>
      <c r="Y143" s="126">
        <v>35.311199999999999</v>
      </c>
      <c r="Z143" s="104">
        <v>24.547699999999999</v>
      </c>
      <c r="AA143" s="104">
        <v>71.707763932565882</v>
      </c>
      <c r="AB143" s="104">
        <v>63.673433430992077</v>
      </c>
      <c r="AC143" s="104">
        <v>38.990620318707393</v>
      </c>
      <c r="AD143" s="104">
        <v>28.430541905279803</v>
      </c>
    </row>
    <row r="144" spans="1:30" ht="14.7" customHeight="1">
      <c r="A144" s="131" t="s">
        <v>83</v>
      </c>
      <c r="B144" s="131"/>
      <c r="C144">
        <v>86.016164806199939</v>
      </c>
      <c r="D144">
        <v>77.813238684343972</v>
      </c>
      <c r="E144">
        <v>58.054412858574977</v>
      </c>
      <c r="F144">
        <v>44.49787855847169</v>
      </c>
      <c r="G144">
        <v>86.741128861530441</v>
      </c>
      <c r="H144">
        <v>80.466879823225142</v>
      </c>
      <c r="I144" s="147">
        <v>65.276964025645754</v>
      </c>
      <c r="J144" s="112">
        <v>50.159448917756166</v>
      </c>
      <c r="K144" s="112">
        <v>84.313090333055484</v>
      </c>
      <c r="L144" s="126">
        <v>78.495047690748038</v>
      </c>
      <c r="M144" s="112">
        <v>60.729273097000721</v>
      </c>
      <c r="N144" s="126">
        <v>47.634781881299929</v>
      </c>
      <c r="O144" s="147">
        <v>80.893558152726754</v>
      </c>
      <c r="P144" s="147">
        <v>69.930512853591438</v>
      </c>
      <c r="Q144" s="147">
        <v>47.201197953784053</v>
      </c>
      <c r="R144" s="112">
        <v>36.510625398054216</v>
      </c>
      <c r="S144" s="112">
        <v>78.257200000000012</v>
      </c>
      <c r="T144" s="112">
        <v>69.427700000000002</v>
      </c>
      <c r="U144" s="146">
        <v>42.187899999999999</v>
      </c>
      <c r="V144" s="113">
        <v>31.5031</v>
      </c>
      <c r="W144" s="113">
        <v>77.486100000000008</v>
      </c>
      <c r="X144" s="126">
        <v>67.057000000000002</v>
      </c>
      <c r="Y144" s="126">
        <v>43.943300000000001</v>
      </c>
      <c r="Z144" s="104">
        <v>31.933099999999996</v>
      </c>
      <c r="AA144" s="104">
        <v>79.634605853074532</v>
      </c>
      <c r="AB144" s="104">
        <v>71.332233865193587</v>
      </c>
      <c r="AC144" s="104">
        <v>43.735164181308413</v>
      </c>
      <c r="AD144" s="104">
        <v>30.665169043933265</v>
      </c>
    </row>
    <row r="145" spans="1:30" ht="14.7" customHeight="1">
      <c r="A145" s="131" t="s">
        <v>84</v>
      </c>
      <c r="B145" s="131"/>
      <c r="C145">
        <v>83.747594537745343</v>
      </c>
      <c r="D145">
        <v>75.487125262477122</v>
      </c>
      <c r="E145">
        <v>51.435078228133058</v>
      </c>
      <c r="F145">
        <v>39.598791721560652</v>
      </c>
      <c r="G145">
        <v>83.140363722392976</v>
      </c>
      <c r="H145">
        <v>74.5353316245385</v>
      </c>
      <c r="I145" s="147">
        <v>56.681025194804654</v>
      </c>
      <c r="J145" s="112">
        <v>43.770047385195049</v>
      </c>
      <c r="K145" s="112">
        <v>82.878445940903973</v>
      </c>
      <c r="L145" s="126">
        <v>76.743620849518635</v>
      </c>
      <c r="M145" s="112">
        <v>59.32313812949053</v>
      </c>
      <c r="N145" s="126">
        <v>47.359295158503556</v>
      </c>
      <c r="O145" s="147">
        <v>77.471000898078799</v>
      </c>
      <c r="P145" s="147">
        <v>67.558262942272435</v>
      </c>
      <c r="Q145" s="147">
        <v>39.008692941573045</v>
      </c>
      <c r="R145" s="112">
        <v>27.338657842301895</v>
      </c>
      <c r="S145" s="112">
        <v>80.540000000000006</v>
      </c>
      <c r="T145" s="112">
        <v>70.357699999999994</v>
      </c>
      <c r="U145" s="146">
        <v>45.854099999999995</v>
      </c>
      <c r="V145" s="113">
        <v>32.770200000000003</v>
      </c>
      <c r="W145" s="113">
        <v>76.218400000000003</v>
      </c>
      <c r="X145" s="126">
        <v>70.362300000000005</v>
      </c>
      <c r="Y145" s="126">
        <v>43.8215</v>
      </c>
      <c r="Z145" s="104">
        <v>31.877299999999998</v>
      </c>
      <c r="AA145" s="104">
        <v>82.982175152784492</v>
      </c>
      <c r="AB145" s="104">
        <v>73.51632024934662</v>
      </c>
      <c r="AC145" s="104">
        <v>42.490432480473835</v>
      </c>
      <c r="AD145" s="104">
        <v>30.030030825586699</v>
      </c>
    </row>
    <row r="146" spans="1:30" ht="14.7" customHeight="1">
      <c r="A146" s="131" t="s">
        <v>208</v>
      </c>
      <c r="B146" s="131"/>
      <c r="C146">
        <v>85.211398709842967</v>
      </c>
      <c r="D146">
        <v>77.038326398400088</v>
      </c>
      <c r="E146">
        <v>55.178275516008256</v>
      </c>
      <c r="F146">
        <v>42.263947326107562</v>
      </c>
      <c r="G146">
        <v>88.080396609050055</v>
      </c>
      <c r="H146">
        <v>79.479322673096718</v>
      </c>
      <c r="I146" s="147">
        <v>61.093751955512346</v>
      </c>
      <c r="J146" s="112">
        <v>46.500102208112395</v>
      </c>
      <c r="K146" s="112">
        <v>87.182041243298542</v>
      </c>
      <c r="L146" s="126">
        <v>80.020816504070098</v>
      </c>
      <c r="M146" s="112">
        <v>60.915848505561421</v>
      </c>
      <c r="N146" s="126">
        <v>50.447011122848451</v>
      </c>
      <c r="O146" s="147">
        <v>78.003234802667535</v>
      </c>
      <c r="P146" s="147">
        <v>70.968330430978028</v>
      </c>
      <c r="Q146" s="147">
        <v>42.377440218006498</v>
      </c>
      <c r="R146" s="112">
        <v>30.629609547109176</v>
      </c>
      <c r="S146" s="112">
        <v>74.595699999999994</v>
      </c>
      <c r="T146" s="112">
        <v>67.073700000000002</v>
      </c>
      <c r="U146" s="146">
        <v>40.635300000000001</v>
      </c>
      <c r="V146" s="113">
        <v>28.6891</v>
      </c>
      <c r="W146" s="113">
        <v>78.645899999999997</v>
      </c>
      <c r="X146" s="126">
        <v>73.353300000000004</v>
      </c>
      <c r="Y146" s="126">
        <v>50.420299999999997</v>
      </c>
      <c r="Z146" s="104">
        <v>38.245200000000004</v>
      </c>
      <c r="AA146" s="104">
        <v>81.851695097398334</v>
      </c>
      <c r="AB146" s="104">
        <v>73.691524870598741</v>
      </c>
      <c r="AC146" s="104">
        <v>43.141660260982611</v>
      </c>
      <c r="AD146" s="104">
        <v>32.471545789165781</v>
      </c>
    </row>
    <row r="147" spans="1:30" ht="14.7" customHeight="1">
      <c r="A147" s="131" t="s">
        <v>816</v>
      </c>
      <c r="B147" s="131"/>
      <c r="C147">
        <v>87.545970615313578</v>
      </c>
      <c r="D147">
        <v>78.181618797178842</v>
      </c>
      <c r="E147">
        <v>56.109515496387452</v>
      </c>
      <c r="F147">
        <v>46.371769828156978</v>
      </c>
      <c r="G147">
        <v>88.833863931140201</v>
      </c>
      <c r="H147">
        <v>77.727913490060828</v>
      </c>
      <c r="I147" s="147">
        <v>60.975099826325994</v>
      </c>
      <c r="J147" s="112">
        <v>48.391497218938959</v>
      </c>
      <c r="K147" s="112">
        <v>87.204014732104611</v>
      </c>
      <c r="L147" s="126">
        <v>81.969923892174307</v>
      </c>
      <c r="M147" s="112">
        <v>60.74596324645163</v>
      </c>
      <c r="N147" s="126">
        <v>52.167109658807256</v>
      </c>
      <c r="O147" s="147">
        <v>77.127548411484057</v>
      </c>
      <c r="P147" s="147">
        <v>70.519714937038174</v>
      </c>
      <c r="Q147" s="147">
        <v>43.401863535182819</v>
      </c>
      <c r="R147" s="112">
        <v>30.905716668584844</v>
      </c>
      <c r="S147" s="112">
        <v>79.391900000000007</v>
      </c>
      <c r="T147" s="112">
        <v>70.455199999999991</v>
      </c>
      <c r="U147" s="146">
        <v>45.030700000000003</v>
      </c>
      <c r="V147" s="113">
        <v>30.512699999999999</v>
      </c>
      <c r="W147" s="113">
        <v>75.293599999999998</v>
      </c>
      <c r="X147" s="126">
        <v>67.005300000000005</v>
      </c>
      <c r="Y147" s="126">
        <v>42.439399999999999</v>
      </c>
      <c r="Z147" s="104">
        <v>33.5154</v>
      </c>
      <c r="AA147" s="104">
        <v>78.245938782126004</v>
      </c>
      <c r="AB147" s="104">
        <v>68.201368617029885</v>
      </c>
      <c r="AC147" s="104">
        <v>43.463969200488592</v>
      </c>
      <c r="AD147" s="104">
        <v>32.650835210240672</v>
      </c>
    </row>
    <row r="148" spans="1:30" ht="14.7" customHeight="1">
      <c r="A148" s="131" t="s">
        <v>314</v>
      </c>
      <c r="B148" s="131"/>
      <c r="C148">
        <v>87.299964024975253</v>
      </c>
      <c r="D148">
        <v>77.413782212018759</v>
      </c>
      <c r="E148">
        <v>52.775885598355984</v>
      </c>
      <c r="F148">
        <v>41.218135641319655</v>
      </c>
      <c r="G148">
        <v>88.35652797267413</v>
      </c>
      <c r="H148">
        <v>80.02022226871803</v>
      </c>
      <c r="I148" s="147">
        <v>57.702710927504967</v>
      </c>
      <c r="J148" s="112">
        <v>46.993617935603105</v>
      </c>
      <c r="K148" s="112">
        <v>87.802551868032282</v>
      </c>
      <c r="L148" s="126">
        <v>82.509544731375215</v>
      </c>
      <c r="M148" s="112">
        <v>62.600414671693905</v>
      </c>
      <c r="N148" s="126">
        <v>50.520489857055715</v>
      </c>
      <c r="O148" s="147">
        <v>79.597230050426234</v>
      </c>
      <c r="P148" s="147">
        <v>69.675293971574519</v>
      </c>
      <c r="Q148" s="147">
        <v>43.557037696648834</v>
      </c>
      <c r="R148" s="112">
        <v>31.516063834996793</v>
      </c>
      <c r="S148" s="112">
        <v>79.779399999999995</v>
      </c>
      <c r="T148" s="112">
        <v>70.923000000000002</v>
      </c>
      <c r="U148" s="147">
        <v>43.455399999999997</v>
      </c>
      <c r="V148" s="149">
        <v>33.089700000000001</v>
      </c>
      <c r="W148" s="149">
        <v>80.191699999999997</v>
      </c>
      <c r="X148" s="126">
        <v>70.257999999999996</v>
      </c>
      <c r="Y148" s="126">
        <v>43.149100000000004</v>
      </c>
      <c r="Z148" s="104">
        <v>30.078399999999998</v>
      </c>
      <c r="AA148" s="104">
        <v>83.25996254354402</v>
      </c>
      <c r="AB148" s="104">
        <v>73.90671693072305</v>
      </c>
      <c r="AC148" s="104">
        <v>44.307580735831856</v>
      </c>
      <c r="AD148" s="104">
        <v>32.279961689545118</v>
      </c>
    </row>
    <row r="149" spans="1:30" ht="14.7" customHeight="1">
      <c r="A149" s="131" t="s">
        <v>85</v>
      </c>
      <c r="B149" s="131"/>
      <c r="C149">
        <v>88.014520464479631</v>
      </c>
      <c r="D149">
        <v>81.26303674543766</v>
      </c>
      <c r="E149">
        <v>55.249181003706539</v>
      </c>
      <c r="F149">
        <v>45.286509616626503</v>
      </c>
      <c r="G149">
        <v>87.902163495850402</v>
      </c>
      <c r="H149">
        <v>79.706121539115685</v>
      </c>
      <c r="I149" s="147">
        <v>55.207580817608772</v>
      </c>
      <c r="J149" s="112">
        <v>44.395503688445068</v>
      </c>
      <c r="K149" s="112">
        <v>87.920975684978217</v>
      </c>
      <c r="L149" s="126">
        <v>82.6533811154208</v>
      </c>
      <c r="M149" s="112">
        <v>60.583875799356221</v>
      </c>
      <c r="N149" s="126">
        <v>47.366145612428269</v>
      </c>
      <c r="O149" s="147">
        <v>79.396429253142202</v>
      </c>
      <c r="P149" s="147">
        <v>70.988314417865837</v>
      </c>
      <c r="Q149" s="147">
        <v>42.371227756338975</v>
      </c>
      <c r="R149" s="112">
        <v>31.839104779234805</v>
      </c>
      <c r="S149" s="112">
        <v>74.913700000000006</v>
      </c>
      <c r="T149" s="112">
        <v>66.0822</v>
      </c>
      <c r="U149" s="147">
        <v>35.792499999999997</v>
      </c>
      <c r="V149" s="149">
        <v>25.0733</v>
      </c>
      <c r="W149" s="149">
        <v>78.271299999999997</v>
      </c>
      <c r="X149" s="126">
        <v>67.531700000000001</v>
      </c>
      <c r="Y149" s="126">
        <v>39.889599999999994</v>
      </c>
      <c r="Z149" s="104">
        <v>24.499199999999998</v>
      </c>
      <c r="AA149" s="104">
        <v>85.480716182285775</v>
      </c>
      <c r="AB149" s="104">
        <v>76.282153815486794</v>
      </c>
      <c r="AC149" s="104">
        <v>48.227965017735819</v>
      </c>
      <c r="AD149" s="104">
        <v>35.496761702751364</v>
      </c>
    </row>
    <row r="150" spans="1:30" ht="14.7" customHeight="1">
      <c r="A150" s="131" t="s">
        <v>86</v>
      </c>
      <c r="B150" s="131"/>
      <c r="C150">
        <v>89.648634424476185</v>
      </c>
      <c r="D150">
        <v>82.330259629718299</v>
      </c>
      <c r="E150">
        <v>55.36976970747012</v>
      </c>
      <c r="F150">
        <v>48.013773305892613</v>
      </c>
      <c r="G150">
        <v>87.105387758917459</v>
      </c>
      <c r="H150">
        <v>80.240113893859316</v>
      </c>
      <c r="I150" s="147">
        <v>57.074711002549464</v>
      </c>
      <c r="J150" s="112">
        <v>48.467959134620322</v>
      </c>
      <c r="K150" s="112">
        <v>89.256417675170368</v>
      </c>
      <c r="L150" s="126">
        <v>84.059421072472929</v>
      </c>
      <c r="M150" s="112">
        <v>64.192690556002745</v>
      </c>
      <c r="N150" s="126">
        <v>52.720103518192104</v>
      </c>
      <c r="O150" s="147">
        <v>78.66511434864023</v>
      </c>
      <c r="P150" s="147">
        <v>70.153987251937778</v>
      </c>
      <c r="Q150" s="147">
        <v>48.782835273743402</v>
      </c>
      <c r="R150" s="112">
        <v>35.028589208583178</v>
      </c>
      <c r="S150" s="112">
        <v>85.002600000000001</v>
      </c>
      <c r="T150" s="112">
        <v>79.435599999999994</v>
      </c>
      <c r="U150" s="146">
        <v>49.531999999999996</v>
      </c>
      <c r="V150" s="113">
        <v>37.445399999999999</v>
      </c>
      <c r="W150" s="113">
        <v>79.553100000000001</v>
      </c>
      <c r="X150" s="126">
        <v>71.231700000000004</v>
      </c>
      <c r="Y150" s="126">
        <v>44.499699999999997</v>
      </c>
      <c r="Z150" s="104">
        <v>32.388800000000003</v>
      </c>
      <c r="AA150" s="104">
        <v>86.379262892419391</v>
      </c>
      <c r="AB150" s="104">
        <v>75.300444881609678</v>
      </c>
      <c r="AC150" s="104">
        <v>45.405876193722733</v>
      </c>
      <c r="AD150" s="104">
        <v>34.450869304240967</v>
      </c>
    </row>
    <row r="151" spans="1:30" ht="14.7" customHeight="1">
      <c r="A151" s="131" t="s">
        <v>209</v>
      </c>
      <c r="B151" s="131"/>
      <c r="C151">
        <v>86.513360838324076</v>
      </c>
      <c r="D151">
        <v>77.88223605457047</v>
      </c>
      <c r="E151">
        <v>54.614204567144512</v>
      </c>
      <c r="F151">
        <v>42.959885188495271</v>
      </c>
      <c r="G151">
        <v>85.755026350963533</v>
      </c>
      <c r="H151">
        <v>76.663666973376863</v>
      </c>
      <c r="I151" s="146">
        <v>57.143954943932698</v>
      </c>
      <c r="J151" s="144">
        <v>48.155390853294769</v>
      </c>
      <c r="K151" s="144">
        <v>86.492373043496755</v>
      </c>
      <c r="L151" s="126">
        <v>81.289929967850597</v>
      </c>
      <c r="M151" s="144">
        <v>62.27343259283321</v>
      </c>
      <c r="N151" s="126">
        <v>48.100091771662711</v>
      </c>
      <c r="O151" s="146">
        <v>73.01238193872382</v>
      </c>
      <c r="P151" s="146">
        <v>66.509159109453705</v>
      </c>
      <c r="Q151" s="146">
        <v>39.853280384065108</v>
      </c>
      <c r="R151" s="144">
        <v>29.39072093772786</v>
      </c>
      <c r="S151" s="144">
        <v>79.104200000000006</v>
      </c>
      <c r="T151" s="144">
        <v>70.17949999999999</v>
      </c>
      <c r="U151" s="146">
        <v>48.178899999999999</v>
      </c>
      <c r="V151" s="113">
        <v>35.075400000000002</v>
      </c>
      <c r="W151" s="113">
        <v>73.881399999999999</v>
      </c>
      <c r="X151" s="126">
        <v>68.087000000000003</v>
      </c>
      <c r="Y151" s="126">
        <v>43.962200000000003</v>
      </c>
      <c r="Z151" s="104">
        <v>31.635899999999999</v>
      </c>
      <c r="AA151" s="104">
        <v>75.717911795438766</v>
      </c>
      <c r="AB151" s="104">
        <v>68.552780170174131</v>
      </c>
      <c r="AC151" s="104">
        <v>44.064150841192259</v>
      </c>
      <c r="AD151" s="104">
        <v>32.461060899601975</v>
      </c>
    </row>
    <row r="152" spans="1:30" ht="14.7" customHeight="1">
      <c r="A152" s="131" t="s">
        <v>344</v>
      </c>
      <c r="B152" s="131"/>
      <c r="C152">
        <v>85.8722466187413</v>
      </c>
      <c r="D152">
        <v>78.451077873199168</v>
      </c>
      <c r="E152">
        <v>54.460982850484761</v>
      </c>
      <c r="F152">
        <v>44.450230494629643</v>
      </c>
      <c r="G152">
        <v>88.613365102388912</v>
      </c>
      <c r="H152">
        <v>79.782687594556791</v>
      </c>
      <c r="I152" s="147">
        <v>61.582722664676645</v>
      </c>
      <c r="J152" s="112">
        <v>50.053216867912063</v>
      </c>
      <c r="K152" s="112">
        <v>87.697520266954172</v>
      </c>
      <c r="L152" s="126">
        <v>82.325228578363962</v>
      </c>
      <c r="M152" s="112">
        <v>64.095598349381021</v>
      </c>
      <c r="N152" s="126">
        <v>53.414111174043214</v>
      </c>
      <c r="O152" s="147">
        <v>79.747692312448478</v>
      </c>
      <c r="P152" s="147">
        <v>68.760864428166968</v>
      </c>
      <c r="Q152" s="147">
        <v>35.702272479324229</v>
      </c>
      <c r="R152" s="112">
        <v>23.540196964113601</v>
      </c>
      <c r="S152" s="112">
        <v>77.308500000000009</v>
      </c>
      <c r="T152" s="112">
        <v>65.066599999999994</v>
      </c>
      <c r="U152" s="146">
        <v>36.459899999999998</v>
      </c>
      <c r="V152" s="113">
        <v>24.914200000000001</v>
      </c>
      <c r="W152" s="113">
        <v>73.902799999999999</v>
      </c>
      <c r="X152" s="126">
        <v>65.797200000000004</v>
      </c>
      <c r="Y152" s="126">
        <v>37.123699999999999</v>
      </c>
      <c r="Z152" s="104">
        <v>28.4223</v>
      </c>
      <c r="AA152" s="104">
        <v>82.402575319559759</v>
      </c>
      <c r="AB152" s="104">
        <v>70.900115625242691</v>
      </c>
      <c r="AC152" s="104">
        <v>42.4745817758077</v>
      </c>
      <c r="AD152" s="104">
        <v>32.851681157410667</v>
      </c>
    </row>
    <row r="153" spans="1:30" ht="14.7" customHeight="1">
      <c r="A153" s="131" t="s">
        <v>87</v>
      </c>
      <c r="B153" s="131"/>
      <c r="C153">
        <v>89.598237218190519</v>
      </c>
      <c r="D153">
        <v>79.3377326996265</v>
      </c>
      <c r="E153">
        <v>54.212969144081434</v>
      </c>
      <c r="F153">
        <v>44.142762764495373</v>
      </c>
      <c r="G153">
        <v>85.358123207853296</v>
      </c>
      <c r="H153">
        <v>75.045032361186443</v>
      </c>
      <c r="I153" s="147">
        <v>53.162410504652314</v>
      </c>
      <c r="J153" s="112">
        <v>41.321901670027707</v>
      </c>
      <c r="K153" s="112">
        <v>92.114097650025101</v>
      </c>
      <c r="L153" s="126">
        <v>84.199145540284562</v>
      </c>
      <c r="M153" s="112">
        <v>63.201604127201648</v>
      </c>
      <c r="N153" s="126">
        <v>48.978477288299551</v>
      </c>
      <c r="O153" s="147">
        <v>81.381956542225765</v>
      </c>
      <c r="P153" s="147">
        <v>70.059614838022796</v>
      </c>
      <c r="Q153" s="147">
        <v>42.372637915713391</v>
      </c>
      <c r="R153" s="112">
        <v>29.610798218999602</v>
      </c>
      <c r="S153" s="112">
        <v>82.636099999999999</v>
      </c>
      <c r="T153" s="112">
        <v>73.933800000000005</v>
      </c>
      <c r="U153" s="146">
        <v>44.5563</v>
      </c>
      <c r="V153" s="113">
        <v>33.851199999999999</v>
      </c>
      <c r="W153" s="113">
        <v>83.567800000000005</v>
      </c>
      <c r="X153" s="126">
        <v>76.731099999999998</v>
      </c>
      <c r="Y153" s="126">
        <v>47.136699999999998</v>
      </c>
      <c r="Z153" s="104">
        <v>33.160400000000003</v>
      </c>
      <c r="AA153" s="104">
        <v>84.906687458766484</v>
      </c>
      <c r="AB153" s="104">
        <v>75.44672762764182</v>
      </c>
      <c r="AC153" s="104">
        <v>50.985202330310486</v>
      </c>
      <c r="AD153" s="104">
        <v>37.378043882107583</v>
      </c>
    </row>
    <row r="154" spans="1:30" ht="14.7" customHeight="1">
      <c r="A154" s="131" t="s">
        <v>210</v>
      </c>
      <c r="B154" s="131"/>
      <c r="C154">
        <v>87.773740691865328</v>
      </c>
      <c r="D154">
        <v>79.645981553948943</v>
      </c>
      <c r="E154">
        <v>55.053471377969487</v>
      </c>
      <c r="F154">
        <v>46.325241397048032</v>
      </c>
      <c r="G154">
        <v>88.106606231197929</v>
      </c>
      <c r="H154">
        <v>79.859392301178929</v>
      </c>
      <c r="I154" s="147">
        <v>60.919282876310824</v>
      </c>
      <c r="J154" s="112">
        <v>53.556918843222824</v>
      </c>
      <c r="K154" s="112">
        <v>89.993200686406894</v>
      </c>
      <c r="L154" s="126">
        <v>84.585492227979259</v>
      </c>
      <c r="M154" s="112">
        <v>66.04784807577623</v>
      </c>
      <c r="N154" s="126">
        <v>55.198385960020744</v>
      </c>
      <c r="O154" s="147">
        <v>71.36284426455893</v>
      </c>
      <c r="P154" s="147">
        <v>64.015916600829314</v>
      </c>
      <c r="Q154" s="147">
        <v>39.22921696933988</v>
      </c>
      <c r="R154" s="112">
        <v>26.880135351118607</v>
      </c>
      <c r="S154" s="112">
        <v>72.451999999999998</v>
      </c>
      <c r="T154" s="112">
        <v>66.509700000000009</v>
      </c>
      <c r="U154" s="146">
        <v>39.442599999999999</v>
      </c>
      <c r="V154" s="113">
        <v>28.140799999999999</v>
      </c>
      <c r="W154" s="113">
        <v>77.947699999999998</v>
      </c>
      <c r="X154" s="126">
        <v>70.692400000000006</v>
      </c>
      <c r="Y154" s="126">
        <v>44.241</v>
      </c>
      <c r="Z154" s="104">
        <v>36.074600000000004</v>
      </c>
      <c r="AA154" s="104">
        <v>75.018328453173524</v>
      </c>
      <c r="AB154" s="104">
        <v>69.205876898389903</v>
      </c>
      <c r="AC154" s="104">
        <v>42.958679007960924</v>
      </c>
      <c r="AD154" s="104">
        <v>31.373748718027443</v>
      </c>
    </row>
    <row r="155" spans="1:30" ht="14.7" customHeight="1">
      <c r="A155" s="131" t="s">
        <v>88</v>
      </c>
      <c r="B155" s="131"/>
      <c r="C155">
        <v>90.142417844661509</v>
      </c>
      <c r="D155">
        <v>78.07481841301346</v>
      </c>
      <c r="E155">
        <v>57.455610418087723</v>
      </c>
      <c r="F155">
        <v>44.953124699153285</v>
      </c>
      <c r="G155">
        <v>86.860007087419021</v>
      </c>
      <c r="H155">
        <v>78.045163829782808</v>
      </c>
      <c r="I155" s="147">
        <v>53.816932999835466</v>
      </c>
      <c r="J155" s="112">
        <v>41.910559539156495</v>
      </c>
      <c r="K155" s="112">
        <v>87.587065309501398</v>
      </c>
      <c r="L155" s="126">
        <v>82.33710146594305</v>
      </c>
      <c r="M155" s="112">
        <v>62.370096586075817</v>
      </c>
      <c r="N155" s="126">
        <v>52.114245603459729</v>
      </c>
      <c r="O155" s="147">
        <v>76.92531830127902</v>
      </c>
      <c r="P155" s="147">
        <v>64.971992723769517</v>
      </c>
      <c r="Q155" s="147">
        <v>34.846319012396442</v>
      </c>
      <c r="R155" s="112">
        <v>24.05654209109851</v>
      </c>
      <c r="S155" s="112">
        <v>78.197699999999998</v>
      </c>
      <c r="T155" s="112">
        <v>74.334800000000001</v>
      </c>
      <c r="U155" s="146">
        <v>47.673400000000001</v>
      </c>
      <c r="V155" s="113">
        <v>36.725700000000003</v>
      </c>
      <c r="W155" s="113">
        <v>78.806299999999993</v>
      </c>
      <c r="X155" s="126">
        <v>70.448599999999999</v>
      </c>
      <c r="Y155" s="126">
        <v>41.249200000000002</v>
      </c>
      <c r="Z155" s="104">
        <v>29.177700000000002</v>
      </c>
      <c r="AA155" s="104">
        <v>79.285588018207903</v>
      </c>
      <c r="AB155" s="104">
        <v>68.02303785321061</v>
      </c>
      <c r="AC155" s="104">
        <v>42.680899592243243</v>
      </c>
      <c r="AD155" s="104">
        <v>31.830265082385967</v>
      </c>
    </row>
    <row r="156" spans="1:30" ht="14.7" customHeight="1">
      <c r="A156" s="131" t="s">
        <v>89</v>
      </c>
      <c r="B156" s="131"/>
      <c r="C156">
        <v>86.138636686328198</v>
      </c>
      <c r="D156">
        <v>76.233092605936406</v>
      </c>
      <c r="E156">
        <v>53.622412769745942</v>
      </c>
      <c r="F156">
        <v>46.41549704910971</v>
      </c>
      <c r="G156">
        <v>85.786024480096017</v>
      </c>
      <c r="H156">
        <v>78.450859885729201</v>
      </c>
      <c r="I156" s="147">
        <v>59.126370780605775</v>
      </c>
      <c r="J156" s="112">
        <v>50.80340283923379</v>
      </c>
      <c r="K156" s="112">
        <v>81.478994569970183</v>
      </c>
      <c r="L156" s="126">
        <v>75.015388838097323</v>
      </c>
      <c r="M156" s="112">
        <v>61.427196163789709</v>
      </c>
      <c r="N156" s="126">
        <v>52.35171719251084</v>
      </c>
      <c r="O156" s="147">
        <v>71.119073813710528</v>
      </c>
      <c r="P156" s="147">
        <v>62.26007575416731</v>
      </c>
      <c r="Q156" s="147">
        <v>33.570451266807027</v>
      </c>
      <c r="R156" s="112">
        <v>25.730460306967579</v>
      </c>
      <c r="S156" s="112">
        <v>73.487200000000001</v>
      </c>
      <c r="T156" s="112">
        <v>64.858599999999996</v>
      </c>
      <c r="U156" s="146">
        <v>40.6965</v>
      </c>
      <c r="V156" s="113">
        <v>28.811799999999998</v>
      </c>
      <c r="W156" s="113">
        <v>65.85560000000001</v>
      </c>
      <c r="X156" s="126">
        <v>56.493200000000002</v>
      </c>
      <c r="Y156" s="126">
        <v>34.316499999999998</v>
      </c>
      <c r="Z156" s="104">
        <v>26.424199999999999</v>
      </c>
      <c r="AA156" s="104">
        <v>76.18953351514763</v>
      </c>
      <c r="AB156" s="104">
        <v>65.424997113124789</v>
      </c>
      <c r="AC156" s="104">
        <v>39.044133656978389</v>
      </c>
      <c r="AD156" s="104">
        <v>28.627945961427155</v>
      </c>
    </row>
    <row r="157" spans="1:30" ht="14.7" customHeight="1">
      <c r="A157" s="131" t="s">
        <v>90</v>
      </c>
      <c r="B157" s="131"/>
      <c r="C157">
        <v>88.339726248874584</v>
      </c>
      <c r="D157">
        <v>77.752011118047164</v>
      </c>
      <c r="E157">
        <v>48.029328990097234</v>
      </c>
      <c r="F157">
        <v>38.120295137763136</v>
      </c>
      <c r="G157">
        <v>85.366330464106156</v>
      </c>
      <c r="H157">
        <v>79.07219069611287</v>
      </c>
      <c r="I157" s="147">
        <v>55.267316841493276</v>
      </c>
      <c r="J157" s="112">
        <v>45.336797111061991</v>
      </c>
      <c r="K157" s="112">
        <v>86.436713894370968</v>
      </c>
      <c r="L157" s="126">
        <v>77.531229097567362</v>
      </c>
      <c r="M157" s="112">
        <v>55.73863647574381</v>
      </c>
      <c r="N157" s="126">
        <v>43.182871991776153</v>
      </c>
      <c r="O157" s="147">
        <v>75.097065141574205</v>
      </c>
      <c r="P157" s="147">
        <v>66.620789693448543</v>
      </c>
      <c r="Q157" s="147">
        <v>43.283385714963721</v>
      </c>
      <c r="R157" s="112">
        <v>27.907650667269913</v>
      </c>
      <c r="S157" s="112">
        <v>82.305199999999999</v>
      </c>
      <c r="T157" s="112">
        <v>72.422699999999992</v>
      </c>
      <c r="U157" s="146">
        <v>43.7483</v>
      </c>
      <c r="V157" s="113">
        <v>31.607600000000001</v>
      </c>
      <c r="W157" s="113">
        <v>79.139499999999998</v>
      </c>
      <c r="X157" s="126">
        <v>69.481000000000009</v>
      </c>
      <c r="Y157" s="126">
        <v>45.564</v>
      </c>
      <c r="Z157" s="104">
        <v>33.5518</v>
      </c>
      <c r="AA157" s="104">
        <v>76.47326266238025</v>
      </c>
      <c r="AB157" s="104">
        <v>67.929155769860373</v>
      </c>
      <c r="AC157" s="104">
        <v>39.34575249833189</v>
      </c>
      <c r="AD157" s="104">
        <v>29.150116674980371</v>
      </c>
    </row>
    <row r="158" spans="1:30" ht="14.7" customHeight="1">
      <c r="A158" s="131" t="s">
        <v>270</v>
      </c>
      <c r="B158" s="131"/>
      <c r="C158">
        <v>82.657839383303383</v>
      </c>
      <c r="D158">
        <v>75.158189745638865</v>
      </c>
      <c r="E158">
        <v>57.002087058021345</v>
      </c>
      <c r="F158">
        <v>46.061976768450265</v>
      </c>
      <c r="G158">
        <v>86.379330387096374</v>
      </c>
      <c r="H158">
        <v>82.177329168196962</v>
      </c>
      <c r="I158" s="147">
        <v>60.088144629821436</v>
      </c>
      <c r="J158" s="112">
        <v>46.38012784272621</v>
      </c>
      <c r="K158" s="112">
        <v>86.571705212777687</v>
      </c>
      <c r="L158" s="126">
        <v>82.385976450452432</v>
      </c>
      <c r="M158" s="112">
        <v>62.168388773553509</v>
      </c>
      <c r="N158" s="126">
        <v>52.556615584539067</v>
      </c>
      <c r="O158" s="147">
        <v>81.475282587323576</v>
      </c>
      <c r="P158" s="147">
        <v>74.593147895261581</v>
      </c>
      <c r="Q158" s="147">
        <v>48.497773582892059</v>
      </c>
      <c r="R158" s="112">
        <v>36.61038728211421</v>
      </c>
      <c r="S158" s="112">
        <v>79.293800000000005</v>
      </c>
      <c r="T158" s="112">
        <v>71.137</v>
      </c>
      <c r="U158" s="146">
        <v>44.557600000000001</v>
      </c>
      <c r="V158" s="113">
        <v>33.295999999999999</v>
      </c>
      <c r="W158" s="113">
        <v>86.007500000000007</v>
      </c>
      <c r="X158" s="126">
        <v>78.22059999999999</v>
      </c>
      <c r="Y158" s="126">
        <v>50.867899999999999</v>
      </c>
      <c r="Z158" s="104">
        <v>38.4619</v>
      </c>
      <c r="AA158" s="104">
        <v>82.57358904181693</v>
      </c>
      <c r="AB158" s="104">
        <v>77.280570097680197</v>
      </c>
      <c r="AC158" s="104">
        <v>49.409727402922755</v>
      </c>
      <c r="AD158" s="104">
        <v>37.34211232629859</v>
      </c>
    </row>
    <row r="159" spans="1:30" ht="14.7" customHeight="1">
      <c r="A159" s="131" t="s">
        <v>2</v>
      </c>
      <c r="B159" s="131"/>
      <c r="C159">
        <v>88.332265681689137</v>
      </c>
      <c r="D159">
        <v>83.953734864957198</v>
      </c>
      <c r="E159">
        <v>68.358068914799873</v>
      </c>
      <c r="F159">
        <v>61.830343507834684</v>
      </c>
      <c r="G159">
        <v>96.311099897751859</v>
      </c>
      <c r="H159">
        <v>96.277853026319278</v>
      </c>
      <c r="I159" s="147">
        <v>91.296842217087615</v>
      </c>
      <c r="J159" s="112">
        <v>85.642578280615083</v>
      </c>
      <c r="K159" s="112">
        <v>92.893294704876268</v>
      </c>
      <c r="L159" s="126">
        <v>92.588637852792004</v>
      </c>
      <c r="M159" s="112">
        <v>75.079476787924378</v>
      </c>
      <c r="N159" s="126">
        <v>64.621302205935876</v>
      </c>
      <c r="O159" s="147">
        <v>85.407323629060997</v>
      </c>
      <c r="P159" s="147">
        <v>79.467733433167396</v>
      </c>
      <c r="Q159" s="147">
        <v>56.480581743371729</v>
      </c>
      <c r="R159" s="112">
        <v>45.801243680969897</v>
      </c>
      <c r="S159" s="112">
        <v>87.092399999999998</v>
      </c>
      <c r="T159" s="112">
        <v>84.483199999999997</v>
      </c>
      <c r="U159" s="146">
        <v>61.500799999999998</v>
      </c>
      <c r="V159" s="113">
        <v>51.607700000000001</v>
      </c>
      <c r="W159" s="113">
        <v>87.695599999999999</v>
      </c>
      <c r="X159" s="126">
        <v>83.373099999999994</v>
      </c>
      <c r="Y159" s="126">
        <v>61.279200000000003</v>
      </c>
      <c r="Z159" s="104">
        <v>50.397499999999994</v>
      </c>
      <c r="AA159" s="104">
        <v>86.64856412405949</v>
      </c>
      <c r="AB159" s="104">
        <v>85.081546229834046</v>
      </c>
      <c r="AC159" s="104">
        <v>69.577043448325895</v>
      </c>
      <c r="AD159" s="104">
        <v>57.198214336401918</v>
      </c>
    </row>
    <row r="160" spans="1:30" ht="14.7" customHeight="1">
      <c r="A160" s="131" t="s">
        <v>211</v>
      </c>
      <c r="B160" s="131"/>
      <c r="C160">
        <v>92.82295424854405</v>
      </c>
      <c r="D160">
        <v>87.45575787312417</v>
      </c>
      <c r="E160">
        <v>68.383854948847784</v>
      </c>
      <c r="F160">
        <v>57.999321236945335</v>
      </c>
      <c r="G160">
        <v>90.482992408288013</v>
      </c>
      <c r="H160">
        <v>85.911556932356476</v>
      </c>
      <c r="I160" s="147">
        <v>65.854722918817927</v>
      </c>
      <c r="J160" s="112">
        <v>56.843028306370982</v>
      </c>
      <c r="K160" s="112">
        <v>94.073365480350631</v>
      </c>
      <c r="L160" s="126">
        <v>90.673170232407998</v>
      </c>
      <c r="M160" s="112">
        <v>75.65670463694002</v>
      </c>
      <c r="N160" s="126">
        <v>65.199230752575147</v>
      </c>
      <c r="O160" s="147">
        <v>86.139926956410818</v>
      </c>
      <c r="P160" s="147">
        <v>80.155536078274991</v>
      </c>
      <c r="Q160" s="147">
        <v>55.729080653281194</v>
      </c>
      <c r="R160" s="112">
        <v>44.136740180099153</v>
      </c>
      <c r="S160" s="112">
        <v>87.011099999999999</v>
      </c>
      <c r="T160" s="112">
        <v>80.433800000000005</v>
      </c>
      <c r="U160" s="147">
        <v>53.927300000000002</v>
      </c>
      <c r="V160" s="149">
        <v>40.115699999999997</v>
      </c>
      <c r="W160" s="149">
        <v>86.519100000000009</v>
      </c>
      <c r="X160" s="126">
        <v>80.450699999999998</v>
      </c>
      <c r="Y160" s="126">
        <v>57.292299999999997</v>
      </c>
      <c r="Z160" s="104">
        <v>40.997099999999996</v>
      </c>
      <c r="AA160" s="104">
        <v>85.80510755984406</v>
      </c>
      <c r="AB160" s="104">
        <v>78.426930277454346</v>
      </c>
      <c r="AC160" s="104">
        <v>57.87822159073648</v>
      </c>
      <c r="AD160" s="104">
        <v>45.673500686749115</v>
      </c>
    </row>
    <row r="161" spans="1:30" ht="14.7" customHeight="1">
      <c r="A161" s="131" t="s">
        <v>337</v>
      </c>
      <c r="B161" s="131"/>
      <c r="C161">
        <v>92.777193763038156</v>
      </c>
      <c r="D161">
        <v>84.071191585583634</v>
      </c>
      <c r="E161">
        <v>64.732237271051659</v>
      </c>
      <c r="F161">
        <v>56.639978044432894</v>
      </c>
      <c r="G161">
        <v>90.918107574183821</v>
      </c>
      <c r="H161">
        <v>88.080005249473004</v>
      </c>
      <c r="I161" s="147">
        <v>72.241565983414958</v>
      </c>
      <c r="J161" s="112">
        <v>62.286432572979976</v>
      </c>
      <c r="K161" s="112">
        <v>93.263093931707473</v>
      </c>
      <c r="L161" s="126">
        <v>89.377009809907605</v>
      </c>
      <c r="M161" s="112">
        <v>75.975088533398463</v>
      </c>
      <c r="N161" s="126">
        <v>67.454715675499671</v>
      </c>
      <c r="O161" s="147">
        <v>80.894708891785768</v>
      </c>
      <c r="P161" s="147">
        <v>73.06871071002206</v>
      </c>
      <c r="Q161" s="147">
        <v>52.700660673090539</v>
      </c>
      <c r="R161" s="112">
        <v>44.092859235468509</v>
      </c>
      <c r="S161" s="112">
        <v>80.406500000000008</v>
      </c>
      <c r="T161" s="112">
        <v>75.972300000000004</v>
      </c>
      <c r="U161" s="146">
        <v>52.860399999999998</v>
      </c>
      <c r="V161" s="113">
        <v>40.992200000000004</v>
      </c>
      <c r="W161" s="113">
        <v>82.315700000000007</v>
      </c>
      <c r="X161" s="126">
        <v>77.751899999999992</v>
      </c>
      <c r="Y161" s="126">
        <v>55.975699999999996</v>
      </c>
      <c r="Z161" s="104">
        <v>46.1096</v>
      </c>
      <c r="AA161" s="104">
        <v>86.308909090871595</v>
      </c>
      <c r="AB161" s="104">
        <v>81.267907158600877</v>
      </c>
      <c r="AC161" s="104">
        <v>60.292073490475943</v>
      </c>
      <c r="AD161" s="104">
        <v>46.461474341159445</v>
      </c>
    </row>
    <row r="162" spans="1:30" ht="14.7" customHeight="1">
      <c r="A162" s="131" t="s">
        <v>315</v>
      </c>
      <c r="B162" s="131"/>
      <c r="C162">
        <v>86.540423574653033</v>
      </c>
      <c r="D162">
        <v>76.783843763404136</v>
      </c>
      <c r="E162">
        <v>53.853087287792292</v>
      </c>
      <c r="F162">
        <v>42.871016754971123</v>
      </c>
      <c r="G162">
        <v>85.005731024698406</v>
      </c>
      <c r="H162">
        <v>77.803401101455833</v>
      </c>
      <c r="I162">
        <v>55.93182899097522</v>
      </c>
      <c r="J162">
        <v>45.000256595579117</v>
      </c>
      <c r="K162">
        <v>86.404396435614018</v>
      </c>
      <c r="L162">
        <v>81.126456383660809</v>
      </c>
      <c r="M162">
        <v>61.553166995973598</v>
      </c>
      <c r="N162">
        <v>49.933693715836384</v>
      </c>
      <c r="O162">
        <v>78.857618182560728</v>
      </c>
      <c r="P162" s="147">
        <v>67.653686113795303</v>
      </c>
      <c r="Q162" s="147">
        <v>42.088088920899494</v>
      </c>
      <c r="R162" s="112">
        <v>31.476299931742002</v>
      </c>
      <c r="S162" s="112">
        <v>81.197500000000005</v>
      </c>
      <c r="T162" s="112">
        <v>71.898700000000005</v>
      </c>
      <c r="U162" s="146">
        <v>45.906000000000006</v>
      </c>
      <c r="V162" s="113">
        <v>33.735500000000002</v>
      </c>
      <c r="W162" s="113">
        <v>80.695999999999998</v>
      </c>
      <c r="X162" s="126">
        <v>71.468500000000006</v>
      </c>
      <c r="Y162" s="126">
        <v>45.386500000000005</v>
      </c>
      <c r="Z162" s="104">
        <v>33.574599999999997</v>
      </c>
      <c r="AA162" s="104">
        <v>80.59948111436735</v>
      </c>
      <c r="AB162" s="104">
        <v>71.712947760480318</v>
      </c>
      <c r="AC162" s="104">
        <v>44.004215354753782</v>
      </c>
      <c r="AD162" s="104">
        <v>31.546618731346989</v>
      </c>
    </row>
    <row r="163" spans="1:30" ht="14.7" customHeight="1">
      <c r="A163" s="131" t="s">
        <v>91</v>
      </c>
      <c r="B163" s="131"/>
      <c r="C163">
        <v>86.643331393786951</v>
      </c>
      <c r="D163">
        <v>76.568443683183702</v>
      </c>
      <c r="E163">
        <v>55.937384734566628</v>
      </c>
      <c r="F163">
        <v>43.02152718773678</v>
      </c>
      <c r="G163">
        <v>86.911434921209562</v>
      </c>
      <c r="H163">
        <v>79.992368119254294</v>
      </c>
      <c r="I163" s="147">
        <v>58.321724805048525</v>
      </c>
      <c r="J163" s="112">
        <v>48.189172166612977</v>
      </c>
      <c r="K163" s="112">
        <v>83.823012806182746</v>
      </c>
      <c r="L163" s="126">
        <v>74.646695779686411</v>
      </c>
      <c r="M163" s="112">
        <v>55.944937718549085</v>
      </c>
      <c r="N163" s="126">
        <v>48.133772177191943</v>
      </c>
      <c r="O163" s="147">
        <v>78.40231245515622</v>
      </c>
      <c r="P163" s="147">
        <v>69.291335982778108</v>
      </c>
      <c r="Q163" s="147">
        <v>37.319767076106636</v>
      </c>
      <c r="R163" s="112">
        <v>25.78118569243173</v>
      </c>
      <c r="S163" s="112">
        <v>79.613399999999999</v>
      </c>
      <c r="T163" s="112">
        <v>66.950100000000006</v>
      </c>
      <c r="U163" s="147">
        <v>37.996400000000001</v>
      </c>
      <c r="V163" s="113">
        <v>28.062900000000003</v>
      </c>
      <c r="W163" s="113">
        <v>74.593000000000004</v>
      </c>
      <c r="X163" s="126">
        <v>63.290400000000005</v>
      </c>
      <c r="Y163" s="126">
        <v>38.456400000000002</v>
      </c>
      <c r="Z163" s="104">
        <v>29.430199999999999</v>
      </c>
      <c r="AA163" s="104">
        <v>79.658934383201213</v>
      </c>
      <c r="AB163" s="104">
        <v>70.194558880266584</v>
      </c>
      <c r="AC163" s="104">
        <v>46.434258142158605</v>
      </c>
      <c r="AD163" s="104">
        <v>37.172063189505295</v>
      </c>
    </row>
    <row r="164" spans="1:30" ht="14.7" customHeight="1">
      <c r="A164" s="131" t="s">
        <v>376</v>
      </c>
      <c r="B164" s="131"/>
      <c r="C164">
        <v>86.543720550956664</v>
      </c>
      <c r="D164">
        <v>75.904359567708681</v>
      </c>
      <c r="E164">
        <v>56.076392844522061</v>
      </c>
      <c r="F164">
        <v>40.258744086058599</v>
      </c>
      <c r="G164">
        <v>82.704358724411634</v>
      </c>
      <c r="H164">
        <v>74.045572142170599</v>
      </c>
      <c r="I164" s="147">
        <v>45.815006987508916</v>
      </c>
      <c r="J164" s="112">
        <v>36.202499861073093</v>
      </c>
      <c r="K164" s="112">
        <v>83.394864447873047</v>
      </c>
      <c r="L164" s="126">
        <v>77.702784187295492</v>
      </c>
      <c r="M164" s="112">
        <v>62.477589020831161</v>
      </c>
      <c r="N164" s="126">
        <v>50.256269044307409</v>
      </c>
      <c r="O164" s="147">
        <v>76.341195696653159</v>
      </c>
      <c r="P164" s="147">
        <v>64.012380903613575</v>
      </c>
      <c r="Q164" s="147">
        <v>36.532872094569527</v>
      </c>
      <c r="R164" s="112">
        <v>26.385320990748689</v>
      </c>
      <c r="S164" s="112">
        <v>70.957899999999995</v>
      </c>
      <c r="T164" s="112">
        <v>64.080200000000005</v>
      </c>
      <c r="U164" s="147">
        <v>41.176099999999998</v>
      </c>
      <c r="V164" s="149">
        <v>28.991299999999999</v>
      </c>
      <c r="W164" s="149">
        <v>78.294299999999993</v>
      </c>
      <c r="X164" s="126">
        <v>69.740600000000001</v>
      </c>
      <c r="Y164" s="126">
        <v>44.200099999999999</v>
      </c>
      <c r="Z164" s="104">
        <v>34.053899999999999</v>
      </c>
      <c r="AA164" s="104">
        <v>78.824074242019719</v>
      </c>
      <c r="AB164" s="104">
        <v>70.259732316940898</v>
      </c>
      <c r="AC164" s="104">
        <v>41.764217541448339</v>
      </c>
      <c r="AD164" s="104">
        <v>30.602665765899133</v>
      </c>
    </row>
    <row r="165" spans="1:30" ht="14.7" customHeight="1">
      <c r="A165" s="132" t="s">
        <v>817</v>
      </c>
      <c r="B165" s="131"/>
      <c r="C165">
        <v>88.400502638994595</v>
      </c>
      <c r="D165">
        <v>82.097297580792329</v>
      </c>
      <c r="E165">
        <v>59.926711181124624</v>
      </c>
      <c r="F165">
        <v>49.440879930439074</v>
      </c>
      <c r="G165">
        <v>85.644811062766834</v>
      </c>
      <c r="H165">
        <v>79.854075298316133</v>
      </c>
      <c r="I165" s="147">
        <v>60.914996353971873</v>
      </c>
      <c r="J165" s="112">
        <v>52.202347248136775</v>
      </c>
      <c r="K165" s="112">
        <v>85.341778038683515</v>
      </c>
      <c r="L165" s="126">
        <v>80.586732959787128</v>
      </c>
      <c r="M165" s="112">
        <v>64.924983248686601</v>
      </c>
      <c r="N165" s="126">
        <v>57.832719927750851</v>
      </c>
      <c r="O165" s="147">
        <v>76.861112424166492</v>
      </c>
      <c r="P165" s="147">
        <v>67.812314133849128</v>
      </c>
      <c r="Q165" s="147">
        <v>43.28371893478328</v>
      </c>
      <c r="R165" s="112">
        <v>31.583722009750542</v>
      </c>
      <c r="S165" s="112">
        <v>72.676400000000001</v>
      </c>
      <c r="T165" s="112">
        <v>67.128299999999996</v>
      </c>
      <c r="U165" s="146">
        <v>41.577500000000001</v>
      </c>
      <c r="V165" s="113">
        <v>32.932000000000002</v>
      </c>
      <c r="W165" s="113">
        <v>75.711500000000001</v>
      </c>
      <c r="X165" s="126">
        <v>66.041799999999995</v>
      </c>
      <c r="Y165" s="126">
        <v>39.131799999999998</v>
      </c>
      <c r="Z165" s="104">
        <v>29.4528</v>
      </c>
      <c r="AA165" s="104">
        <v>75.393518550268297</v>
      </c>
      <c r="AB165" s="104">
        <v>69.106306400399831</v>
      </c>
      <c r="AC165" s="104">
        <v>41.672906478551283</v>
      </c>
      <c r="AD165" s="104">
        <v>30.545315551968024</v>
      </c>
    </row>
    <row r="166" spans="1:30" ht="14.7" customHeight="1">
      <c r="A166" s="131" t="s">
        <v>392</v>
      </c>
      <c r="B166" s="131"/>
      <c r="C166">
        <v>89.562681025939</v>
      </c>
      <c r="D166">
        <v>81.957592420095537</v>
      </c>
      <c r="E166">
        <v>58.349100725531478</v>
      </c>
      <c r="F166">
        <v>48.563101635795512</v>
      </c>
      <c r="G166">
        <v>90.320691465729624</v>
      </c>
      <c r="H166">
        <v>85.949306750119163</v>
      </c>
      <c r="I166" s="147">
        <v>65.827651240388803</v>
      </c>
      <c r="J166" s="112">
        <v>51.708565625582892</v>
      </c>
      <c r="K166" s="112">
        <v>90.676658074673171</v>
      </c>
      <c r="L166" s="126">
        <v>86.071455828853573</v>
      </c>
      <c r="M166" s="112">
        <v>68.430394461067607</v>
      </c>
      <c r="N166" s="126">
        <v>58.669552505768095</v>
      </c>
      <c r="O166" s="147">
        <v>82.007523427597434</v>
      </c>
      <c r="P166" s="147">
        <v>75.147212012074647</v>
      </c>
      <c r="Q166" s="147">
        <v>50.17454151465914</v>
      </c>
      <c r="R166" s="112">
        <v>38.191096468552033</v>
      </c>
      <c r="S166" s="112">
        <v>83.403099999999995</v>
      </c>
      <c r="T166" s="112">
        <v>76.581800000000001</v>
      </c>
      <c r="U166" s="146">
        <v>49.713000000000001</v>
      </c>
      <c r="V166" s="113">
        <v>36.990299999999998</v>
      </c>
      <c r="W166" s="113">
        <v>89.358199999999997</v>
      </c>
      <c r="X166" s="126">
        <v>82.452100000000002</v>
      </c>
      <c r="Y166" s="126">
        <v>53.112300000000005</v>
      </c>
      <c r="Z166" s="104">
        <v>40.497699999999995</v>
      </c>
      <c r="AA166" s="104">
        <v>85.088905148917888</v>
      </c>
      <c r="AB166" s="104">
        <v>76.489843832029209</v>
      </c>
      <c r="AC166" s="104">
        <v>49.177233295440622</v>
      </c>
      <c r="AD166" s="104">
        <v>37.032122993483242</v>
      </c>
    </row>
    <row r="167" spans="1:30" ht="14.7" customHeight="1">
      <c r="A167" s="131" t="s">
        <v>232</v>
      </c>
      <c r="B167" s="131"/>
      <c r="C167">
        <v>85.286443341296959</v>
      </c>
      <c r="D167">
        <v>71.663027402129401</v>
      </c>
      <c r="E167">
        <v>50.125271719033336</v>
      </c>
      <c r="F167">
        <v>40.58543994210131</v>
      </c>
      <c r="G167">
        <v>81.61207568854411</v>
      </c>
      <c r="H167">
        <v>73.71997632374169</v>
      </c>
      <c r="I167" s="147">
        <v>50.778720443618319</v>
      </c>
      <c r="J167" s="112">
        <v>41.274779592726816</v>
      </c>
      <c r="K167" s="112">
        <v>87.046000881486279</v>
      </c>
      <c r="L167" s="126">
        <v>78.539762304206718</v>
      </c>
      <c r="M167" s="112">
        <v>57.013868201132048</v>
      </c>
      <c r="N167" s="126">
        <v>48.013648693143516</v>
      </c>
      <c r="O167" s="147">
        <v>74.117269583165069</v>
      </c>
      <c r="P167" s="147">
        <v>63.834766537173323</v>
      </c>
      <c r="Q167" s="147">
        <v>36.114027973795352</v>
      </c>
      <c r="R167" s="112">
        <v>26.729032596986514</v>
      </c>
      <c r="S167" s="112">
        <v>74.236500000000007</v>
      </c>
      <c r="T167" s="112">
        <v>64.179699999999997</v>
      </c>
      <c r="U167" s="146">
        <v>36.427900000000001</v>
      </c>
      <c r="V167" s="113">
        <v>25.219399999999997</v>
      </c>
      <c r="W167" s="113">
        <v>71.652000000000001</v>
      </c>
      <c r="X167" s="126">
        <v>59.797400000000003</v>
      </c>
      <c r="Y167" s="126">
        <v>33.4861</v>
      </c>
      <c r="Z167" s="104">
        <v>25.358699999999999</v>
      </c>
      <c r="AA167" s="104">
        <v>74.294799400252529</v>
      </c>
      <c r="AB167" s="104">
        <v>66.004932231824213</v>
      </c>
      <c r="AC167" s="104">
        <v>36.424667746786803</v>
      </c>
      <c r="AD167" s="104">
        <v>25.830839952129331</v>
      </c>
    </row>
    <row r="168" spans="1:30" ht="14.7" customHeight="1">
      <c r="A168" s="131" t="s">
        <v>233</v>
      </c>
      <c r="B168" s="131"/>
      <c r="C168">
        <v>80.205200873988829</v>
      </c>
      <c r="D168">
        <v>72.704170914257929</v>
      </c>
      <c r="E168">
        <v>55.172344650609325</v>
      </c>
      <c r="F168">
        <v>47.406728039547083</v>
      </c>
      <c r="G168">
        <v>75.360632293264857</v>
      </c>
      <c r="H168">
        <v>69.108538005558387</v>
      </c>
      <c r="I168" s="147">
        <v>53.977964223651618</v>
      </c>
      <c r="J168" s="112">
        <v>44.904100575820387</v>
      </c>
      <c r="K168" s="112">
        <v>79.224768816666753</v>
      </c>
      <c r="L168" s="126">
        <v>71.726402484412375</v>
      </c>
      <c r="M168" s="112">
        <v>53.146935704623857</v>
      </c>
      <c r="N168" s="126">
        <v>39.931686663091583</v>
      </c>
      <c r="O168" s="147">
        <v>67.917259945337193</v>
      </c>
      <c r="P168" s="147">
        <v>58.076505176666124</v>
      </c>
      <c r="Q168" s="147">
        <v>34.077144368520166</v>
      </c>
      <c r="R168" s="112">
        <v>24.993625688852362</v>
      </c>
      <c r="S168" s="112">
        <v>74.13</v>
      </c>
      <c r="T168" s="112">
        <v>62.9</v>
      </c>
      <c r="U168" s="146">
        <v>36.260799999999996</v>
      </c>
      <c r="V168" s="113">
        <v>26.956999999999997</v>
      </c>
      <c r="W168" s="113">
        <v>77.706500000000005</v>
      </c>
      <c r="X168" s="126">
        <v>68.712400000000002</v>
      </c>
      <c r="Y168" s="126">
        <v>40.3215</v>
      </c>
      <c r="Z168" s="104">
        <v>30.494799999999998</v>
      </c>
      <c r="AA168" s="104">
        <v>73.539146407146376</v>
      </c>
      <c r="AB168" s="104">
        <v>65.238274504704734</v>
      </c>
      <c r="AC168" s="104">
        <v>34.356823459335281</v>
      </c>
      <c r="AD168" s="104">
        <v>27.974439072999736</v>
      </c>
    </row>
    <row r="169" spans="1:30" ht="14.7" customHeight="1">
      <c r="A169" s="131" t="s">
        <v>212</v>
      </c>
      <c r="B169" s="131"/>
      <c r="C169">
        <v>88.700802473115644</v>
      </c>
      <c r="D169">
        <v>82.887301806537351</v>
      </c>
      <c r="E169">
        <v>62.811245617946533</v>
      </c>
      <c r="F169">
        <v>53.735902259482693</v>
      </c>
      <c r="G169">
        <v>95.351633059129853</v>
      </c>
      <c r="H169">
        <v>90.262121472901967</v>
      </c>
      <c r="I169" s="147">
        <v>68.247562543661601</v>
      </c>
      <c r="J169" s="112">
        <v>62.062143746646271</v>
      </c>
      <c r="K169" s="112">
        <v>89.285885615051768</v>
      </c>
      <c r="L169" s="126">
        <v>84.048775958651845</v>
      </c>
      <c r="M169" s="112">
        <v>70.068629878369578</v>
      </c>
      <c r="N169" s="126">
        <v>61.02024078487203</v>
      </c>
      <c r="O169" s="147">
        <v>82.513283798059291</v>
      </c>
      <c r="P169" s="147">
        <v>77.682141669383327</v>
      </c>
      <c r="Q169" s="147">
        <v>52.465798483034085</v>
      </c>
      <c r="R169" s="112">
        <v>41.445498525276406</v>
      </c>
      <c r="S169" s="112">
        <v>83.955500000000001</v>
      </c>
      <c r="T169" s="112">
        <v>78.916899999999998</v>
      </c>
      <c r="U169" s="146">
        <v>55.099299999999992</v>
      </c>
      <c r="V169" s="113">
        <v>43.081399999999995</v>
      </c>
      <c r="W169" s="113">
        <v>84.826300000000003</v>
      </c>
      <c r="X169" s="126">
        <v>79.081199999999995</v>
      </c>
      <c r="Y169" s="126">
        <v>55.091500000000003</v>
      </c>
      <c r="Z169" s="104">
        <v>41.334400000000002</v>
      </c>
      <c r="AA169" s="104">
        <v>85.113936829285635</v>
      </c>
      <c r="AB169" s="104">
        <v>79.137646659070711</v>
      </c>
      <c r="AC169" s="104">
        <v>55.110023507687458</v>
      </c>
      <c r="AD169" s="104">
        <v>41.543211231731959</v>
      </c>
    </row>
    <row r="170" spans="1:30" ht="14.7" customHeight="1">
      <c r="A170" s="131" t="s">
        <v>316</v>
      </c>
      <c r="B170" s="131"/>
      <c r="C170">
        <v>85.573872858885551</v>
      </c>
      <c r="D170">
        <v>77.203151737250124</v>
      </c>
      <c r="E170">
        <v>52.594711094367931</v>
      </c>
      <c r="F170">
        <v>43.258957754700724</v>
      </c>
      <c r="G170">
        <v>85.667426854319316</v>
      </c>
      <c r="H170">
        <v>78.298109911360029</v>
      </c>
      <c r="I170" s="147">
        <v>57.28016148570142</v>
      </c>
      <c r="J170" s="112">
        <v>45.815078408051484</v>
      </c>
      <c r="K170" s="112">
        <v>85.074692095346919</v>
      </c>
      <c r="L170" s="126">
        <v>78.30364376959389</v>
      </c>
      <c r="M170" s="112">
        <v>60.275067991559737</v>
      </c>
      <c r="N170" s="126">
        <v>48.895853363385278</v>
      </c>
      <c r="O170" s="147">
        <v>76.269907120123563</v>
      </c>
      <c r="P170" s="147">
        <v>67.256200957595283</v>
      </c>
      <c r="Q170" s="147">
        <v>38.971612794649445</v>
      </c>
      <c r="R170" s="112">
        <v>28.845601467759245</v>
      </c>
      <c r="S170" s="112">
        <v>76.985199999999992</v>
      </c>
      <c r="T170" s="112">
        <v>67.770399999999995</v>
      </c>
      <c r="U170" s="146">
        <v>41.607100000000003</v>
      </c>
      <c r="V170" s="113">
        <v>30.033199999999997</v>
      </c>
      <c r="W170" s="113">
        <v>76.203800000000001</v>
      </c>
      <c r="X170" s="126">
        <v>66.980999999999995</v>
      </c>
      <c r="Y170" s="126">
        <v>39.465600000000002</v>
      </c>
      <c r="Z170" s="104">
        <v>29.7835</v>
      </c>
      <c r="AA170" s="104">
        <v>78.620846560662358</v>
      </c>
      <c r="AB170" s="104">
        <v>69.807395938991704</v>
      </c>
      <c r="AC170" s="104">
        <v>41.452535291895295</v>
      </c>
      <c r="AD170" s="104">
        <v>30.90182308365209</v>
      </c>
    </row>
    <row r="171" spans="1:30" ht="14.7" customHeight="1">
      <c r="A171" s="131" t="s">
        <v>92</v>
      </c>
      <c r="B171" s="131"/>
      <c r="C171">
        <v>86.294093568668146</v>
      </c>
      <c r="D171">
        <v>77.521385201325529</v>
      </c>
      <c r="E171">
        <v>56.523257229422754</v>
      </c>
      <c r="F171">
        <v>44.94625321501352</v>
      </c>
      <c r="G171">
        <v>88.637429022146307</v>
      </c>
      <c r="H171">
        <v>80.735269548644979</v>
      </c>
      <c r="I171" s="147">
        <v>62.431083949186203</v>
      </c>
      <c r="J171" s="112">
        <v>48.441821755711807</v>
      </c>
      <c r="K171" s="112">
        <v>88.795311612330934</v>
      </c>
      <c r="L171" s="126">
        <v>81.260579588953789</v>
      </c>
      <c r="M171" s="112">
        <v>64.641136283372646</v>
      </c>
      <c r="N171" s="126">
        <v>52.889420208080473</v>
      </c>
      <c r="O171" s="147">
        <v>79.272314454461934</v>
      </c>
      <c r="P171" s="147">
        <v>70.909693256084495</v>
      </c>
      <c r="Q171" s="147">
        <v>45.114197982303196</v>
      </c>
      <c r="R171" s="112">
        <v>35.48504268026457</v>
      </c>
      <c r="S171" s="112">
        <v>84.725499999999997</v>
      </c>
      <c r="T171" s="112">
        <v>80.065399999999997</v>
      </c>
      <c r="U171" s="146">
        <v>53.127199999999995</v>
      </c>
      <c r="V171" s="113">
        <v>39.851199999999999</v>
      </c>
      <c r="W171" s="113">
        <v>81.334099999999992</v>
      </c>
      <c r="X171" s="126">
        <v>72.893699999999995</v>
      </c>
      <c r="Y171" s="126">
        <v>48.399500000000003</v>
      </c>
      <c r="Z171" s="104">
        <v>34.547899999999998</v>
      </c>
      <c r="AA171" s="104">
        <v>84.992900604276272</v>
      </c>
      <c r="AB171" s="104">
        <v>78.473476197946084</v>
      </c>
      <c r="AC171" s="104">
        <v>44.673507348097829</v>
      </c>
      <c r="AD171" s="104">
        <v>30.977410183369987</v>
      </c>
    </row>
    <row r="172" spans="1:30" ht="14.7" customHeight="1">
      <c r="A172" s="131" t="s">
        <v>234</v>
      </c>
      <c r="B172" s="131"/>
      <c r="C172">
        <v>85.406156570650424</v>
      </c>
      <c r="D172">
        <v>76.092226397177882</v>
      </c>
      <c r="E172">
        <v>51.821959172799247</v>
      </c>
      <c r="F172">
        <v>40.176748819935362</v>
      </c>
      <c r="G172">
        <v>87.636754212201026</v>
      </c>
      <c r="H172">
        <v>82.732947806065269</v>
      </c>
      <c r="I172" s="147">
        <v>63.230918247150626</v>
      </c>
      <c r="J172" s="112">
        <v>55.351550796432569</v>
      </c>
      <c r="K172" s="112">
        <v>90.368734608408431</v>
      </c>
      <c r="L172" s="126">
        <v>81.849537756919517</v>
      </c>
      <c r="M172" s="112">
        <v>62.497714700366579</v>
      </c>
      <c r="N172" s="126">
        <v>48.598380971228785</v>
      </c>
      <c r="O172" s="147">
        <v>75.177512988836199</v>
      </c>
      <c r="P172" s="147">
        <v>65.513823013973521</v>
      </c>
      <c r="Q172" s="147">
        <v>40.123303890870801</v>
      </c>
      <c r="R172" s="112">
        <v>29.489336232565883</v>
      </c>
      <c r="S172" s="112">
        <v>78.246000000000009</v>
      </c>
      <c r="T172" s="112">
        <v>69.070700000000002</v>
      </c>
      <c r="U172" s="146">
        <v>43.098300000000002</v>
      </c>
      <c r="V172" s="113">
        <v>31.324099999999998</v>
      </c>
      <c r="W172" s="113">
        <v>79.914300000000011</v>
      </c>
      <c r="X172" s="126">
        <v>71.629199999999997</v>
      </c>
      <c r="Y172" s="126">
        <v>46.859899999999996</v>
      </c>
      <c r="Z172" s="104">
        <v>35.093800000000002</v>
      </c>
      <c r="AA172" s="104">
        <v>81.988828860967089</v>
      </c>
      <c r="AB172" s="104">
        <v>74.070419556962818</v>
      </c>
      <c r="AC172" s="104">
        <v>45.470527440739851</v>
      </c>
      <c r="AD172" s="104">
        <v>33.257085666099954</v>
      </c>
    </row>
    <row r="173" spans="1:30" ht="14.7" customHeight="1">
      <c r="A173" s="131" t="s">
        <v>271</v>
      </c>
      <c r="B173" s="131"/>
      <c r="C173">
        <v>80.911124229904502</v>
      </c>
      <c r="D173">
        <v>72.086531872967399</v>
      </c>
      <c r="E173">
        <v>50.257092697372755</v>
      </c>
      <c r="F173">
        <v>39.633920081304794</v>
      </c>
      <c r="G173">
        <v>85.477999252497014</v>
      </c>
      <c r="H173">
        <v>77.104793988188405</v>
      </c>
      <c r="I173" s="147">
        <v>61.328397513654153</v>
      </c>
      <c r="J173" s="112">
        <v>51.950340123227889</v>
      </c>
      <c r="K173" s="112">
        <v>83.941529424309095</v>
      </c>
      <c r="L173" s="126">
        <v>79.015567335960469</v>
      </c>
      <c r="M173" s="112">
        <v>63.387830737474204</v>
      </c>
      <c r="N173" s="126">
        <v>52.059876774879598</v>
      </c>
      <c r="O173" s="147">
        <v>70.297748272391445</v>
      </c>
      <c r="P173" s="147">
        <v>62.507675833443052</v>
      </c>
      <c r="Q173" s="147">
        <v>36.786373203839226</v>
      </c>
      <c r="R173" s="112">
        <v>28.335121882488007</v>
      </c>
      <c r="S173" s="112">
        <v>69.288300000000007</v>
      </c>
      <c r="T173" s="112">
        <v>61.180100000000003</v>
      </c>
      <c r="U173" s="146">
        <v>37.617800000000003</v>
      </c>
      <c r="V173" s="113">
        <v>29.694300000000002</v>
      </c>
      <c r="W173" s="113">
        <v>71.618600000000001</v>
      </c>
      <c r="X173" s="126">
        <v>63.699399999999997</v>
      </c>
      <c r="Y173" s="126">
        <v>37.919499999999999</v>
      </c>
      <c r="Z173" s="104">
        <v>28.067399999999999</v>
      </c>
      <c r="AA173" s="104">
        <v>74.790462172756449</v>
      </c>
      <c r="AB173" s="104">
        <v>68.286817052500439</v>
      </c>
      <c r="AC173" s="104">
        <v>43.108016754112164</v>
      </c>
      <c r="AD173" s="104">
        <v>32.776569576685425</v>
      </c>
    </row>
    <row r="174" spans="1:30" ht="14.7" customHeight="1">
      <c r="A174" s="131" t="s">
        <v>317</v>
      </c>
      <c r="B174" s="131"/>
      <c r="C174">
        <v>87.854409581915618</v>
      </c>
      <c r="D174">
        <v>79.752540503902821</v>
      </c>
      <c r="E174">
        <v>55.669657925121172</v>
      </c>
      <c r="F174">
        <v>43.527579116178941</v>
      </c>
      <c r="G174">
        <v>88.151173780951154</v>
      </c>
      <c r="H174">
        <v>80.024989962784076</v>
      </c>
      <c r="I174" s="147">
        <v>57.196544916870231</v>
      </c>
      <c r="J174" s="112">
        <v>47.16336435196137</v>
      </c>
      <c r="K174" s="112">
        <v>87.643845226276454</v>
      </c>
      <c r="L174" s="126">
        <v>82.080224252394046</v>
      </c>
      <c r="M174" s="112">
        <v>63.324118515876272</v>
      </c>
      <c r="N174" s="126">
        <v>51.201792459295326</v>
      </c>
      <c r="O174" s="147">
        <v>79.264270212709405</v>
      </c>
      <c r="P174" s="147">
        <v>69.543687179911018</v>
      </c>
      <c r="Q174" s="147">
        <v>38.652892098788541</v>
      </c>
      <c r="R174" s="112">
        <v>27.595153154206326</v>
      </c>
      <c r="S174" s="112">
        <v>76.849199999999996</v>
      </c>
      <c r="T174" s="112">
        <v>67.118399999999994</v>
      </c>
      <c r="U174" s="146">
        <v>39.064399999999999</v>
      </c>
      <c r="V174" s="113">
        <v>28.2818</v>
      </c>
      <c r="W174" s="113">
        <v>76.306700000000006</v>
      </c>
      <c r="X174" s="126">
        <v>66.989100000000008</v>
      </c>
      <c r="Y174" s="126">
        <v>39.1479</v>
      </c>
      <c r="Z174" s="104">
        <v>28.046800000000001</v>
      </c>
      <c r="AA174" s="104">
        <v>81.222587959161245</v>
      </c>
      <c r="AB174" s="104">
        <v>71.077605564517611</v>
      </c>
      <c r="AC174" s="104">
        <v>43.360070992122296</v>
      </c>
      <c r="AD174" s="104">
        <v>32.591395529996944</v>
      </c>
    </row>
    <row r="175" spans="1:30" ht="14.7" customHeight="1">
      <c r="A175" s="131" t="s">
        <v>93</v>
      </c>
      <c r="B175" s="131"/>
      <c r="C175">
        <v>89.138731276833724</v>
      </c>
      <c r="D175">
        <v>80.149036079738224</v>
      </c>
      <c r="E175">
        <v>61.786370360663746</v>
      </c>
      <c r="F175">
        <v>46.753717259250614</v>
      </c>
      <c r="G175">
        <v>88.890459963519646</v>
      </c>
      <c r="H175">
        <v>80.523703080094052</v>
      </c>
      <c r="I175" s="147">
        <v>62.235566854256433</v>
      </c>
      <c r="J175" s="112">
        <v>48.650307511746824</v>
      </c>
      <c r="K175" s="112">
        <v>90.071015045964941</v>
      </c>
      <c r="L175" s="126">
        <v>84.932683398791411</v>
      </c>
      <c r="M175" s="112">
        <v>62.664294323595236</v>
      </c>
      <c r="N175" s="126">
        <v>50.950098802076084</v>
      </c>
      <c r="O175" s="147">
        <v>80.099511960470224</v>
      </c>
      <c r="P175" s="147">
        <v>71.153285660401295</v>
      </c>
      <c r="Q175" s="147">
        <v>47.991699097853441</v>
      </c>
      <c r="R175" s="112">
        <v>36.511397213768262</v>
      </c>
      <c r="S175" s="112">
        <v>78.799700000000001</v>
      </c>
      <c r="T175" s="112">
        <v>70.845799999999997</v>
      </c>
      <c r="U175" s="146">
        <v>47.9953</v>
      </c>
      <c r="V175" s="113">
        <v>36.107900000000001</v>
      </c>
      <c r="W175" s="113">
        <v>79.500699999999995</v>
      </c>
      <c r="X175" s="126">
        <v>71.408500000000004</v>
      </c>
      <c r="Y175" s="126">
        <v>46.132199999999997</v>
      </c>
      <c r="Z175" s="104">
        <v>35.078900000000004</v>
      </c>
      <c r="AA175" s="104">
        <v>84.741384313012247</v>
      </c>
      <c r="AB175" s="104">
        <v>75.342341293087202</v>
      </c>
      <c r="AC175" s="104">
        <v>51.607858482154114</v>
      </c>
      <c r="AD175" s="104">
        <v>38.305248463676058</v>
      </c>
    </row>
    <row r="176" spans="1:30" ht="14.7" customHeight="1">
      <c r="A176" s="131" t="s">
        <v>213</v>
      </c>
      <c r="B176" s="131"/>
      <c r="C176">
        <v>87.233284901024717</v>
      </c>
      <c r="D176">
        <v>79.524992896738738</v>
      </c>
      <c r="E176">
        <v>60.955575454872147</v>
      </c>
      <c r="F176">
        <v>50.098142648192322</v>
      </c>
      <c r="G176">
        <v>88.15774682431811</v>
      </c>
      <c r="H176">
        <v>83.284049871112813</v>
      </c>
      <c r="I176" s="147">
        <v>66.265730593464568</v>
      </c>
      <c r="J176" s="112">
        <v>55.222692481615077</v>
      </c>
      <c r="K176" s="112">
        <v>88.289144714952513</v>
      </c>
      <c r="L176" s="126">
        <v>83.925043416916111</v>
      </c>
      <c r="M176" s="112">
        <v>71.073250746424009</v>
      </c>
      <c r="N176" s="126">
        <v>60.929015992459625</v>
      </c>
      <c r="O176" s="147">
        <v>80.385747304932664</v>
      </c>
      <c r="P176" s="147">
        <v>73.487831563295344</v>
      </c>
      <c r="Q176" s="147">
        <v>53.291357706135869</v>
      </c>
      <c r="R176" s="112">
        <v>39.88703680466017</v>
      </c>
      <c r="S176" s="112">
        <v>77.758499999999998</v>
      </c>
      <c r="T176" s="112">
        <v>70.394500000000008</v>
      </c>
      <c r="U176" s="146">
        <v>47.262599999999999</v>
      </c>
      <c r="V176" s="113">
        <v>36.9268</v>
      </c>
      <c r="W176" s="113">
        <v>83.772000000000006</v>
      </c>
      <c r="X176" s="126">
        <v>74.523399999999995</v>
      </c>
      <c r="Y176" s="126">
        <v>51.718899999999998</v>
      </c>
      <c r="Z176" s="104">
        <v>37.546800000000005</v>
      </c>
      <c r="AA176" s="104">
        <v>85.639465984416489</v>
      </c>
      <c r="AB176" s="104">
        <v>80.790539321330826</v>
      </c>
      <c r="AC176" s="104">
        <v>58.59708717313945</v>
      </c>
      <c r="AD176" s="104">
        <v>45.930414723686312</v>
      </c>
    </row>
    <row r="177" spans="1:30" ht="14.7" customHeight="1">
      <c r="A177" s="131" t="s">
        <v>94</v>
      </c>
      <c r="B177" s="131"/>
      <c r="C177">
        <v>85.137132081267723</v>
      </c>
      <c r="D177">
        <v>77.259354157534233</v>
      </c>
      <c r="E177">
        <v>50.745470414300755</v>
      </c>
      <c r="F177">
        <v>38.774558959027978</v>
      </c>
      <c r="G177">
        <v>84.257163496267751</v>
      </c>
      <c r="H177">
        <v>74.6843401055377</v>
      </c>
      <c r="I177" s="147">
        <v>48.903251712655191</v>
      </c>
      <c r="J177" s="112">
        <v>40.483964517921542</v>
      </c>
      <c r="K177" s="112">
        <v>87.134908631765896</v>
      </c>
      <c r="L177" s="126">
        <v>80.609962409809796</v>
      </c>
      <c r="M177" s="112">
        <v>59.804337205405552</v>
      </c>
      <c r="N177" s="126">
        <v>48.332869007675512</v>
      </c>
      <c r="O177" s="147">
        <v>74.461369829548147</v>
      </c>
      <c r="P177" s="147">
        <v>61.310278150717558</v>
      </c>
      <c r="Q177" s="147">
        <v>34.443269489920567</v>
      </c>
      <c r="R177" s="112">
        <v>26.231075790794584</v>
      </c>
      <c r="S177" s="112">
        <v>79.719399999999993</v>
      </c>
      <c r="T177" s="112">
        <v>70.430300000000003</v>
      </c>
      <c r="U177" s="146">
        <v>37.494300000000003</v>
      </c>
      <c r="V177" s="113">
        <v>23.202200000000001</v>
      </c>
      <c r="W177" s="113">
        <v>77.92710000000001</v>
      </c>
      <c r="X177" s="126">
        <v>70.440100000000001</v>
      </c>
      <c r="Y177" s="126">
        <v>40.821300000000001</v>
      </c>
      <c r="Z177" s="104">
        <v>28.711199999999998</v>
      </c>
      <c r="AA177" s="104">
        <v>80.495725927230666</v>
      </c>
      <c r="AB177" s="104">
        <v>72.147991977607944</v>
      </c>
      <c r="AC177" s="104">
        <v>46.351163391064944</v>
      </c>
      <c r="AD177" s="104">
        <v>33.935927523781146</v>
      </c>
    </row>
    <row r="178" spans="1:30" ht="14.7" customHeight="1">
      <c r="A178" s="131" t="s">
        <v>95</v>
      </c>
      <c r="B178" s="131"/>
      <c r="C178">
        <v>86.48865844150599</v>
      </c>
      <c r="D178">
        <v>76.921725533764544</v>
      </c>
      <c r="E178">
        <v>54.749690524035763</v>
      </c>
      <c r="F178">
        <v>46.82517115986542</v>
      </c>
      <c r="G178">
        <v>83.988361314037405</v>
      </c>
      <c r="H178">
        <v>78.900760009020161</v>
      </c>
      <c r="I178" s="147">
        <v>53.1929114582381</v>
      </c>
      <c r="J178" s="112">
        <v>39.581212885819873</v>
      </c>
      <c r="K178" s="112">
        <v>86.483367508091121</v>
      </c>
      <c r="L178" s="126">
        <v>78.506207059300849</v>
      </c>
      <c r="M178" s="112">
        <v>58.476770880125194</v>
      </c>
      <c r="N178" s="126">
        <v>48.133949105632823</v>
      </c>
      <c r="O178" s="147">
        <v>82.085390354861246</v>
      </c>
      <c r="P178" s="147">
        <v>72.195256507948358</v>
      </c>
      <c r="Q178" s="147">
        <v>50.429439699246572</v>
      </c>
      <c r="R178" s="112">
        <v>40.014336306938134</v>
      </c>
      <c r="S178" s="112">
        <v>77.868400000000008</v>
      </c>
      <c r="T178" s="112">
        <v>70.290499999999994</v>
      </c>
      <c r="U178" s="146">
        <v>48.915900000000001</v>
      </c>
      <c r="V178" s="113">
        <v>38.582599999999999</v>
      </c>
      <c r="W178" s="113">
        <v>80.7941</v>
      </c>
      <c r="X178" s="126">
        <v>73.472400000000007</v>
      </c>
      <c r="Y178" s="126">
        <v>49.820900000000002</v>
      </c>
      <c r="Z178" s="104">
        <v>38.835799999999999</v>
      </c>
      <c r="AA178" s="104">
        <v>78.803169739999944</v>
      </c>
      <c r="AB178" s="104">
        <v>71.802934129537491</v>
      </c>
      <c r="AC178" s="104">
        <v>51.107156678273057</v>
      </c>
      <c r="AD178" s="104">
        <v>40.375930677154273</v>
      </c>
    </row>
    <row r="179" spans="1:30" ht="14.7" customHeight="1">
      <c r="A179" s="131" t="s">
        <v>318</v>
      </c>
      <c r="B179" s="131"/>
      <c r="C179">
        <v>83.232485951360417</v>
      </c>
      <c r="D179">
        <v>74.350904322199241</v>
      </c>
      <c r="E179">
        <v>53.370206944713992</v>
      </c>
      <c r="F179">
        <v>42.058477933842404</v>
      </c>
      <c r="G179">
        <v>83.583973603065559</v>
      </c>
      <c r="H179">
        <v>75.997414673104075</v>
      </c>
      <c r="I179" s="147">
        <v>54.777885223646564</v>
      </c>
      <c r="J179" s="112">
        <v>42.893186593717807</v>
      </c>
      <c r="K179" s="112">
        <v>85.731298512995551</v>
      </c>
      <c r="L179" s="126">
        <v>78.443053853572238</v>
      </c>
      <c r="M179" s="112">
        <v>59.526129170261996</v>
      </c>
      <c r="N179" s="126">
        <v>47.875455909970924</v>
      </c>
      <c r="O179" s="147">
        <v>76.864377735474037</v>
      </c>
      <c r="P179" s="147">
        <v>67.635688459786607</v>
      </c>
      <c r="Q179" s="147">
        <v>42.455080914451678</v>
      </c>
      <c r="R179" s="112">
        <v>32.193443304796851</v>
      </c>
      <c r="S179" s="112">
        <v>77.472700000000003</v>
      </c>
      <c r="T179" s="112">
        <v>69.052300000000002</v>
      </c>
      <c r="U179" s="146">
        <v>43.100999999999999</v>
      </c>
      <c r="V179" s="113">
        <v>32.449399999999997</v>
      </c>
      <c r="W179" s="113">
        <v>75.704999999999998</v>
      </c>
      <c r="X179" s="126">
        <v>67.25569999999999</v>
      </c>
      <c r="Y179" s="126">
        <v>42.095700000000001</v>
      </c>
      <c r="Z179" s="104">
        <v>31.171399999999998</v>
      </c>
      <c r="AA179" s="104">
        <v>76.284354552669157</v>
      </c>
      <c r="AB179" s="104">
        <v>67.380357128894929</v>
      </c>
      <c r="AC179" s="104">
        <v>42.63473221745803</v>
      </c>
      <c r="AD179" s="104">
        <v>31.907649412794211</v>
      </c>
    </row>
    <row r="180" spans="1:30" ht="14.7" customHeight="1">
      <c r="A180" s="131" t="s">
        <v>235</v>
      </c>
      <c r="B180" s="131"/>
      <c r="C180">
        <v>84.40399856584321</v>
      </c>
      <c r="D180">
        <v>73.954314446767611</v>
      </c>
      <c r="E180">
        <v>55.60889788496052</v>
      </c>
      <c r="F180">
        <v>42.395910488927527</v>
      </c>
      <c r="G180">
        <v>86.210535304738215</v>
      </c>
      <c r="H180">
        <v>78.812983385102882</v>
      </c>
      <c r="I180" s="147">
        <v>59.836561112385077</v>
      </c>
      <c r="J180" s="112">
        <v>49.020200546186082</v>
      </c>
      <c r="K180" s="112">
        <v>83.852344427499176</v>
      </c>
      <c r="L180" s="126">
        <v>76.102266028037647</v>
      </c>
      <c r="M180" s="112">
        <v>59.04103938568057</v>
      </c>
      <c r="N180" s="126">
        <v>46.134228870526947</v>
      </c>
      <c r="O180" s="147">
        <v>77.889242845943713</v>
      </c>
      <c r="P180" s="147">
        <v>67.917417251189605</v>
      </c>
      <c r="Q180" s="147">
        <v>43.012793522332146</v>
      </c>
      <c r="R180" s="112">
        <v>31.681580137263204</v>
      </c>
      <c r="S180" s="112">
        <v>76.694800000000001</v>
      </c>
      <c r="T180" s="112">
        <v>68.452199999999991</v>
      </c>
      <c r="U180" s="146">
        <v>42.512499999999996</v>
      </c>
      <c r="V180" s="113">
        <v>32.237000000000002</v>
      </c>
      <c r="W180" s="113">
        <v>79.009700000000009</v>
      </c>
      <c r="X180" s="126">
        <v>71.622</v>
      </c>
      <c r="Y180" s="126">
        <v>43.1081</v>
      </c>
      <c r="Z180" s="104">
        <v>32.105600000000003</v>
      </c>
      <c r="AA180" s="104">
        <v>78.723766501179455</v>
      </c>
      <c r="AB180" s="104">
        <v>70.519817170908084</v>
      </c>
      <c r="AC180" s="104">
        <v>43.250813505582407</v>
      </c>
      <c r="AD180" s="104">
        <v>32.782232081683858</v>
      </c>
    </row>
    <row r="181" spans="1:30" ht="14.7" customHeight="1">
      <c r="A181" s="131" t="s">
        <v>272</v>
      </c>
      <c r="B181" s="131"/>
      <c r="C181">
        <v>85.482177609794775</v>
      </c>
      <c r="D181">
        <v>71.3567800536334</v>
      </c>
      <c r="E181">
        <v>52.824735423432237</v>
      </c>
      <c r="F181">
        <v>41.41963682931334</v>
      </c>
      <c r="G181">
        <v>81.157620784218594</v>
      </c>
      <c r="H181">
        <v>71.789009639228269</v>
      </c>
      <c r="I181" s="147">
        <v>51.972539872500548</v>
      </c>
      <c r="J181" s="112">
        <v>41.420077273673733</v>
      </c>
      <c r="K181" s="112">
        <v>80.624258410031118</v>
      </c>
      <c r="L181" s="126">
        <v>76.044914636462195</v>
      </c>
      <c r="M181" s="112">
        <v>53.931051663266828</v>
      </c>
      <c r="N181" s="126">
        <v>41.471711905972484</v>
      </c>
      <c r="O181" s="147">
        <v>69.644368468602337</v>
      </c>
      <c r="P181" s="147">
        <v>61.518497856150766</v>
      </c>
      <c r="Q181" s="147">
        <v>36.931046606106051</v>
      </c>
      <c r="R181" s="112">
        <v>23.673219282076502</v>
      </c>
      <c r="S181" s="112">
        <v>70.685100000000006</v>
      </c>
      <c r="T181" s="112">
        <v>62.456500000000005</v>
      </c>
      <c r="U181" s="146">
        <v>36.542999999999999</v>
      </c>
      <c r="V181" s="113">
        <v>27.116699999999998</v>
      </c>
      <c r="W181" s="113">
        <v>65.268299999999996</v>
      </c>
      <c r="X181" s="126">
        <v>59.310700000000004</v>
      </c>
      <c r="Y181" s="126">
        <v>30.592999999999996</v>
      </c>
      <c r="Z181" s="104">
        <v>24.052100000000003</v>
      </c>
      <c r="AA181" s="104">
        <v>68.949674417630121</v>
      </c>
      <c r="AB181" s="104">
        <v>59.99208180145439</v>
      </c>
      <c r="AC181" s="104">
        <v>32.729488905473438</v>
      </c>
      <c r="AD181" s="104">
        <v>25.07561712537737</v>
      </c>
    </row>
    <row r="182" spans="1:30" ht="14.7" customHeight="1">
      <c r="A182" s="131" t="s">
        <v>96</v>
      </c>
      <c r="B182" s="131"/>
      <c r="C182">
        <v>89.234481142648647</v>
      </c>
      <c r="D182">
        <v>81.666032057314922</v>
      </c>
      <c r="E182">
        <v>58.976655357404539</v>
      </c>
      <c r="F182">
        <v>44.617610642688547</v>
      </c>
      <c r="G182">
        <v>86.845474188214538</v>
      </c>
      <c r="H182">
        <v>80.028063133893355</v>
      </c>
      <c r="I182" s="147">
        <v>56.624510781668413</v>
      </c>
      <c r="J182" s="112">
        <v>45.167981106331951</v>
      </c>
      <c r="K182" s="112">
        <v>90.358953725477946</v>
      </c>
      <c r="L182" s="126">
        <v>84.98055146682303</v>
      </c>
      <c r="M182" s="112">
        <v>64.029350517389204</v>
      </c>
      <c r="N182" s="126">
        <v>51.943347236139523</v>
      </c>
      <c r="O182" s="147">
        <v>76.672984546412863</v>
      </c>
      <c r="P182" s="147">
        <v>63.900881226665227</v>
      </c>
      <c r="Q182" s="147">
        <v>37.301082106732544</v>
      </c>
      <c r="R182" s="112">
        <v>27.390574092966265</v>
      </c>
      <c r="S182" s="112">
        <v>80.270499999999998</v>
      </c>
      <c r="T182" s="112">
        <v>68.335599999999999</v>
      </c>
      <c r="U182" s="146">
        <v>38.684400000000004</v>
      </c>
      <c r="V182" s="113">
        <v>28.607700000000001</v>
      </c>
      <c r="W182" s="113">
        <v>79.976100000000002</v>
      </c>
      <c r="X182" s="126">
        <v>71.815300000000008</v>
      </c>
      <c r="Y182" s="126">
        <v>39.006800000000005</v>
      </c>
      <c r="Z182" s="104">
        <v>28.166699999999999</v>
      </c>
      <c r="AA182" s="104">
        <v>78.644615528903913</v>
      </c>
      <c r="AB182" s="104">
        <v>68.097791670754646</v>
      </c>
      <c r="AC182" s="104">
        <v>38.103508532824158</v>
      </c>
      <c r="AD182" s="104">
        <v>26.170738545533627</v>
      </c>
    </row>
    <row r="183" spans="1:30" ht="14.7" customHeight="1">
      <c r="A183" s="131" t="s">
        <v>97</v>
      </c>
      <c r="B183" s="131"/>
      <c r="C183">
        <v>85.075089946290589</v>
      </c>
      <c r="D183">
        <v>72.936405523455562</v>
      </c>
      <c r="E183">
        <v>51.805668202892299</v>
      </c>
      <c r="F183">
        <v>41.39270737194532</v>
      </c>
      <c r="G183">
        <v>86.184773841285605</v>
      </c>
      <c r="H183">
        <v>81.067735042288717</v>
      </c>
      <c r="I183" s="147">
        <v>62.212130770178796</v>
      </c>
      <c r="J183" s="112">
        <v>51.451644235931091</v>
      </c>
      <c r="K183" s="112">
        <v>83.536986577858514</v>
      </c>
      <c r="L183" s="126">
        <v>76.033518077039545</v>
      </c>
      <c r="M183" s="112">
        <v>57.539636569091911</v>
      </c>
      <c r="N183" s="126">
        <v>48.417484193133376</v>
      </c>
      <c r="O183" s="147">
        <v>75.643552334602902</v>
      </c>
      <c r="P183" s="147">
        <v>66.711129644265569</v>
      </c>
      <c r="Q183" s="147">
        <v>41.652930700547891</v>
      </c>
      <c r="R183" s="112">
        <v>30.217504069257107</v>
      </c>
      <c r="S183" s="112">
        <v>82.1995</v>
      </c>
      <c r="T183" s="112">
        <v>73.524299999999997</v>
      </c>
      <c r="U183" s="146">
        <v>38.3949</v>
      </c>
      <c r="V183" s="113">
        <v>28.3795</v>
      </c>
      <c r="W183" s="113">
        <v>80.721900000000005</v>
      </c>
      <c r="X183" s="126">
        <v>72.767600000000002</v>
      </c>
      <c r="Y183" s="126">
        <v>43.783200000000001</v>
      </c>
      <c r="Z183" s="104">
        <v>35.2151</v>
      </c>
      <c r="AA183" s="104">
        <v>82.784798386782171</v>
      </c>
      <c r="AB183" s="104">
        <v>72.967156377036417</v>
      </c>
      <c r="AC183" s="104">
        <v>43.143457863593419</v>
      </c>
      <c r="AD183" s="104">
        <v>30.23962788142644</v>
      </c>
    </row>
    <row r="184" spans="1:30" ht="14.7" customHeight="1">
      <c r="A184" s="131" t="s">
        <v>98</v>
      </c>
      <c r="B184" s="131"/>
      <c r="C184">
        <v>87.847132417682346</v>
      </c>
      <c r="D184">
        <v>78.334185125192079</v>
      </c>
      <c r="E184">
        <v>50.604522714807906</v>
      </c>
      <c r="F184">
        <v>42.758442211330291</v>
      </c>
      <c r="G184">
        <v>83.132737799499097</v>
      </c>
      <c r="H184">
        <v>74.829058338650171</v>
      </c>
      <c r="I184" s="147">
        <v>52.922471571268261</v>
      </c>
      <c r="J184" s="112">
        <v>43.587713125734709</v>
      </c>
      <c r="K184" s="112">
        <v>85.82129459811685</v>
      </c>
      <c r="L184" s="126">
        <v>80.963762729726099</v>
      </c>
      <c r="M184" s="112">
        <v>63.78857485169106</v>
      </c>
      <c r="N184" s="126">
        <v>50.987824741999518</v>
      </c>
      <c r="O184" s="147">
        <v>79.777721617678424</v>
      </c>
      <c r="P184" s="147">
        <v>70.269890877522002</v>
      </c>
      <c r="Q184" s="147">
        <v>44.538379405165536</v>
      </c>
      <c r="R184" s="112">
        <v>33.547426260076385</v>
      </c>
      <c r="S184" s="112">
        <v>82.718999999999994</v>
      </c>
      <c r="T184" s="112">
        <v>71.358400000000003</v>
      </c>
      <c r="U184" s="146">
        <v>44.458399999999997</v>
      </c>
      <c r="V184" s="113">
        <v>32.006299999999996</v>
      </c>
      <c r="W184" s="113">
        <v>76.605800000000002</v>
      </c>
      <c r="X184" s="126">
        <v>65.9512</v>
      </c>
      <c r="Y184" s="126">
        <v>40.161000000000001</v>
      </c>
      <c r="Z184" s="104">
        <v>29.325900000000001</v>
      </c>
      <c r="AA184" s="104">
        <v>85.408739884561712</v>
      </c>
      <c r="AB184" s="104">
        <v>75.425508006207352</v>
      </c>
      <c r="AC184" s="104">
        <v>44.654963697621611</v>
      </c>
      <c r="AD184" s="104">
        <v>34.514911777914996</v>
      </c>
    </row>
    <row r="185" spans="1:30" ht="14.7" customHeight="1">
      <c r="A185" s="131" t="s">
        <v>236</v>
      </c>
      <c r="B185" s="131"/>
      <c r="C185">
        <v>83.94766780270308</v>
      </c>
      <c r="D185">
        <v>76.333591670775064</v>
      </c>
      <c r="E185">
        <v>56.587417743808622</v>
      </c>
      <c r="F185">
        <v>43.632940650336813</v>
      </c>
      <c r="G185">
        <v>85.522366377696429</v>
      </c>
      <c r="H185">
        <v>75.272638591283908</v>
      </c>
      <c r="I185" s="147">
        <v>56.415344466770591</v>
      </c>
      <c r="J185" s="112">
        <v>46.548453797346987</v>
      </c>
      <c r="K185" s="112">
        <v>85.677575547640387</v>
      </c>
      <c r="L185" s="126">
        <v>80.49664047310587</v>
      </c>
      <c r="M185" s="112">
        <v>61.448509569418597</v>
      </c>
      <c r="N185" s="126">
        <v>49.342520880360105</v>
      </c>
      <c r="O185" s="147">
        <v>73.829271693856327</v>
      </c>
      <c r="P185" s="147">
        <v>64.349065696183345</v>
      </c>
      <c r="Q185" s="147">
        <v>39.113915584608705</v>
      </c>
      <c r="R185" s="112">
        <v>28.460789807410897</v>
      </c>
      <c r="S185" s="112">
        <v>75.240899999999996</v>
      </c>
      <c r="T185" s="112">
        <v>66.23599999999999</v>
      </c>
      <c r="U185" s="146">
        <v>41.928699999999999</v>
      </c>
      <c r="V185" s="113">
        <v>32.826000000000001</v>
      </c>
      <c r="W185" s="113">
        <v>76.960099999999997</v>
      </c>
      <c r="X185" s="126">
        <v>70.02239999999999</v>
      </c>
      <c r="Y185" s="126">
        <v>41.982300000000002</v>
      </c>
      <c r="Z185" s="104">
        <v>34.104600000000005</v>
      </c>
      <c r="AA185" s="104">
        <v>76.548101322470472</v>
      </c>
      <c r="AB185" s="104">
        <v>68.662953893487582</v>
      </c>
      <c r="AC185" s="104">
        <v>44.253086453586839</v>
      </c>
      <c r="AD185" s="104">
        <v>34.688319998864671</v>
      </c>
    </row>
    <row r="186" spans="1:30" ht="14.7" customHeight="1">
      <c r="A186" s="131" t="s">
        <v>99</v>
      </c>
      <c r="B186" s="131"/>
      <c r="C186">
        <v>82.730194124256613</v>
      </c>
      <c r="D186">
        <v>73.115357405914366</v>
      </c>
      <c r="E186">
        <v>48.991332577496635</v>
      </c>
      <c r="F186">
        <v>39.16393019336099</v>
      </c>
      <c r="G186">
        <v>79.706655393607448</v>
      </c>
      <c r="H186">
        <v>71.975968012424914</v>
      </c>
      <c r="I186" s="147">
        <v>54.395400133832304</v>
      </c>
      <c r="J186" s="112">
        <v>44.424479747536083</v>
      </c>
      <c r="K186" s="112">
        <v>84.568583961362592</v>
      </c>
      <c r="L186" s="126">
        <v>77.259201002199333</v>
      </c>
      <c r="M186" s="112">
        <v>57.842389749069945</v>
      </c>
      <c r="N186" s="126">
        <v>48.000104062229212</v>
      </c>
      <c r="O186" s="147">
        <v>73.655779780396585</v>
      </c>
      <c r="P186" s="147">
        <v>65.425890561759743</v>
      </c>
      <c r="Q186" s="147">
        <v>36.671195351926265</v>
      </c>
      <c r="R186" s="112">
        <v>28.374079401345281</v>
      </c>
      <c r="S186" s="112">
        <v>71.792900000000003</v>
      </c>
      <c r="T186" s="112">
        <v>62.229299999999995</v>
      </c>
      <c r="U186" s="146">
        <v>36.061700000000002</v>
      </c>
      <c r="V186" s="113">
        <v>23.866499999999998</v>
      </c>
      <c r="W186" s="113">
        <v>75.562200000000004</v>
      </c>
      <c r="X186" s="126">
        <v>65.12</v>
      </c>
      <c r="Y186" s="126">
        <v>37.037999999999997</v>
      </c>
      <c r="Z186" s="104">
        <v>26.312899999999999</v>
      </c>
      <c r="AA186" s="104">
        <v>73.836644973957874</v>
      </c>
      <c r="AB186" s="104">
        <v>65.496680468435372</v>
      </c>
      <c r="AC186" s="104">
        <v>37.53141855559042</v>
      </c>
      <c r="AD186" s="104">
        <v>29.120213345384638</v>
      </c>
    </row>
    <row r="187" spans="1:30" ht="14.7" customHeight="1">
      <c r="A187" s="131" t="s">
        <v>273</v>
      </c>
      <c r="B187" s="131"/>
      <c r="C187">
        <v>82.18869954137709</v>
      </c>
      <c r="D187">
        <v>72.897974810261729</v>
      </c>
      <c r="E187">
        <v>49.595371767781224</v>
      </c>
      <c r="F187">
        <v>41.459789792044276</v>
      </c>
      <c r="G187">
        <v>82.314040874414871</v>
      </c>
      <c r="H187">
        <v>72.560341463314955</v>
      </c>
      <c r="I187" s="147">
        <v>54.55485336814985</v>
      </c>
      <c r="J187" s="112">
        <v>45.35156704936221</v>
      </c>
      <c r="K187" s="112">
        <v>83.977750749517753</v>
      </c>
      <c r="L187" s="126">
        <v>77.620505272717295</v>
      </c>
      <c r="M187" s="112">
        <v>60.149882958984755</v>
      </c>
      <c r="N187" s="126">
        <v>46.278761165869433</v>
      </c>
      <c r="O187" s="147">
        <v>75.502933825558046</v>
      </c>
      <c r="P187" s="147">
        <v>66.461721505058662</v>
      </c>
      <c r="Q187" s="147">
        <v>37.494350436457751</v>
      </c>
      <c r="R187" s="112">
        <v>27.988926270298304</v>
      </c>
      <c r="S187" s="112">
        <v>76.350099999999998</v>
      </c>
      <c r="T187" s="112">
        <v>66.06689999999999</v>
      </c>
      <c r="U187" s="146">
        <v>39.637499999999996</v>
      </c>
      <c r="V187" s="113">
        <v>27.846599999999999</v>
      </c>
      <c r="W187" s="113">
        <v>76.007499999999993</v>
      </c>
      <c r="X187" s="126">
        <v>63.437800000000003</v>
      </c>
      <c r="Y187" s="126">
        <v>38.150500000000001</v>
      </c>
      <c r="Z187" s="104">
        <v>29.002299999999998</v>
      </c>
      <c r="AA187" s="104">
        <v>75.866442847861222</v>
      </c>
      <c r="AB187" s="104">
        <v>65.441972721220807</v>
      </c>
      <c r="AC187" s="104">
        <v>39.318058563716562</v>
      </c>
      <c r="AD187" s="104">
        <v>27.996967942087785</v>
      </c>
    </row>
    <row r="188" spans="1:30" ht="14.7" customHeight="1">
      <c r="A188" s="131" t="s">
        <v>100</v>
      </c>
      <c r="B188" s="131"/>
      <c r="C188">
        <v>90.496299561905261</v>
      </c>
      <c r="D188">
        <v>84.052199688516879</v>
      </c>
      <c r="E188">
        <v>63.479305844866154</v>
      </c>
      <c r="F188">
        <v>49.848604156107235</v>
      </c>
      <c r="G188">
        <v>87.736492279552863</v>
      </c>
      <c r="H188">
        <v>81.629031653399636</v>
      </c>
      <c r="I188" s="147">
        <v>61.089936643215061</v>
      </c>
      <c r="J188" s="112">
        <v>48.609982963231396</v>
      </c>
      <c r="K188" s="112">
        <v>85.424021730651148</v>
      </c>
      <c r="L188" s="126">
        <v>81.027925939056033</v>
      </c>
      <c r="M188" s="112">
        <v>62.912523969898636</v>
      </c>
      <c r="N188" s="126">
        <v>48.975538617722414</v>
      </c>
      <c r="O188" s="147">
        <v>77.571413662189798</v>
      </c>
      <c r="P188" s="147">
        <v>65.355324534021307</v>
      </c>
      <c r="Q188" s="147">
        <v>38.2238761108528</v>
      </c>
      <c r="R188" s="112">
        <v>28.578964786368605</v>
      </c>
      <c r="S188" s="112">
        <v>79.428600000000003</v>
      </c>
      <c r="T188" s="112">
        <v>72.639200000000002</v>
      </c>
      <c r="U188" s="146">
        <v>43.311199999999999</v>
      </c>
      <c r="V188" s="113">
        <v>34.552399999999999</v>
      </c>
      <c r="W188" s="113">
        <v>79.639099999999999</v>
      </c>
      <c r="X188" s="126">
        <v>70.734699999999989</v>
      </c>
      <c r="Y188" s="126">
        <v>41.8626</v>
      </c>
      <c r="Z188" s="104">
        <v>34.268799999999999</v>
      </c>
      <c r="AA188" s="104">
        <v>80.58383595886491</v>
      </c>
      <c r="AB188" s="104">
        <v>74.163275817384886</v>
      </c>
      <c r="AC188" s="104">
        <v>47.073637509020436</v>
      </c>
      <c r="AD188" s="104">
        <v>34.65991250101105</v>
      </c>
    </row>
    <row r="189" spans="1:30" ht="14.7" customHeight="1">
      <c r="A189" s="131" t="s">
        <v>101</v>
      </c>
      <c r="B189" s="131"/>
      <c r="C189">
        <v>88.265634276261935</v>
      </c>
      <c r="D189">
        <v>79.280031146844166</v>
      </c>
      <c r="E189">
        <v>56.436705820424116</v>
      </c>
      <c r="F189">
        <v>44.647595658211984</v>
      </c>
      <c r="G189">
        <v>86.469099692722281</v>
      </c>
      <c r="H189">
        <v>78.502695848496401</v>
      </c>
      <c r="I189" s="147">
        <v>63.072545643859335</v>
      </c>
      <c r="J189" s="112">
        <v>51.345656230348133</v>
      </c>
      <c r="K189" s="112">
        <v>87.015030274632721</v>
      </c>
      <c r="L189" s="126">
        <v>80.529927243595651</v>
      </c>
      <c r="M189" s="112">
        <v>60.167354072289257</v>
      </c>
      <c r="N189" s="126">
        <v>47.524007974315005</v>
      </c>
      <c r="O189" s="147">
        <v>82.783146497072664</v>
      </c>
      <c r="P189" s="147">
        <v>71.543982404727615</v>
      </c>
      <c r="Q189" s="147">
        <v>48.258645471502362</v>
      </c>
      <c r="R189" s="112">
        <v>38.180840924606926</v>
      </c>
      <c r="S189" s="112">
        <v>78.144499999999994</v>
      </c>
      <c r="T189" s="112">
        <v>67.481800000000007</v>
      </c>
      <c r="U189" s="146">
        <v>44.056899999999999</v>
      </c>
      <c r="V189" s="113">
        <v>34.859699999999997</v>
      </c>
      <c r="W189" s="113">
        <v>78.607800000000012</v>
      </c>
      <c r="X189" s="126">
        <v>69.343500000000006</v>
      </c>
      <c r="Y189" s="126">
        <v>43.2545</v>
      </c>
      <c r="Z189" s="104">
        <v>34.572599999999994</v>
      </c>
      <c r="AA189" s="104">
        <v>84.334564848336342</v>
      </c>
      <c r="AB189" s="104">
        <v>75.991535577751947</v>
      </c>
      <c r="AC189" s="104">
        <v>46.123493728581764</v>
      </c>
      <c r="AD189" s="104">
        <v>34.422463813531408</v>
      </c>
    </row>
    <row r="190" spans="1:30" ht="14.7" customHeight="1">
      <c r="A190" s="131" t="s">
        <v>214</v>
      </c>
      <c r="B190" s="131"/>
      <c r="C190">
        <v>89.528143726759026</v>
      </c>
      <c r="D190">
        <v>80.809164835314334</v>
      </c>
      <c r="E190">
        <v>60.157192543149442</v>
      </c>
      <c r="F190">
        <v>52.089034323360003</v>
      </c>
      <c r="G190">
        <v>89.054458054944448</v>
      </c>
      <c r="H190">
        <v>84.359405466142306</v>
      </c>
      <c r="I190" s="147">
        <v>64.37423576456591</v>
      </c>
      <c r="J190" s="112">
        <v>56.714531213853739</v>
      </c>
      <c r="K190" s="112">
        <v>90.281725607499453</v>
      </c>
      <c r="L190" s="126">
        <v>85.136348973012232</v>
      </c>
      <c r="M190" s="112">
        <v>67.12538078616285</v>
      </c>
      <c r="N190" s="126">
        <v>58.196295387682326</v>
      </c>
      <c r="O190" s="147">
        <v>84.593936205983937</v>
      </c>
      <c r="P190" s="147">
        <v>80.046685905257078</v>
      </c>
      <c r="Q190" s="147">
        <v>53.709999032376984</v>
      </c>
      <c r="R190" s="112">
        <v>39.234048980072203</v>
      </c>
      <c r="S190" s="112">
        <v>79.14670000000001</v>
      </c>
      <c r="T190" s="112">
        <v>74.43610000000001</v>
      </c>
      <c r="U190" s="146">
        <v>49.626199999999997</v>
      </c>
      <c r="V190" s="113">
        <v>37.766199999999998</v>
      </c>
      <c r="W190" s="113">
        <v>82.082599999999999</v>
      </c>
      <c r="X190" s="126">
        <v>75.715100000000007</v>
      </c>
      <c r="Y190" s="126">
        <v>50.481900000000003</v>
      </c>
      <c r="Z190" s="104">
        <v>37.872499999999995</v>
      </c>
      <c r="AA190" s="104">
        <v>84.680944566562957</v>
      </c>
      <c r="AB190" s="104">
        <v>79.440870387576311</v>
      </c>
      <c r="AC190" s="104">
        <v>50.542672404265417</v>
      </c>
      <c r="AD190" s="104">
        <v>41.381610601966415</v>
      </c>
    </row>
    <row r="191" spans="1:30" ht="14.7" customHeight="1">
      <c r="A191" s="131" t="s">
        <v>102</v>
      </c>
      <c r="B191" s="131"/>
      <c r="C191">
        <v>86.517851071858814</v>
      </c>
      <c r="D191">
        <v>80.229460808570025</v>
      </c>
      <c r="E191">
        <v>59.07201353663126</v>
      </c>
      <c r="F191">
        <v>47.850109909590039</v>
      </c>
      <c r="G191">
        <v>87.657897409852708</v>
      </c>
      <c r="H191">
        <v>83.594768424142757</v>
      </c>
      <c r="I191" s="147">
        <v>62.404669084966912</v>
      </c>
      <c r="J191" s="112">
        <v>51.994481841192808</v>
      </c>
      <c r="K191" s="112">
        <v>89.922182109907737</v>
      </c>
      <c r="L191" s="126">
        <v>86.009029060379035</v>
      </c>
      <c r="M191" s="112">
        <v>62.706559610329073</v>
      </c>
      <c r="N191" s="126">
        <v>48.045230827500966</v>
      </c>
      <c r="O191" s="147">
        <v>83.020800297711176</v>
      </c>
      <c r="P191" s="147">
        <v>72.771092894381525</v>
      </c>
      <c r="Q191" s="147">
        <v>44.221160251456958</v>
      </c>
      <c r="R191" s="112">
        <v>31.839335082091573</v>
      </c>
      <c r="S191" s="112">
        <v>82.187399999999997</v>
      </c>
      <c r="T191" s="112">
        <v>69.272300000000001</v>
      </c>
      <c r="U191" s="146">
        <v>44.398900000000005</v>
      </c>
      <c r="V191" s="113">
        <v>35.195</v>
      </c>
      <c r="W191" s="113">
        <v>82.057299999999998</v>
      </c>
      <c r="X191" s="126">
        <v>74.867599999999996</v>
      </c>
      <c r="Y191" s="126">
        <v>47.661099999999998</v>
      </c>
      <c r="Z191" s="104">
        <v>32.979300000000002</v>
      </c>
      <c r="AA191" s="104">
        <v>86.428841112143985</v>
      </c>
      <c r="AB191" s="104">
        <v>74.665074203699277</v>
      </c>
      <c r="AC191" s="104">
        <v>50.264696104685711</v>
      </c>
      <c r="AD191" s="104">
        <v>32.792418865488706</v>
      </c>
    </row>
    <row r="192" spans="1:30" ht="14.7" customHeight="1">
      <c r="A192" s="131" t="s">
        <v>103</v>
      </c>
      <c r="B192" s="131"/>
      <c r="C192">
        <v>88.117652405769448</v>
      </c>
      <c r="D192">
        <v>81.180082172265273</v>
      </c>
      <c r="E192">
        <v>58.704680069143464</v>
      </c>
      <c r="F192">
        <v>44.526831714780712</v>
      </c>
      <c r="G192">
        <v>86.683186712874331</v>
      </c>
      <c r="H192">
        <v>78.817999314498337</v>
      </c>
      <c r="I192" s="147">
        <v>56.179103624997964</v>
      </c>
      <c r="J192" s="112">
        <v>47.712138275473734</v>
      </c>
      <c r="K192" s="112">
        <v>85.185773072329084</v>
      </c>
      <c r="L192" s="126">
        <v>78.706707945507105</v>
      </c>
      <c r="M192" s="112">
        <v>58.891257310352721</v>
      </c>
      <c r="N192" s="126">
        <v>49.729886108170113</v>
      </c>
      <c r="O192" s="147">
        <v>79.516166216055339</v>
      </c>
      <c r="P192" s="147">
        <v>66.215694320651806</v>
      </c>
      <c r="Q192" s="147">
        <v>40.063436099390003</v>
      </c>
      <c r="R192" s="112">
        <v>27.800398642781659</v>
      </c>
      <c r="S192" s="112">
        <v>79.270200000000003</v>
      </c>
      <c r="T192" s="112">
        <v>68.613399999999999</v>
      </c>
      <c r="U192" s="146">
        <v>38.178600000000003</v>
      </c>
      <c r="V192" s="113">
        <v>27.925299999999996</v>
      </c>
      <c r="W192" s="113">
        <v>80.788899999999998</v>
      </c>
      <c r="X192" s="126">
        <v>66.766800000000003</v>
      </c>
      <c r="Y192" s="126">
        <v>40.073599999999999</v>
      </c>
      <c r="Z192" s="104">
        <v>28.921700000000001</v>
      </c>
      <c r="AA192" s="104">
        <v>84.838104587117726</v>
      </c>
      <c r="AB192" s="104">
        <v>75.223565468392181</v>
      </c>
      <c r="AC192" s="104">
        <v>46.739157715105115</v>
      </c>
      <c r="AD192" s="104">
        <v>35.883494645040344</v>
      </c>
    </row>
    <row r="193" spans="1:196" ht="14.7" customHeight="1">
      <c r="A193" s="131" t="s">
        <v>104</v>
      </c>
      <c r="B193" s="131"/>
      <c r="C193">
        <v>90.19588638399199</v>
      </c>
      <c r="D193">
        <v>81.413230302264196</v>
      </c>
      <c r="E193">
        <v>58.285174363788549</v>
      </c>
      <c r="F193">
        <v>46.403452035950295</v>
      </c>
      <c r="G193">
        <v>91.275587515814379</v>
      </c>
      <c r="H193">
        <v>82.184839001465974</v>
      </c>
      <c r="I193" s="147">
        <v>58.2838606377559</v>
      </c>
      <c r="J193" s="112">
        <v>47.48921304623574</v>
      </c>
      <c r="K193" s="112">
        <v>89.301597354854309</v>
      </c>
      <c r="L193" s="126">
        <v>81.838871552416094</v>
      </c>
      <c r="M193" s="112">
        <v>61.021559722091567</v>
      </c>
      <c r="N193" s="126">
        <v>47.912784308701752</v>
      </c>
      <c r="O193" s="147">
        <v>80.732223464605411</v>
      </c>
      <c r="P193" s="147">
        <v>73.411882486663899</v>
      </c>
      <c r="Q193" s="147">
        <v>45.352747700317174</v>
      </c>
      <c r="R193" s="112">
        <v>34.046706262559276</v>
      </c>
      <c r="S193" s="112">
        <v>82.892699999999991</v>
      </c>
      <c r="T193" s="112">
        <v>71.721100000000007</v>
      </c>
      <c r="U193" s="146">
        <v>43.536000000000001</v>
      </c>
      <c r="V193" s="113">
        <v>33.440300000000001</v>
      </c>
      <c r="W193" s="113">
        <v>82.558300000000003</v>
      </c>
      <c r="X193" s="126">
        <v>75.28479999999999</v>
      </c>
      <c r="Y193" s="126">
        <v>50.297000000000004</v>
      </c>
      <c r="Z193" s="104">
        <v>36.367899999999999</v>
      </c>
      <c r="AA193" s="104">
        <v>87.100026452317209</v>
      </c>
      <c r="AB193" s="104">
        <v>78.17485652302085</v>
      </c>
      <c r="AC193" s="104">
        <v>48.859742076770068</v>
      </c>
      <c r="AD193" s="104">
        <v>37.86050103004289</v>
      </c>
    </row>
    <row r="194" spans="1:196" ht="14.7" customHeight="1">
      <c r="A194" s="131" t="s">
        <v>274</v>
      </c>
      <c r="B194" s="131"/>
      <c r="C194">
        <v>80.329439125862251</v>
      </c>
      <c r="D194">
        <v>73.195563333012387</v>
      </c>
      <c r="E194">
        <v>50.399715901312362</v>
      </c>
      <c r="F194">
        <v>43.165550090896694</v>
      </c>
      <c r="G194">
        <v>82.861861892478814</v>
      </c>
      <c r="H194">
        <v>75.209048226651646</v>
      </c>
      <c r="I194" s="147">
        <v>56.180601150436281</v>
      </c>
      <c r="J194" s="112">
        <v>46.391156588993645</v>
      </c>
      <c r="K194" s="112">
        <v>81.068118310854956</v>
      </c>
      <c r="L194" s="126">
        <v>75.894042962800498</v>
      </c>
      <c r="M194" s="112">
        <v>59.866457092030082</v>
      </c>
      <c r="N194" s="126">
        <v>48.591057336533815</v>
      </c>
      <c r="O194" s="147">
        <v>74.899355803854277</v>
      </c>
      <c r="P194" s="147">
        <v>66.148693040037244</v>
      </c>
      <c r="Q194" s="147">
        <v>38.147995213980337</v>
      </c>
      <c r="R194" s="112">
        <v>29.294636455475718</v>
      </c>
      <c r="S194" s="112">
        <v>73.403499999999994</v>
      </c>
      <c r="T194" s="112">
        <v>62.667300000000004</v>
      </c>
      <c r="U194" s="146">
        <v>37.334699999999998</v>
      </c>
      <c r="V194" s="113">
        <v>29.504599999999996</v>
      </c>
      <c r="W194" s="113">
        <v>66.4315</v>
      </c>
      <c r="X194" s="126">
        <v>59.691499999999998</v>
      </c>
      <c r="Y194" s="126">
        <v>34.819099999999999</v>
      </c>
      <c r="Z194" s="104">
        <v>24.613199999999999</v>
      </c>
      <c r="AA194" s="104">
        <v>70.342808660277015</v>
      </c>
      <c r="AB194" s="104">
        <v>62.169058036283396</v>
      </c>
      <c r="AC194" s="104">
        <v>32.893020806623689</v>
      </c>
      <c r="AD194" s="104">
        <v>20.52934591482553</v>
      </c>
    </row>
    <row r="195" spans="1:196" ht="14.7" customHeight="1">
      <c r="A195" s="131" t="s">
        <v>275</v>
      </c>
      <c r="B195" s="131"/>
      <c r="C195">
        <v>86.566622461491036</v>
      </c>
      <c r="D195">
        <v>75.3313061780851</v>
      </c>
      <c r="E195">
        <v>51.645632842382149</v>
      </c>
      <c r="F195">
        <v>36.789097932845863</v>
      </c>
      <c r="G195">
        <v>88.038213378338043</v>
      </c>
      <c r="H195">
        <v>76.503509091318193</v>
      </c>
      <c r="I195" s="147">
        <v>49.769981160751364</v>
      </c>
      <c r="J195" s="112">
        <v>37.162003219650096</v>
      </c>
      <c r="K195" s="112">
        <v>82.897789694460016</v>
      </c>
      <c r="L195" s="126">
        <v>79.405100421749879</v>
      </c>
      <c r="M195" s="112">
        <v>61.449601767407181</v>
      </c>
      <c r="N195" s="126">
        <v>47.716871361407058</v>
      </c>
      <c r="O195" s="147">
        <v>77.813858433232255</v>
      </c>
      <c r="P195" s="147">
        <v>66.20325749037454</v>
      </c>
      <c r="Q195" s="147">
        <v>45.112315151114323</v>
      </c>
      <c r="R195" s="112">
        <v>36.417816929867456</v>
      </c>
      <c r="S195" s="112">
        <v>76.259500000000003</v>
      </c>
      <c r="T195" s="112">
        <v>64.246200000000002</v>
      </c>
      <c r="U195" s="146">
        <v>40.158100000000005</v>
      </c>
      <c r="V195" s="113">
        <v>32.076999999999998</v>
      </c>
      <c r="W195" s="113">
        <v>82.459499999999991</v>
      </c>
      <c r="X195" s="126">
        <v>74.055400000000006</v>
      </c>
      <c r="Y195" s="126">
        <v>44.124899999999997</v>
      </c>
      <c r="Z195" s="104">
        <v>31.477300000000003</v>
      </c>
      <c r="AA195" s="104">
        <v>84.446445868102927</v>
      </c>
      <c r="AB195" s="104">
        <v>74.331352010124689</v>
      </c>
      <c r="AC195" s="104">
        <v>47.92984539038379</v>
      </c>
      <c r="AD195" s="104">
        <v>35.28701256748657</v>
      </c>
    </row>
    <row r="196" spans="1:196" ht="14.7" customHeight="1">
      <c r="A196" s="131" t="s">
        <v>105</v>
      </c>
      <c r="B196" s="131"/>
      <c r="C196">
        <v>91.128536419143984</v>
      </c>
      <c r="D196">
        <v>83.174205365375528</v>
      </c>
      <c r="E196">
        <v>57.495053326476452</v>
      </c>
      <c r="F196">
        <v>49.303813426548032</v>
      </c>
      <c r="G196">
        <v>91.290202133349482</v>
      </c>
      <c r="H196">
        <v>82.66323418489489</v>
      </c>
      <c r="I196" s="147">
        <v>58.400698520972028</v>
      </c>
      <c r="J196" s="112">
        <v>43.682771455743939</v>
      </c>
      <c r="K196" s="112">
        <v>88.824677923023259</v>
      </c>
      <c r="L196" s="126">
        <v>81.893339448188883</v>
      </c>
      <c r="M196" s="112">
        <v>57.876903044051531</v>
      </c>
      <c r="N196" s="126">
        <v>49.668118944859835</v>
      </c>
      <c r="O196" s="147">
        <v>81.307005860792884</v>
      </c>
      <c r="P196" s="147">
        <v>68.208648895338968</v>
      </c>
      <c r="Q196" s="147">
        <v>44.207434670187816</v>
      </c>
      <c r="R196" s="112">
        <v>30.812216975935218</v>
      </c>
      <c r="S196" s="112">
        <v>80.76339999999999</v>
      </c>
      <c r="T196" s="144">
        <v>73.080299999999994</v>
      </c>
      <c r="U196" s="146">
        <v>40.79</v>
      </c>
      <c r="V196" s="113">
        <v>29.646699999999999</v>
      </c>
      <c r="W196" s="113">
        <v>78.767099999999999</v>
      </c>
      <c r="X196" s="126">
        <v>71.170199999999994</v>
      </c>
      <c r="Y196" s="126">
        <v>42.874400000000001</v>
      </c>
      <c r="Z196" s="104">
        <v>27.437899999999999</v>
      </c>
      <c r="AA196" s="104">
        <v>85.933136408770679</v>
      </c>
      <c r="AB196" s="104">
        <v>74.569137795174484</v>
      </c>
      <c r="AC196" s="104">
        <v>48.711821795192265</v>
      </c>
      <c r="AD196" s="104">
        <v>34.519043255188961</v>
      </c>
    </row>
    <row r="197" spans="1:196" ht="14.7" customHeight="1">
      <c r="A197" s="131" t="s">
        <v>106</v>
      </c>
      <c r="B197" s="131"/>
      <c r="C197">
        <v>89.218870764211999</v>
      </c>
      <c r="D197">
        <v>79.862130858020933</v>
      </c>
      <c r="E197">
        <v>60.272808147725598</v>
      </c>
      <c r="F197">
        <v>47.953803563907641</v>
      </c>
      <c r="G197">
        <v>88.506605468939725</v>
      </c>
      <c r="H197">
        <v>81.780451484630049</v>
      </c>
      <c r="I197" s="147">
        <v>62.930272707189538</v>
      </c>
      <c r="J197" s="112">
        <v>51.884117854016139</v>
      </c>
      <c r="K197" s="112">
        <v>88.913479051056797</v>
      </c>
      <c r="L197" s="126">
        <v>80.276183969956989</v>
      </c>
      <c r="M197" s="112">
        <v>56.421455000651562</v>
      </c>
      <c r="N197" s="126">
        <v>42.584614412585843</v>
      </c>
      <c r="O197" s="147">
        <v>79.22160297869894</v>
      </c>
      <c r="P197" s="147">
        <v>69.081771430409049</v>
      </c>
      <c r="Q197" s="147">
        <v>44.376188066031119</v>
      </c>
      <c r="R197" s="112">
        <v>28.85194199912749</v>
      </c>
      <c r="S197" s="112">
        <v>78.978000000000009</v>
      </c>
      <c r="T197" s="112">
        <v>65.4619</v>
      </c>
      <c r="U197" s="146">
        <v>42.491299999999995</v>
      </c>
      <c r="V197" s="113">
        <v>32.642400000000002</v>
      </c>
      <c r="W197" s="113">
        <v>84.177300000000002</v>
      </c>
      <c r="X197" s="126">
        <v>72.352800000000002</v>
      </c>
      <c r="Y197" s="126">
        <v>49.137</v>
      </c>
      <c r="Z197" s="104">
        <v>34.658999999999999</v>
      </c>
      <c r="AA197" s="104">
        <v>82.335363809376105</v>
      </c>
      <c r="AB197" s="104">
        <v>73.610499858503147</v>
      </c>
      <c r="AC197" s="104">
        <v>48.320590677148374</v>
      </c>
      <c r="AD197" s="104">
        <v>29.751183705421575</v>
      </c>
    </row>
    <row r="198" spans="1:196" ht="14.7" customHeight="1">
      <c r="A198" s="131" t="s">
        <v>345</v>
      </c>
      <c r="B198" s="131"/>
      <c r="C198">
        <v>85.232937467172121</v>
      </c>
      <c r="D198">
        <v>77.740336402452712</v>
      </c>
      <c r="E198">
        <v>56.209981315300986</v>
      </c>
      <c r="F198">
        <v>46.111336384596171</v>
      </c>
      <c r="G198">
        <v>87.168914210763617</v>
      </c>
      <c r="H198">
        <v>81.107156257709022</v>
      </c>
      <c r="I198" s="147">
        <v>56.864273439070956</v>
      </c>
      <c r="J198" s="112">
        <v>44.737338537984897</v>
      </c>
      <c r="K198" s="112">
        <v>87.053677554319393</v>
      </c>
      <c r="L198" s="126">
        <v>83.384231985488867</v>
      </c>
      <c r="M198" s="112">
        <v>59.249843491660911</v>
      </c>
      <c r="N198" s="126">
        <v>46.845554360563106</v>
      </c>
      <c r="O198" s="147">
        <v>72.204154293360958</v>
      </c>
      <c r="P198" s="147">
        <v>65.155871338727749</v>
      </c>
      <c r="Q198" s="147">
        <v>38.214923739359193</v>
      </c>
      <c r="R198" s="112">
        <v>28.107406931950035</v>
      </c>
      <c r="S198" s="112">
        <v>80.125699999999995</v>
      </c>
      <c r="T198" s="112">
        <v>70.998599999999996</v>
      </c>
      <c r="U198" s="147">
        <v>47.156599999999997</v>
      </c>
      <c r="V198" s="149">
        <v>38.145099999999999</v>
      </c>
      <c r="W198" s="149">
        <v>76.987700000000004</v>
      </c>
      <c r="X198" s="126">
        <v>67.184200000000004</v>
      </c>
      <c r="Y198" s="126">
        <v>39.662300000000002</v>
      </c>
      <c r="Z198" s="104">
        <v>29.556900000000002</v>
      </c>
      <c r="AA198" s="104">
        <v>78.883653322357262</v>
      </c>
      <c r="AB198" s="104">
        <v>68.893366871972759</v>
      </c>
      <c r="AC198" s="104">
        <v>44.585689600330099</v>
      </c>
      <c r="AD198" s="104">
        <v>33.994820135157767</v>
      </c>
    </row>
    <row r="199" spans="1:196" ht="14.7" customHeight="1">
      <c r="A199" s="131" t="s">
        <v>237</v>
      </c>
      <c r="B199" s="131"/>
      <c r="C199">
        <v>87.487881497830543</v>
      </c>
      <c r="D199">
        <v>80.450402033696861</v>
      </c>
      <c r="E199">
        <v>60.716480779502092</v>
      </c>
      <c r="F199">
        <v>49.528368204691759</v>
      </c>
      <c r="G199">
        <v>87.588222264220732</v>
      </c>
      <c r="H199">
        <v>82.286679924574173</v>
      </c>
      <c r="I199" s="146">
        <v>64.43961297901059</v>
      </c>
      <c r="J199" s="144">
        <v>52.642273490710878</v>
      </c>
      <c r="K199" s="144">
        <v>84.425775533880966</v>
      </c>
      <c r="L199" s="126">
        <v>80.445976876000742</v>
      </c>
      <c r="M199" s="144">
        <v>60.645978840656575</v>
      </c>
      <c r="N199" s="126">
        <v>47.332488531321523</v>
      </c>
      <c r="O199" s="146">
        <v>79.241349528341132</v>
      </c>
      <c r="P199" s="146">
        <v>69.963195195502152</v>
      </c>
      <c r="Q199" s="146">
        <v>44.261041806125732</v>
      </c>
      <c r="R199" s="144">
        <v>32.787844660235848</v>
      </c>
      <c r="S199" s="144">
        <v>80.407200000000003</v>
      </c>
      <c r="T199" s="144">
        <v>72.954899999999995</v>
      </c>
      <c r="U199" s="146">
        <v>45.525199999999998</v>
      </c>
      <c r="V199" s="113">
        <v>34.579900000000002</v>
      </c>
      <c r="W199" s="113">
        <v>77.69319999999999</v>
      </c>
      <c r="X199" s="126">
        <v>70.559700000000007</v>
      </c>
      <c r="Y199" s="126">
        <v>45.526899999999998</v>
      </c>
      <c r="Z199" s="104">
        <v>35.279700000000005</v>
      </c>
      <c r="AA199" s="104">
        <v>79.618611839014079</v>
      </c>
      <c r="AB199" s="104">
        <v>72.608329059939223</v>
      </c>
      <c r="AC199" s="104">
        <v>48.511965684547192</v>
      </c>
      <c r="AD199" s="104">
        <v>35.786514687914732</v>
      </c>
    </row>
    <row r="200" spans="1:196" ht="14.7" customHeight="1">
      <c r="A200" s="131" t="s">
        <v>107</v>
      </c>
      <c r="B200" s="131"/>
      <c r="C200">
        <v>80.048876276080577</v>
      </c>
      <c r="D200">
        <v>70.237463993426729</v>
      </c>
      <c r="E200">
        <v>44.964453445074291</v>
      </c>
      <c r="F200">
        <v>35.172596549668668</v>
      </c>
      <c r="G200">
        <v>85.317250407961936</v>
      </c>
      <c r="H200">
        <v>77.600531945938272</v>
      </c>
      <c r="I200" s="147">
        <v>56.156982415768283</v>
      </c>
      <c r="J200" s="112">
        <v>47.873883788989225</v>
      </c>
      <c r="K200" s="112">
        <v>80.441619696063611</v>
      </c>
      <c r="L200" s="126">
        <v>73.873059855831968</v>
      </c>
      <c r="M200" s="112">
        <v>55.885790012649828</v>
      </c>
      <c r="N200" s="126">
        <v>41.431841455334009</v>
      </c>
      <c r="O200" s="147">
        <v>73.435004124785365</v>
      </c>
      <c r="P200" s="147">
        <v>63.794300659349943</v>
      </c>
      <c r="Q200" s="147">
        <v>35.115162539225878</v>
      </c>
      <c r="R200" s="112">
        <v>24.581621884355656</v>
      </c>
      <c r="S200" s="112">
        <v>73.581900000000005</v>
      </c>
      <c r="T200" s="112">
        <v>63.429000000000002</v>
      </c>
      <c r="U200" s="147">
        <v>41.885099999999994</v>
      </c>
      <c r="V200" s="149">
        <v>29.326900000000002</v>
      </c>
      <c r="W200" s="149">
        <v>74.741699999999994</v>
      </c>
      <c r="X200" s="126">
        <v>65.193399999999997</v>
      </c>
      <c r="Y200" s="126">
        <v>39.353500000000004</v>
      </c>
      <c r="Z200" s="104">
        <v>29.768099999999997</v>
      </c>
      <c r="AA200" s="104">
        <v>76.415405003842181</v>
      </c>
      <c r="AB200" s="104">
        <v>64.92353066279648</v>
      </c>
      <c r="AC200" s="104">
        <v>41.425758915053635</v>
      </c>
      <c r="AD200" s="104">
        <v>33.272105549672524</v>
      </c>
    </row>
    <row r="201" spans="1:196" ht="14.7" customHeight="1">
      <c r="A201" s="131" t="s">
        <v>215</v>
      </c>
      <c r="B201" s="131"/>
      <c r="C201">
        <v>81.517000442467634</v>
      </c>
      <c r="D201">
        <v>73.852437311413354</v>
      </c>
      <c r="E201">
        <v>57.752733134713019</v>
      </c>
      <c r="F201">
        <v>47.182351598947406</v>
      </c>
      <c r="G201">
        <v>86.637704508884454</v>
      </c>
      <c r="H201">
        <v>80.769072681910316</v>
      </c>
      <c r="I201" s="147">
        <v>64.299424973180493</v>
      </c>
      <c r="J201" s="112">
        <v>50.765537849424369</v>
      </c>
      <c r="K201" s="112">
        <v>82.71854827960469</v>
      </c>
      <c r="L201" s="126">
        <v>77.809514467121744</v>
      </c>
      <c r="M201" s="112">
        <v>61.918665597236412</v>
      </c>
      <c r="N201" s="126">
        <v>56.394558215667153</v>
      </c>
      <c r="O201" s="147">
        <v>75.744646520947015</v>
      </c>
      <c r="P201" s="147">
        <v>68.290083327140096</v>
      </c>
      <c r="Q201" s="147">
        <v>43.267389928078956</v>
      </c>
      <c r="R201" s="112">
        <v>33.502156149507542</v>
      </c>
      <c r="S201" s="112">
        <v>77.363299999999995</v>
      </c>
      <c r="T201" s="112">
        <v>69.567300000000003</v>
      </c>
      <c r="U201" s="146">
        <v>44.178100000000001</v>
      </c>
      <c r="V201" s="113">
        <v>33.921600000000005</v>
      </c>
      <c r="W201" s="113">
        <v>71.983400000000003</v>
      </c>
      <c r="X201" s="126">
        <v>63.695599999999999</v>
      </c>
      <c r="Y201" s="126">
        <v>40.071200000000005</v>
      </c>
      <c r="Z201" s="104">
        <v>33.626400000000004</v>
      </c>
      <c r="AA201" s="104">
        <v>77.978077600427753</v>
      </c>
      <c r="AB201" s="104">
        <v>70.599802610701502</v>
      </c>
      <c r="AC201" s="104">
        <v>47.603225554625624</v>
      </c>
      <c r="AD201" s="104">
        <v>39.054542208307474</v>
      </c>
    </row>
    <row r="202" spans="1:196" ht="14.7" customHeight="1">
      <c r="A202" s="131" t="s">
        <v>319</v>
      </c>
      <c r="B202" s="131"/>
      <c r="C202">
        <v>86.494003799923902</v>
      </c>
      <c r="D202">
        <v>76.67922039918804</v>
      </c>
      <c r="E202">
        <v>55.334934914541698</v>
      </c>
      <c r="F202">
        <v>42.810095380373987</v>
      </c>
      <c r="G202">
        <v>86.233107134707282</v>
      </c>
      <c r="H202">
        <v>77.992053945689818</v>
      </c>
      <c r="I202" s="147">
        <v>54.449513395297963</v>
      </c>
      <c r="J202" s="112">
        <v>44.155713504647352</v>
      </c>
      <c r="K202" s="112">
        <v>84.8868316660554</v>
      </c>
      <c r="L202" s="126">
        <v>78.930027792965191</v>
      </c>
      <c r="M202" s="112">
        <v>61.344997266265736</v>
      </c>
      <c r="N202" s="126">
        <v>50.488313285948607</v>
      </c>
      <c r="O202" s="147">
        <v>76.556121707086234</v>
      </c>
      <c r="P202" s="147">
        <v>66.973866998610603</v>
      </c>
      <c r="Q202" s="147">
        <v>40.420205284367135</v>
      </c>
      <c r="R202" s="112">
        <v>29.579741650679757</v>
      </c>
      <c r="S202" s="112">
        <v>79.724900000000005</v>
      </c>
      <c r="T202" s="112">
        <v>71.114400000000003</v>
      </c>
      <c r="U202" s="146">
        <v>44.6982</v>
      </c>
      <c r="V202" s="113">
        <v>32.378399999999999</v>
      </c>
      <c r="W202" s="113">
        <v>79.963099999999997</v>
      </c>
      <c r="X202" s="126">
        <v>71.918899999999994</v>
      </c>
      <c r="Y202" s="126">
        <v>44.949800000000003</v>
      </c>
      <c r="Z202" s="104">
        <v>33.3367</v>
      </c>
      <c r="AA202" s="104">
        <v>79.845100628547158</v>
      </c>
      <c r="AB202" s="104">
        <v>71.506686090787611</v>
      </c>
      <c r="AC202" s="104">
        <v>43.594852444147527</v>
      </c>
      <c r="AD202" s="104">
        <v>32.866065711357386</v>
      </c>
    </row>
    <row r="203" spans="1:196" ht="14.7" customHeight="1">
      <c r="A203" s="131" t="s">
        <v>108</v>
      </c>
      <c r="B203" s="131"/>
      <c r="C203">
        <v>87.910299525725392</v>
      </c>
      <c r="D203">
        <v>81.27758660102063</v>
      </c>
      <c r="E203">
        <v>62.364629961309525</v>
      </c>
      <c r="F203">
        <v>52.059143208762833</v>
      </c>
      <c r="G203">
        <v>90.772526077687914</v>
      </c>
      <c r="H203">
        <v>83.966785026455682</v>
      </c>
      <c r="I203" s="147">
        <v>64.759919333885961</v>
      </c>
      <c r="J203" s="112">
        <v>54.143417422395991</v>
      </c>
      <c r="K203" s="112">
        <v>88.745190167270877</v>
      </c>
      <c r="L203" s="126">
        <v>82.839973648325284</v>
      </c>
      <c r="M203" s="112">
        <v>65.171536186496169</v>
      </c>
      <c r="N203" s="126">
        <v>52.218166235815453</v>
      </c>
      <c r="O203" s="147">
        <v>79.192727530689496</v>
      </c>
      <c r="P203" s="147">
        <v>72.007081154481085</v>
      </c>
      <c r="Q203" s="147">
        <v>51.522351961384516</v>
      </c>
      <c r="R203" s="112">
        <v>35.946245012355064</v>
      </c>
      <c r="S203" s="112">
        <v>80.945700000000002</v>
      </c>
      <c r="T203" s="112">
        <v>71.943799999999996</v>
      </c>
      <c r="U203" s="146">
        <v>45.434400000000004</v>
      </c>
      <c r="V203" s="113">
        <v>34.1828</v>
      </c>
      <c r="W203" s="113">
        <v>83.698999999999998</v>
      </c>
      <c r="X203" s="126">
        <v>75.491699999999994</v>
      </c>
      <c r="Y203" s="126">
        <v>50.913200000000003</v>
      </c>
      <c r="Z203" s="104">
        <v>40.0456</v>
      </c>
      <c r="AA203" s="104">
        <v>79.811729444586859</v>
      </c>
      <c r="AB203" s="104">
        <v>71.692132707845374</v>
      </c>
      <c r="AC203" s="104">
        <v>45.479336039207077</v>
      </c>
      <c r="AD203" s="104">
        <v>38.130705109619669</v>
      </c>
    </row>
    <row r="204" spans="1:196" ht="14.7" customHeight="1">
      <c r="A204" s="131" t="s">
        <v>109</v>
      </c>
      <c r="B204" s="131"/>
      <c r="C204">
        <v>84.987936895457821</v>
      </c>
      <c r="D204">
        <v>76.30419960257025</v>
      </c>
      <c r="E204">
        <v>55.805900743065976</v>
      </c>
      <c r="F204">
        <v>44.86340918326426</v>
      </c>
      <c r="G204">
        <v>86.178737335390693</v>
      </c>
      <c r="H204">
        <v>82.992350736690796</v>
      </c>
      <c r="I204" s="147">
        <v>63.702859489706853</v>
      </c>
      <c r="J204" s="112">
        <v>48.680117049129827</v>
      </c>
      <c r="K204" s="112">
        <v>86.875424531987917</v>
      </c>
      <c r="L204" s="126">
        <v>80.894986772838593</v>
      </c>
      <c r="M204" s="112">
        <v>65.012981645651209</v>
      </c>
      <c r="N204" s="126">
        <v>53.224133380526915</v>
      </c>
      <c r="O204" s="147">
        <v>77.932475872774717</v>
      </c>
      <c r="P204" s="147">
        <v>67.721059152384612</v>
      </c>
      <c r="Q204" s="147">
        <v>40.92327551721818</v>
      </c>
      <c r="R204" s="112">
        <v>31.093925734631323</v>
      </c>
      <c r="S204" s="112">
        <v>79.658100000000005</v>
      </c>
      <c r="T204" s="112">
        <v>72.790700000000001</v>
      </c>
      <c r="U204" s="146">
        <v>45.825500000000005</v>
      </c>
      <c r="V204" s="113">
        <v>33.4861</v>
      </c>
      <c r="W204" s="113">
        <v>84.012200000000007</v>
      </c>
      <c r="X204" s="126">
        <v>75.345200000000006</v>
      </c>
      <c r="Y204" s="126">
        <v>50.911300000000004</v>
      </c>
      <c r="Z204" s="104">
        <v>40.301500000000004</v>
      </c>
      <c r="AA204" s="104" t="s">
        <v>911</v>
      </c>
      <c r="AB204" s="104" t="s">
        <v>911</v>
      </c>
      <c r="AC204" s="104" t="s">
        <v>911</v>
      </c>
      <c r="AD204" s="104" t="s">
        <v>911</v>
      </c>
    </row>
    <row r="205" spans="1:196" ht="14.7" customHeight="1">
      <c r="A205" s="131" t="s">
        <v>110</v>
      </c>
      <c r="B205" s="131"/>
      <c r="C205">
        <v>85.939854111308804</v>
      </c>
      <c r="D205">
        <v>75.708319104761912</v>
      </c>
      <c r="E205">
        <v>46.733419518536117</v>
      </c>
      <c r="F205">
        <v>36.684654047730966</v>
      </c>
      <c r="G205">
        <v>80.17605669760934</v>
      </c>
      <c r="H205">
        <v>73.140541337336174</v>
      </c>
      <c r="I205" s="147">
        <v>56.007465862778439</v>
      </c>
      <c r="J205" s="112">
        <v>47.432312071403217</v>
      </c>
      <c r="K205" s="112">
        <v>85.041210952471246</v>
      </c>
      <c r="L205" s="126">
        <v>78.936346227179797</v>
      </c>
      <c r="M205" s="112">
        <v>51.791545198617193</v>
      </c>
      <c r="N205" s="126">
        <v>42.401743722038042</v>
      </c>
      <c r="O205" s="147">
        <v>79.183302082252055</v>
      </c>
      <c r="P205" s="147">
        <v>69.196055395124944</v>
      </c>
      <c r="Q205" s="147">
        <v>37.797591565483089</v>
      </c>
      <c r="R205" s="112">
        <v>23.935990777171291</v>
      </c>
      <c r="S205" s="112">
        <v>76.869900000000001</v>
      </c>
      <c r="T205" s="112">
        <v>67.190600000000003</v>
      </c>
      <c r="U205" s="147">
        <v>34.5</v>
      </c>
      <c r="V205" s="149">
        <v>25.632999999999999</v>
      </c>
      <c r="W205" s="149">
        <v>74.685299999999998</v>
      </c>
      <c r="X205" s="126">
        <v>65.216099999999997</v>
      </c>
      <c r="Y205" s="126">
        <v>36.690100000000001</v>
      </c>
      <c r="Z205" s="104">
        <v>25.100899999999999</v>
      </c>
      <c r="AA205" s="104">
        <v>79.98234966638357</v>
      </c>
      <c r="AB205" s="104">
        <v>70.957604643271267</v>
      </c>
      <c r="AC205" s="104">
        <v>42.267871749482786</v>
      </c>
      <c r="AD205" s="104">
        <v>30.520326646607725</v>
      </c>
    </row>
    <row r="206" spans="1:196" ht="14.7" customHeight="1">
      <c r="A206" s="131" t="s">
        <v>276</v>
      </c>
      <c r="B206" s="131"/>
      <c r="C206">
        <v>82.573575443047986</v>
      </c>
      <c r="D206">
        <v>73.931750172820358</v>
      </c>
      <c r="E206">
        <v>52.308134311545537</v>
      </c>
      <c r="F206">
        <v>41.343812342426375</v>
      </c>
      <c r="G206">
        <v>83.522871742714415</v>
      </c>
      <c r="H206">
        <v>75.184913307347927</v>
      </c>
      <c r="I206" s="147">
        <v>50.225700726832855</v>
      </c>
      <c r="J206" s="112">
        <v>41.567394878051303</v>
      </c>
      <c r="K206" s="112">
        <v>84.487193024048068</v>
      </c>
      <c r="L206" s="126">
        <v>77.359044875509014</v>
      </c>
      <c r="M206" s="112">
        <v>58.975509837684335</v>
      </c>
      <c r="N206" s="126">
        <v>47.031761316805273</v>
      </c>
      <c r="O206" s="147">
        <v>75.327145764556235</v>
      </c>
      <c r="P206" s="147">
        <v>66.833722069600455</v>
      </c>
      <c r="Q206" s="147">
        <v>37.778381450528599</v>
      </c>
      <c r="R206" s="112">
        <v>27.66896468058664</v>
      </c>
      <c r="S206" s="112">
        <v>71.233100000000007</v>
      </c>
      <c r="T206" s="112">
        <v>64.112099999999998</v>
      </c>
      <c r="U206" s="146">
        <v>36.683799999999998</v>
      </c>
      <c r="V206" s="113">
        <v>26.6722</v>
      </c>
      <c r="W206" s="113">
        <v>70.818700000000007</v>
      </c>
      <c r="X206" s="126">
        <v>64.278800000000004</v>
      </c>
      <c r="Y206" s="126">
        <v>37.799899999999994</v>
      </c>
      <c r="Z206" s="104">
        <v>26.866200000000003</v>
      </c>
      <c r="AA206" s="104">
        <v>72.168153065041523</v>
      </c>
      <c r="AB206" s="104">
        <v>64.022743899060472</v>
      </c>
      <c r="AC206" s="104">
        <v>39.402579898443499</v>
      </c>
      <c r="AD206" s="104">
        <v>30.17679421940732</v>
      </c>
    </row>
    <row r="207" spans="1:196" ht="14.7" customHeight="1">
      <c r="A207" s="171" t="s">
        <v>111</v>
      </c>
      <c r="B207" s="171"/>
      <c r="C207">
        <v>89.871132268481873</v>
      </c>
      <c r="D207">
        <v>78.723623882235103</v>
      </c>
      <c r="E207">
        <v>52.33300225220647</v>
      </c>
      <c r="F207">
        <v>42.091137947292012</v>
      </c>
      <c r="G207">
        <v>89.81096978943161</v>
      </c>
      <c r="H207">
        <v>81.087472405610129</v>
      </c>
      <c r="I207" s="147">
        <v>58.741550996087653</v>
      </c>
      <c r="J207" s="112">
        <v>46.928152174137935</v>
      </c>
      <c r="K207" s="112">
        <v>88.920493189510069</v>
      </c>
      <c r="L207" s="126">
        <v>83.031074843726358</v>
      </c>
      <c r="M207" s="112">
        <v>60.44979006798772</v>
      </c>
      <c r="N207" s="126">
        <v>50.672722738478271</v>
      </c>
      <c r="O207" s="147">
        <v>79.628549081213791</v>
      </c>
      <c r="P207" s="147">
        <v>71.083929065960092</v>
      </c>
      <c r="Q207" s="147">
        <v>47.291536566620543</v>
      </c>
      <c r="R207" s="112">
        <v>35.756469833643841</v>
      </c>
      <c r="S207" s="112">
        <v>80.037300000000002</v>
      </c>
      <c r="T207" s="112">
        <v>73.555000000000007</v>
      </c>
      <c r="U207" s="146">
        <v>51.327500000000001</v>
      </c>
      <c r="V207" s="113">
        <v>39.114900000000006</v>
      </c>
      <c r="W207" s="113">
        <v>82.662300000000002</v>
      </c>
      <c r="X207" s="126">
        <v>72.121200000000002</v>
      </c>
      <c r="Y207" s="126">
        <v>42.314700000000002</v>
      </c>
      <c r="Z207" s="104">
        <v>30.300700000000003</v>
      </c>
      <c r="AA207" s="104">
        <v>86.48148459683577</v>
      </c>
      <c r="AB207" s="104">
        <v>77.438633576171881</v>
      </c>
      <c r="AC207" s="104">
        <v>51.388145863447846</v>
      </c>
      <c r="AD207" s="104">
        <v>38.614203515336854</v>
      </c>
    </row>
    <row r="208" spans="1:196" s="175" customFormat="1" ht="11.25" customHeight="1">
      <c r="A208" s="172" t="s">
        <v>112</v>
      </c>
      <c r="B208" s="172"/>
      <c r="C208">
        <v>84.240782979932945</v>
      </c>
      <c r="D208">
        <v>74.991570553123012</v>
      </c>
      <c r="E208">
        <v>57.005786692240903</v>
      </c>
      <c r="F208">
        <v>41.901630025836909</v>
      </c>
      <c r="G208">
        <v>86.223519067895566</v>
      </c>
      <c r="H208">
        <v>78.841139804462685</v>
      </c>
      <c r="I208" s="173">
        <v>59.556985078496858</v>
      </c>
      <c r="J208" s="173">
        <v>46.820306085281601</v>
      </c>
      <c r="K208" s="173">
        <v>84.334822204558023</v>
      </c>
      <c r="L208" s="173">
        <v>80.497467086175305</v>
      </c>
      <c r="M208" s="173">
        <v>62.683744174699783</v>
      </c>
      <c r="N208" s="173">
        <v>50.023993912172251</v>
      </c>
      <c r="O208" s="173">
        <v>79.289178993606342</v>
      </c>
      <c r="P208" s="173">
        <v>72.489166558882417</v>
      </c>
      <c r="Q208" s="173">
        <v>47.065415137503578</v>
      </c>
      <c r="R208" s="173">
        <v>35.202552913745464</v>
      </c>
      <c r="S208" s="173">
        <v>78.167100000000005</v>
      </c>
      <c r="T208" s="173">
        <v>69.146900000000002</v>
      </c>
      <c r="U208" s="173">
        <v>42.148699999999998</v>
      </c>
      <c r="V208" s="173">
        <v>31.401899999999998</v>
      </c>
      <c r="W208" s="173">
        <v>78.903000000000006</v>
      </c>
      <c r="X208" s="173">
        <v>68.6554</v>
      </c>
      <c r="Y208" s="173">
        <v>41.4437</v>
      </c>
      <c r="Z208" s="173">
        <v>28.490500000000001</v>
      </c>
      <c r="AA208" s="173">
        <v>79.864117668556673</v>
      </c>
      <c r="AB208" s="173">
        <v>70.041052624074709</v>
      </c>
      <c r="AC208" s="173">
        <v>44.570752960143125</v>
      </c>
      <c r="AD208" s="173">
        <v>33.010488391567293</v>
      </c>
      <c r="AE208" s="173"/>
      <c r="AF208" s="173"/>
      <c r="AG208" s="173"/>
      <c r="AH208" s="173"/>
      <c r="AI208" s="173"/>
      <c r="AJ208" s="173"/>
      <c r="AK208" s="173"/>
      <c r="AL208" s="173"/>
      <c r="AM208" s="173"/>
      <c r="AN208" s="173"/>
      <c r="AO208" s="173"/>
      <c r="AP208" s="173"/>
      <c r="AQ208" s="173"/>
      <c r="AR208" s="173"/>
      <c r="AS208" s="173"/>
      <c r="AT208" s="173"/>
      <c r="AU208" s="173"/>
      <c r="AV208" s="173"/>
      <c r="AW208" s="173"/>
      <c r="AX208" s="173"/>
      <c r="AY208" s="173"/>
      <c r="AZ208" s="173"/>
      <c r="BA208" s="173"/>
      <c r="BB208" s="173"/>
      <c r="BC208" s="173"/>
      <c r="BD208" s="173"/>
      <c r="BE208" s="173"/>
      <c r="BF208" s="173"/>
      <c r="BG208" s="173"/>
      <c r="BH208" s="173"/>
      <c r="BI208" s="173"/>
      <c r="BJ208" s="173"/>
      <c r="BK208" s="173"/>
      <c r="BL208" s="174"/>
      <c r="BM208" s="174"/>
      <c r="BN208" s="174"/>
      <c r="BO208" s="173"/>
      <c r="BP208" s="173"/>
      <c r="BQ208" s="173"/>
      <c r="BR208" s="173"/>
      <c r="BS208" s="173"/>
      <c r="BT208" s="173"/>
      <c r="BU208" s="173"/>
      <c r="BV208" s="173"/>
      <c r="BW208" s="173"/>
      <c r="BX208" s="173"/>
      <c r="BY208" s="173"/>
      <c r="BZ208" s="173"/>
      <c r="CA208" s="173"/>
      <c r="CB208" s="173"/>
      <c r="CC208" s="173"/>
      <c r="CD208" s="173"/>
      <c r="CE208" s="173"/>
      <c r="CF208" s="173"/>
      <c r="CG208" s="173"/>
      <c r="CH208" s="173"/>
      <c r="CI208" s="173"/>
      <c r="CJ208" s="173"/>
      <c r="CK208" s="173"/>
      <c r="CL208" s="173"/>
      <c r="CM208" s="173"/>
      <c r="CN208" s="173"/>
      <c r="CO208" s="173"/>
      <c r="CP208" s="173"/>
      <c r="CQ208" s="173"/>
      <c r="CR208" s="173"/>
      <c r="CS208" s="173"/>
      <c r="CT208" s="173"/>
      <c r="CU208" s="173"/>
      <c r="CV208" s="173"/>
      <c r="CW208" s="173"/>
      <c r="CX208" s="173"/>
      <c r="CY208" s="173"/>
      <c r="CZ208" s="173"/>
      <c r="DA208" s="173"/>
      <c r="DB208" s="173"/>
      <c r="DC208" s="173"/>
      <c r="DD208" s="173"/>
      <c r="DE208" s="173"/>
      <c r="DF208" s="173"/>
      <c r="DG208" s="173"/>
      <c r="DH208" s="173"/>
      <c r="DI208" s="173"/>
      <c r="DJ208" s="173"/>
      <c r="DK208" s="173"/>
      <c r="DL208" s="173"/>
      <c r="DM208" s="173"/>
      <c r="DN208" s="173"/>
      <c r="DO208" s="173"/>
      <c r="DP208" s="173"/>
      <c r="DQ208" s="173"/>
      <c r="DR208" s="173"/>
      <c r="DS208" s="173"/>
      <c r="DT208" s="173"/>
      <c r="DU208" s="173"/>
      <c r="DV208" s="173"/>
      <c r="DW208" s="173"/>
      <c r="DX208" s="173"/>
      <c r="DY208" s="173"/>
      <c r="DZ208" s="173"/>
      <c r="EA208" s="173"/>
      <c r="EB208" s="173"/>
      <c r="EC208" s="173"/>
      <c r="ED208" s="173"/>
      <c r="EE208" s="173"/>
      <c r="EF208" s="173"/>
      <c r="EG208" s="173"/>
      <c r="EH208" s="173"/>
      <c r="EI208" s="173"/>
      <c r="EJ208" s="173"/>
      <c r="EK208" s="173"/>
      <c r="EL208" s="173"/>
      <c r="EM208" s="173"/>
      <c r="EN208" s="173"/>
      <c r="EO208" s="173"/>
      <c r="EP208" s="173"/>
      <c r="EQ208" s="173"/>
      <c r="ER208" s="173"/>
      <c r="ES208" s="173"/>
      <c r="ET208" s="173"/>
      <c r="EU208" s="173"/>
      <c r="EV208" s="173"/>
      <c r="EW208" s="173"/>
      <c r="EX208" s="173"/>
      <c r="EY208" s="173"/>
      <c r="EZ208" s="173"/>
      <c r="FA208" s="173"/>
      <c r="FB208" s="173"/>
      <c r="FC208" s="173"/>
      <c r="FD208" s="173"/>
      <c r="FE208" s="173"/>
      <c r="FF208" s="173"/>
      <c r="FG208" s="173"/>
      <c r="FH208" s="173"/>
      <c r="FI208" s="173"/>
      <c r="FJ208" s="173"/>
      <c r="FK208" s="173"/>
      <c r="FL208" s="173"/>
      <c r="FM208" s="173"/>
      <c r="FN208" s="173"/>
      <c r="FO208" s="173"/>
      <c r="FP208" s="173"/>
      <c r="FQ208" s="173"/>
      <c r="FR208" s="173"/>
      <c r="FS208" s="173"/>
      <c r="FT208" s="174"/>
      <c r="FU208" s="173"/>
      <c r="FV208" s="173"/>
      <c r="FW208" s="173"/>
      <c r="FX208" s="173"/>
      <c r="FY208" s="173"/>
      <c r="FZ208" s="173"/>
      <c r="GA208" s="173"/>
      <c r="GB208" s="173"/>
      <c r="GC208" s="173"/>
      <c r="GD208" s="173"/>
      <c r="GE208" s="173"/>
      <c r="GF208" s="173"/>
      <c r="GG208" s="173"/>
      <c r="GH208" s="173"/>
      <c r="GI208" s="173"/>
      <c r="GJ208" s="173"/>
      <c r="GK208" s="173"/>
      <c r="GL208" s="173"/>
      <c r="GM208" s="173"/>
      <c r="GN208" s="173"/>
    </row>
    <row r="209" spans="1:30" ht="14.7" customHeight="1">
      <c r="A209" s="110" t="s">
        <v>277</v>
      </c>
      <c r="B209" s="190"/>
      <c r="C209">
        <v>80.8988110940968</v>
      </c>
      <c r="D209">
        <v>72.859091530358839</v>
      </c>
      <c r="E209">
        <v>50.529749894166031</v>
      </c>
      <c r="F209">
        <v>39.509177515901534</v>
      </c>
      <c r="G209">
        <v>79.513145998928195</v>
      </c>
      <c r="H209">
        <v>71.540007508083633</v>
      </c>
      <c r="I209" s="147">
        <v>55.555878186528176</v>
      </c>
      <c r="J209" s="112">
        <v>45.596467467390653</v>
      </c>
      <c r="K209" s="112">
        <v>77.821250586187446</v>
      </c>
      <c r="L209" s="126">
        <v>70.415029819454901</v>
      </c>
      <c r="M209" s="112">
        <v>51.752936147692807</v>
      </c>
      <c r="N209" s="126">
        <v>42.740947302000855</v>
      </c>
      <c r="O209" s="147">
        <v>74.661151573117621</v>
      </c>
      <c r="P209" s="147">
        <v>65.063185859217626</v>
      </c>
      <c r="Q209" s="147">
        <v>34.03193907586153</v>
      </c>
      <c r="R209" s="112">
        <v>24.751157570179565</v>
      </c>
      <c r="S209" s="112">
        <v>75.473199999999991</v>
      </c>
      <c r="T209" s="112">
        <v>63.7014</v>
      </c>
      <c r="U209" s="146">
        <v>36.566900000000004</v>
      </c>
      <c r="V209" s="113">
        <v>25.888999999999999</v>
      </c>
      <c r="W209" s="113">
        <v>72.813000000000002</v>
      </c>
      <c r="X209" s="126">
        <v>64.644100000000009</v>
      </c>
      <c r="Y209" s="126">
        <v>43.1372</v>
      </c>
      <c r="Z209" s="104">
        <v>32.555099999999996</v>
      </c>
      <c r="AA209" s="104">
        <v>73.478392918246342</v>
      </c>
      <c r="AB209" s="104">
        <v>65.450185062070261</v>
      </c>
      <c r="AC209" s="104">
        <v>36.358421083094633</v>
      </c>
      <c r="AD209" s="104">
        <v>28.221204650642484</v>
      </c>
    </row>
    <row r="210" spans="1:30" ht="14.7" customHeight="1">
      <c r="A210" s="142" t="s">
        <v>113</v>
      </c>
      <c r="B210" s="190"/>
      <c r="C210">
        <v>86.796758603145747</v>
      </c>
      <c r="D210">
        <v>80.680141635375833</v>
      </c>
      <c r="E210">
        <v>60.378605274464846</v>
      </c>
      <c r="F210">
        <v>47.526415826614112</v>
      </c>
      <c r="G210">
        <v>89.293000000000006</v>
      </c>
      <c r="H210">
        <v>83.755869882490401</v>
      </c>
      <c r="I210" s="147">
        <v>57.487700471626098</v>
      </c>
      <c r="J210" s="112">
        <v>45.112044276266644</v>
      </c>
      <c r="K210" s="112">
        <v>82.423579094184646</v>
      </c>
      <c r="L210" s="126">
        <v>77.228586197780018</v>
      </c>
      <c r="M210" s="112">
        <v>56.244894899042308</v>
      </c>
      <c r="N210" s="126">
        <v>47.411639827482112</v>
      </c>
      <c r="O210" s="147">
        <v>79.736627259259521</v>
      </c>
      <c r="P210" s="147">
        <v>72.583060121194961</v>
      </c>
      <c r="Q210" s="147">
        <v>43.250731964459398</v>
      </c>
      <c r="R210" s="112">
        <v>30.157425400404168</v>
      </c>
      <c r="S210" s="112">
        <v>80.757100000000008</v>
      </c>
      <c r="T210" s="112">
        <v>73.4495</v>
      </c>
      <c r="U210" s="146">
        <v>50.362300000000005</v>
      </c>
      <c r="V210" s="113">
        <v>35.997599999999998</v>
      </c>
      <c r="W210" s="113">
        <v>84.152699999999996</v>
      </c>
      <c r="X210" s="126">
        <v>78.923200000000008</v>
      </c>
      <c r="Y210" s="126">
        <v>47.883099999999999</v>
      </c>
      <c r="Z210" s="104">
        <v>35.807400000000001</v>
      </c>
      <c r="AA210" s="104">
        <v>81.243010989059002</v>
      </c>
      <c r="AB210" s="104">
        <v>76.312740588986998</v>
      </c>
      <c r="AC210" s="104">
        <v>48.921260630214384</v>
      </c>
      <c r="AD210" s="104">
        <v>36.226939572015567</v>
      </c>
    </row>
    <row r="211" spans="1:30" ht="14.7" customHeight="1">
      <c r="A211" s="110" t="s">
        <v>278</v>
      </c>
      <c r="B211" s="190"/>
      <c r="C211">
        <v>85.091469537322737</v>
      </c>
      <c r="D211">
        <v>76.359114433956293</v>
      </c>
      <c r="E211">
        <v>53.553349272981833</v>
      </c>
      <c r="F211">
        <v>39.688959434816624</v>
      </c>
      <c r="G211">
        <v>87.17780761134523</v>
      </c>
      <c r="H211">
        <v>81.73397918439484</v>
      </c>
      <c r="I211" s="147">
        <v>63.859682856581792</v>
      </c>
      <c r="J211" s="112">
        <v>49.87522092033776</v>
      </c>
      <c r="K211" s="112">
        <v>87.289023329211389</v>
      </c>
      <c r="L211" s="126">
        <v>81.802576770318709</v>
      </c>
      <c r="M211" s="112">
        <v>56.906325680519231</v>
      </c>
      <c r="N211" s="126">
        <v>45.187445510026159</v>
      </c>
      <c r="O211" s="147">
        <v>80.102792687129266</v>
      </c>
      <c r="P211" s="147">
        <v>68.651107613844303</v>
      </c>
      <c r="Q211" s="147">
        <v>41.630853109469143</v>
      </c>
      <c r="R211" s="112">
        <v>32.224439307429229</v>
      </c>
      <c r="S211" s="112">
        <v>82.000900000000001</v>
      </c>
      <c r="T211" s="112">
        <v>74.276399999999995</v>
      </c>
      <c r="U211" s="146">
        <v>38.790200000000006</v>
      </c>
      <c r="V211" s="113">
        <v>29.361700000000003</v>
      </c>
      <c r="W211" s="113">
        <v>82.781999999999996</v>
      </c>
      <c r="X211" s="126">
        <v>74.917999999999992</v>
      </c>
      <c r="Y211" s="126">
        <v>45.103000000000002</v>
      </c>
      <c r="Z211" s="104">
        <v>33.969200000000001</v>
      </c>
      <c r="AA211" s="104">
        <v>82.959586340521483</v>
      </c>
      <c r="AB211" s="104">
        <v>71.827400041141331</v>
      </c>
      <c r="AC211" s="104">
        <v>44.009897903132853</v>
      </c>
      <c r="AD211" s="104">
        <v>29.495686328117781</v>
      </c>
    </row>
    <row r="212" spans="1:30" ht="14.7" customHeight="1">
      <c r="A212" s="110" t="s">
        <v>238</v>
      </c>
      <c r="B212" s="190"/>
      <c r="C212">
        <v>83.982012117042188</v>
      </c>
      <c r="D212">
        <v>75.070463423342986</v>
      </c>
      <c r="E212">
        <v>53.653840425912215</v>
      </c>
      <c r="F212">
        <v>45.533927101267018</v>
      </c>
      <c r="G212">
        <v>88.36115537848606</v>
      </c>
      <c r="H212">
        <v>82.023947010521198</v>
      </c>
      <c r="I212" s="147">
        <v>55.934546752466197</v>
      </c>
      <c r="J212" s="112">
        <v>46.726824795432961</v>
      </c>
      <c r="K212" s="112">
        <v>85.539039769087694</v>
      </c>
      <c r="L212" s="126">
        <v>80.744761364173883</v>
      </c>
      <c r="M212" s="112">
        <v>63.492936316478243</v>
      </c>
      <c r="N212" s="126">
        <v>52.052488844740864</v>
      </c>
      <c r="O212" s="147">
        <v>77.264642319798284</v>
      </c>
      <c r="P212" s="147">
        <v>70.095651517648889</v>
      </c>
      <c r="Q212" s="147">
        <v>44.66816597083421</v>
      </c>
      <c r="R212" s="112">
        <v>36.957617082722081</v>
      </c>
      <c r="S212" s="112">
        <v>79.122199999999992</v>
      </c>
      <c r="T212" s="112">
        <v>71.319600000000008</v>
      </c>
      <c r="U212" s="147">
        <v>45.212599999999995</v>
      </c>
      <c r="V212" s="149">
        <v>33.754400000000004</v>
      </c>
      <c r="W212" s="149">
        <v>76.454900000000009</v>
      </c>
      <c r="X212" s="126">
        <v>68.860799999999998</v>
      </c>
      <c r="Y212" s="126">
        <v>45.372900000000001</v>
      </c>
      <c r="Z212" s="104">
        <v>32.861200000000004</v>
      </c>
      <c r="AA212" s="104">
        <v>75.959211830018276</v>
      </c>
      <c r="AB212" s="104">
        <v>66.271950819485482</v>
      </c>
      <c r="AC212" s="104">
        <v>40.21692726315235</v>
      </c>
      <c r="AD212" s="104">
        <v>29.052763859468715</v>
      </c>
    </row>
    <row r="213" spans="1:30" ht="14.7" customHeight="1">
      <c r="A213" s="110" t="s">
        <v>114</v>
      </c>
      <c r="B213" s="190"/>
      <c r="C213">
        <v>85.750763893403132</v>
      </c>
      <c r="D213">
        <v>75.16694822199301</v>
      </c>
      <c r="E213">
        <v>54.893502462596565</v>
      </c>
      <c r="F213">
        <v>45.067767869920608</v>
      </c>
      <c r="G213">
        <v>80.491877320874934</v>
      </c>
      <c r="H213">
        <v>73.927150265659975</v>
      </c>
      <c r="I213" s="147">
        <v>52.138106251680249</v>
      </c>
      <c r="J213" s="112">
        <v>41.43454339113071</v>
      </c>
      <c r="K213" s="112">
        <v>83.757166579799019</v>
      </c>
      <c r="L213" s="126">
        <v>79.40177097342314</v>
      </c>
      <c r="M213" s="112">
        <v>58.922518382165379</v>
      </c>
      <c r="N213" s="126">
        <v>46.115919373567635</v>
      </c>
      <c r="O213" s="147">
        <v>75.007692664943036</v>
      </c>
      <c r="P213" s="147">
        <v>65.213197617923797</v>
      </c>
      <c r="Q213" s="147">
        <v>36.921364366723388</v>
      </c>
      <c r="R213" s="112">
        <v>27.699647721589958</v>
      </c>
      <c r="S213" s="112">
        <v>75.359899999999996</v>
      </c>
      <c r="T213" s="112">
        <v>63.813499999999998</v>
      </c>
      <c r="U213" s="146">
        <v>37.499200000000002</v>
      </c>
      <c r="V213" s="113">
        <v>26.3642</v>
      </c>
      <c r="W213" s="113">
        <v>79.721699999999998</v>
      </c>
      <c r="X213" s="126">
        <v>68.413399999999996</v>
      </c>
      <c r="Y213" s="126">
        <v>44.6449</v>
      </c>
      <c r="Z213" s="104">
        <v>33.386400000000002</v>
      </c>
      <c r="AA213" s="104">
        <v>76.533598646171697</v>
      </c>
      <c r="AB213" s="104">
        <v>67.417375800267138</v>
      </c>
      <c r="AC213" s="104">
        <v>42.106167070214099</v>
      </c>
      <c r="AD213" s="104">
        <v>29.755638024948855</v>
      </c>
    </row>
    <row r="214" spans="1:30" ht="14.7" customHeight="1">
      <c r="A214" s="110" t="s">
        <v>115</v>
      </c>
      <c r="B214" s="190"/>
      <c r="C214">
        <v>87.655853579735123</v>
      </c>
      <c r="D214">
        <v>81.22564565586967</v>
      </c>
      <c r="E214">
        <v>53.024628808212157</v>
      </c>
      <c r="F214">
        <v>40.469262881677032</v>
      </c>
      <c r="G214">
        <v>87.187874535348016</v>
      </c>
      <c r="H214">
        <v>80.601018432188198</v>
      </c>
      <c r="I214" s="147">
        <v>59.037100029712818</v>
      </c>
      <c r="J214" s="112">
        <v>49.192733681007368</v>
      </c>
      <c r="K214" s="112">
        <v>83.26806275355861</v>
      </c>
      <c r="L214" s="126">
        <v>76.772694590852637</v>
      </c>
      <c r="M214" s="112">
        <v>59.781883149423521</v>
      </c>
      <c r="N214" s="126">
        <v>47.983330263217837</v>
      </c>
      <c r="O214" s="147">
        <v>72.950841295340396</v>
      </c>
      <c r="P214" s="147">
        <v>65.682627310659527</v>
      </c>
      <c r="Q214" s="147">
        <v>36.18036035118778</v>
      </c>
      <c r="R214" s="112">
        <v>25.891751259232148</v>
      </c>
      <c r="S214" s="112">
        <v>77.712299999999999</v>
      </c>
      <c r="T214" s="112">
        <v>66.644199999999998</v>
      </c>
      <c r="U214" s="146">
        <v>40.079599999999999</v>
      </c>
      <c r="V214" s="113">
        <v>30.8645</v>
      </c>
      <c r="W214" s="113">
        <v>75.782000000000011</v>
      </c>
      <c r="X214" s="126">
        <v>65.098399999999998</v>
      </c>
      <c r="Y214" s="126">
        <v>37.537700000000001</v>
      </c>
      <c r="Z214" s="104">
        <v>23.661999999999999</v>
      </c>
      <c r="AA214" s="104">
        <v>81.080410908300962</v>
      </c>
      <c r="AB214" s="104">
        <v>69.617411582297478</v>
      </c>
      <c r="AC214" s="104">
        <v>42.959362445443375</v>
      </c>
      <c r="AD214" s="104">
        <v>29.46731379421016</v>
      </c>
    </row>
    <row r="215" spans="1:30" ht="14.7" customHeight="1">
      <c r="A215" s="110" t="s">
        <v>320</v>
      </c>
      <c r="B215" s="190"/>
      <c r="C215">
        <v>87.249692463718191</v>
      </c>
      <c r="D215">
        <v>79.998283757466567</v>
      </c>
      <c r="E215">
        <v>59.72129412561997</v>
      </c>
      <c r="F215">
        <v>48.573203109365018</v>
      </c>
      <c r="G215">
        <v>88.239033528177188</v>
      </c>
      <c r="H215">
        <v>81.917711180304835</v>
      </c>
      <c r="I215" s="147">
        <v>60.189507344342061</v>
      </c>
      <c r="J215" s="112">
        <v>48.099140835035278</v>
      </c>
      <c r="K215" s="112">
        <v>87.488130995058611</v>
      </c>
      <c r="L215" s="126">
        <v>83.081767345193953</v>
      </c>
      <c r="M215" s="112">
        <v>64.43489462959036</v>
      </c>
      <c r="N215" s="126">
        <v>52.734730239934756</v>
      </c>
      <c r="O215" s="147">
        <v>78.813674463446006</v>
      </c>
      <c r="P215" s="147">
        <v>71.09481369092623</v>
      </c>
      <c r="Q215" s="147">
        <v>44.412262136322994</v>
      </c>
      <c r="R215" s="112">
        <v>31.99102051975898</v>
      </c>
      <c r="S215" s="112">
        <v>81.381299999999996</v>
      </c>
      <c r="T215" s="112">
        <v>72.930300000000003</v>
      </c>
      <c r="U215" s="147">
        <v>45.546599999999998</v>
      </c>
      <c r="V215" s="149">
        <v>33.488600000000005</v>
      </c>
      <c r="W215" s="149">
        <v>81.008800000000008</v>
      </c>
      <c r="X215" s="126">
        <v>72.674799999999991</v>
      </c>
      <c r="Y215" s="126">
        <v>46.212299999999999</v>
      </c>
      <c r="Z215" s="104">
        <v>33.860500000000002</v>
      </c>
      <c r="AA215" s="104">
        <v>82.217799531946795</v>
      </c>
      <c r="AB215" s="104">
        <v>74.0241893388432</v>
      </c>
      <c r="AC215" s="104">
        <v>48.503709701633838</v>
      </c>
      <c r="AD215" s="104">
        <v>36.922945981143116</v>
      </c>
    </row>
    <row r="216" spans="1:30" ht="14.7" customHeight="1">
      <c r="A216" s="110" t="s">
        <v>116</v>
      </c>
      <c r="B216" s="190"/>
      <c r="C216">
        <v>89.500274295485809</v>
      </c>
      <c r="D216">
        <v>81.854643510503323</v>
      </c>
      <c r="E216">
        <v>55.830301288627496</v>
      </c>
      <c r="F216">
        <v>41.132198998264485</v>
      </c>
      <c r="G216">
        <v>84.455184984179326</v>
      </c>
      <c r="H216">
        <v>74.693584615320958</v>
      </c>
      <c r="I216" s="147">
        <v>54.605227779455369</v>
      </c>
      <c r="J216" s="112">
        <v>41.961017096385895</v>
      </c>
      <c r="K216" s="112">
        <v>83.174072166241274</v>
      </c>
      <c r="L216" s="126">
        <v>76.499605367008684</v>
      </c>
      <c r="M216" s="112">
        <v>59.302202911688163</v>
      </c>
      <c r="N216" s="126">
        <v>47.876991724428954</v>
      </c>
      <c r="O216" s="147">
        <v>75.616700700178512</v>
      </c>
      <c r="P216" s="147">
        <v>65.792249051958521</v>
      </c>
      <c r="Q216" s="147">
        <v>39.080773515605671</v>
      </c>
      <c r="R216" s="112">
        <v>29.311536383410026</v>
      </c>
      <c r="S216" s="112">
        <v>74.493499999999997</v>
      </c>
      <c r="T216" s="112">
        <v>63.372799999999998</v>
      </c>
      <c r="U216" s="146">
        <v>36.3583</v>
      </c>
      <c r="V216" s="113">
        <v>28.000299999999999</v>
      </c>
      <c r="W216" s="113">
        <v>72.297499999999999</v>
      </c>
      <c r="X216" s="126">
        <v>60.674599999999998</v>
      </c>
      <c r="Y216" s="126">
        <v>34.065300000000001</v>
      </c>
      <c r="Z216" s="104">
        <v>24.730699999999999</v>
      </c>
      <c r="AA216" s="104">
        <v>73.836303309698209</v>
      </c>
      <c r="AB216" s="104">
        <v>63.246003008836162</v>
      </c>
      <c r="AC216" s="104">
        <v>37.127983120117925</v>
      </c>
      <c r="AD216" s="104">
        <v>25.252196630865161</v>
      </c>
    </row>
    <row r="217" spans="1:30" ht="14.7" customHeight="1">
      <c r="A217" s="110" t="s">
        <v>321</v>
      </c>
      <c r="B217" s="190"/>
      <c r="C217">
        <v>87.509983810120332</v>
      </c>
      <c r="D217">
        <v>78.665342815813176</v>
      </c>
      <c r="E217">
        <v>54.778829335267673</v>
      </c>
      <c r="F217">
        <v>41.906874365913538</v>
      </c>
      <c r="G217">
        <v>85.671452952580736</v>
      </c>
      <c r="H217">
        <v>77.232369834459675</v>
      </c>
      <c r="I217" s="147">
        <v>55.952130978909032</v>
      </c>
      <c r="J217" s="112">
        <v>45.190242170367426</v>
      </c>
      <c r="K217" s="112">
        <v>84.094530752421207</v>
      </c>
      <c r="L217" s="126">
        <v>77.52398792222948</v>
      </c>
      <c r="M217" s="112">
        <v>58.479438183219457</v>
      </c>
      <c r="N217" s="126">
        <v>47.647576554563663</v>
      </c>
      <c r="O217" s="147">
        <v>77.228421247246374</v>
      </c>
      <c r="P217" s="147">
        <v>67.734763048804027</v>
      </c>
      <c r="Q217" s="147">
        <v>39.527798459241204</v>
      </c>
      <c r="R217" s="112">
        <v>28.792118215731954</v>
      </c>
      <c r="S217" s="112">
        <v>76.133799999999994</v>
      </c>
      <c r="T217" s="112">
        <v>63.885099999999994</v>
      </c>
      <c r="U217" s="146">
        <v>37.68</v>
      </c>
      <c r="V217" s="113">
        <v>28.383399999999998</v>
      </c>
      <c r="W217" s="113">
        <v>74.592799999999997</v>
      </c>
      <c r="X217" s="126">
        <v>64.983699999999999</v>
      </c>
      <c r="Y217" s="126">
        <v>38.619700000000002</v>
      </c>
      <c r="Z217" s="104">
        <v>28.776499999999999</v>
      </c>
      <c r="AA217" s="104">
        <v>78.459747653840637</v>
      </c>
      <c r="AB217" s="104">
        <v>69.024972005803434</v>
      </c>
      <c r="AC217" s="104">
        <v>41.953132059421769</v>
      </c>
      <c r="AD217" s="104">
        <v>30.753087727824795</v>
      </c>
    </row>
    <row r="218" spans="1:30" ht="14.7" customHeight="1">
      <c r="A218" s="110" t="s">
        <v>322</v>
      </c>
      <c r="B218" s="190"/>
      <c r="C218">
        <v>87.448466538497271</v>
      </c>
      <c r="D218">
        <v>80.122052804209943</v>
      </c>
      <c r="E218">
        <v>56.350509303052817</v>
      </c>
      <c r="F218">
        <v>47.665503112874283</v>
      </c>
      <c r="G218">
        <v>88.597365398405913</v>
      </c>
      <c r="H218">
        <v>81.826312812886215</v>
      </c>
      <c r="I218" s="147">
        <v>63.156406443099222</v>
      </c>
      <c r="J218" s="112">
        <v>50.565132695167684</v>
      </c>
      <c r="K218" s="112">
        <v>86.571925865003934</v>
      </c>
      <c r="L218" s="126">
        <v>81.441282630781501</v>
      </c>
      <c r="M218" s="112">
        <v>65.038483213440941</v>
      </c>
      <c r="N218" s="126">
        <v>54.509468216005196</v>
      </c>
      <c r="O218" s="147">
        <v>77.011071340806637</v>
      </c>
      <c r="P218" s="147">
        <v>69.139453845092888</v>
      </c>
      <c r="Q218" s="147">
        <v>43.335354084188012</v>
      </c>
      <c r="R218" s="112">
        <v>31.636685685553225</v>
      </c>
      <c r="S218" s="112">
        <v>78.47</v>
      </c>
      <c r="T218" s="112">
        <v>69.094499999999996</v>
      </c>
      <c r="U218" s="146">
        <v>44.232399999999998</v>
      </c>
      <c r="V218" s="113">
        <v>35.075899999999997</v>
      </c>
      <c r="W218" s="113">
        <v>76.6982</v>
      </c>
      <c r="X218" s="126">
        <v>66.482200000000006</v>
      </c>
      <c r="Y218" s="126">
        <v>44.543399999999998</v>
      </c>
      <c r="Z218" s="104">
        <v>34.971400000000003</v>
      </c>
      <c r="AA218" s="104">
        <v>83.194533804772604</v>
      </c>
      <c r="AB218" s="104">
        <v>74.3902747954711</v>
      </c>
      <c r="AC218" s="104">
        <v>48.310219199836865</v>
      </c>
      <c r="AD218" s="104">
        <v>34.846810119445301</v>
      </c>
    </row>
    <row r="219" spans="1:30" ht="14.7" customHeight="1">
      <c r="A219" s="110" t="s">
        <v>117</v>
      </c>
      <c r="B219" s="190"/>
      <c r="C219">
        <v>89.306001440682593</v>
      </c>
      <c r="D219">
        <v>81.793769060285697</v>
      </c>
      <c r="E219">
        <v>61.909139348697572</v>
      </c>
      <c r="F219">
        <v>51.426795736080358</v>
      </c>
      <c r="G219">
        <v>89.387760095922488</v>
      </c>
      <c r="H219">
        <v>83.893640842375007</v>
      </c>
      <c r="I219" s="147">
        <v>61.354030427512072</v>
      </c>
      <c r="J219" s="112">
        <v>51.304723366716395</v>
      </c>
      <c r="K219" s="112">
        <v>90.257832962251769</v>
      </c>
      <c r="L219" s="126">
        <v>86.529314782526185</v>
      </c>
      <c r="M219" s="112">
        <v>67.00431349757045</v>
      </c>
      <c r="N219" s="126">
        <v>56.003115523451427</v>
      </c>
      <c r="O219" s="147">
        <v>85.294971636467693</v>
      </c>
      <c r="P219" s="147">
        <v>79.184985020552801</v>
      </c>
      <c r="Q219" s="147">
        <v>54.121281493835873</v>
      </c>
      <c r="R219" s="112">
        <v>39.535680957782368</v>
      </c>
      <c r="S219" s="112">
        <v>84.39609999999999</v>
      </c>
      <c r="T219" s="112">
        <v>77.857799999999997</v>
      </c>
      <c r="U219" s="146">
        <v>50.778800000000004</v>
      </c>
      <c r="V219" s="113">
        <v>37.212800000000001</v>
      </c>
      <c r="W219" s="113">
        <v>83.201999999999998</v>
      </c>
      <c r="X219" s="126">
        <v>72.346900000000005</v>
      </c>
      <c r="Y219" s="126">
        <v>51.415500000000002</v>
      </c>
      <c r="Z219" s="104">
        <v>39.613599999999998</v>
      </c>
      <c r="AA219" s="104">
        <v>87.086289157111082</v>
      </c>
      <c r="AB219" s="104">
        <v>79.844265680758809</v>
      </c>
      <c r="AC219" s="104">
        <v>51.810783683076622</v>
      </c>
      <c r="AD219" s="104">
        <v>41.024052492268005</v>
      </c>
    </row>
    <row r="220" spans="1:30" ht="14.7" customHeight="1">
      <c r="A220" s="110" t="s">
        <v>279</v>
      </c>
      <c r="B220" s="190"/>
      <c r="C220">
        <v>85.068008308960955</v>
      </c>
      <c r="D220">
        <v>75.995849474290907</v>
      </c>
      <c r="E220">
        <v>53.283624124487226</v>
      </c>
      <c r="F220">
        <v>40.390026807760009</v>
      </c>
      <c r="G220">
        <v>87.164367289518808</v>
      </c>
      <c r="H220">
        <v>74.695799593369486</v>
      </c>
      <c r="I220" s="147">
        <v>57.892525126016317</v>
      </c>
      <c r="J220" s="112">
        <v>45.60111895487308</v>
      </c>
      <c r="K220" s="112">
        <v>82.377688876590824</v>
      </c>
      <c r="L220" s="126">
        <v>76.560914577302398</v>
      </c>
      <c r="M220" s="112">
        <v>58.33374221088269</v>
      </c>
      <c r="N220" s="126">
        <v>51.076394681320849</v>
      </c>
      <c r="O220" s="147">
        <v>75.502083419315213</v>
      </c>
      <c r="P220" s="147">
        <v>65.508716935505561</v>
      </c>
      <c r="Q220" s="147">
        <v>39.799375367542986</v>
      </c>
      <c r="R220" s="112">
        <v>29.885731164475537</v>
      </c>
      <c r="S220" s="112">
        <v>76.408299999999997</v>
      </c>
      <c r="T220" s="112">
        <v>68.384999999999991</v>
      </c>
      <c r="U220" s="147">
        <v>43.3416</v>
      </c>
      <c r="V220" s="149">
        <v>30.819400000000002</v>
      </c>
      <c r="W220" s="149">
        <v>76.729199999999992</v>
      </c>
      <c r="X220" s="126">
        <v>69.172199999999989</v>
      </c>
      <c r="Y220" s="126">
        <v>45.4968</v>
      </c>
      <c r="Z220" s="104">
        <v>36.258699999999997</v>
      </c>
      <c r="AA220" s="104">
        <v>77.963926515331195</v>
      </c>
      <c r="AB220" s="104">
        <v>70.145968134467836</v>
      </c>
      <c r="AC220" s="104">
        <v>43.890746578245533</v>
      </c>
      <c r="AD220" s="104">
        <v>33.907009179864559</v>
      </c>
    </row>
    <row r="221" spans="1:30" ht="14.7" customHeight="1">
      <c r="A221" s="110" t="s">
        <v>323</v>
      </c>
      <c r="B221" s="190"/>
      <c r="C221">
        <v>85.532189718020746</v>
      </c>
      <c r="D221">
        <v>76.431293109687843</v>
      </c>
      <c r="E221">
        <v>52.676678823550262</v>
      </c>
      <c r="F221">
        <v>42.507805103713366</v>
      </c>
      <c r="G221">
        <v>85.393767923049452</v>
      </c>
      <c r="H221">
        <v>78.332707097105256</v>
      </c>
      <c r="I221" s="147">
        <v>58.240675381795668</v>
      </c>
      <c r="J221" s="112">
        <v>46.517297801954967</v>
      </c>
      <c r="K221" s="112">
        <v>86.86940230044867</v>
      </c>
      <c r="L221" s="126">
        <v>81.612058038624937</v>
      </c>
      <c r="M221" s="112">
        <v>61.252171588934935</v>
      </c>
      <c r="N221" s="126">
        <v>49.311108064281932</v>
      </c>
      <c r="O221" s="147">
        <v>76.324274264282408</v>
      </c>
      <c r="P221" s="147">
        <v>66.894002941156714</v>
      </c>
      <c r="Q221" s="147">
        <v>39.064909881531094</v>
      </c>
      <c r="R221" s="112">
        <v>27.377964664399002</v>
      </c>
      <c r="S221" s="112">
        <v>77.817400000000006</v>
      </c>
      <c r="T221" s="112">
        <v>68.350399999999993</v>
      </c>
      <c r="U221" s="146">
        <v>43.339500000000001</v>
      </c>
      <c r="V221" s="113">
        <v>31.652400000000004</v>
      </c>
      <c r="W221" s="113">
        <v>77.977900000000005</v>
      </c>
      <c r="X221" s="126">
        <v>68.505300000000005</v>
      </c>
      <c r="Y221" s="126">
        <v>41.367599999999996</v>
      </c>
      <c r="Z221" s="104">
        <v>31.000399999999999</v>
      </c>
      <c r="AA221" s="104">
        <v>78.998190048995681</v>
      </c>
      <c r="AB221" s="104">
        <v>69.472873343199396</v>
      </c>
      <c r="AC221" s="104">
        <v>42.184591665093443</v>
      </c>
      <c r="AD221" s="104">
        <v>30.916250112053696</v>
      </c>
    </row>
    <row r="222" spans="1:30" ht="14.7" customHeight="1">
      <c r="A222" s="110" t="s">
        <v>346</v>
      </c>
      <c r="B222" s="190"/>
      <c r="C222">
        <v>83.930977003293222</v>
      </c>
      <c r="D222">
        <v>75.453223022414122</v>
      </c>
      <c r="E222">
        <v>55.345341690899645</v>
      </c>
      <c r="F222">
        <v>43.660197238392563</v>
      </c>
      <c r="G222">
        <v>85.776954710759938</v>
      </c>
      <c r="H222">
        <v>74.267139602858435</v>
      </c>
      <c r="I222" s="147">
        <v>52.907205342375988</v>
      </c>
      <c r="J222" s="112">
        <v>40.936996161727542</v>
      </c>
      <c r="K222" s="112">
        <v>86.430811462132027</v>
      </c>
      <c r="L222" s="126">
        <v>80.662181957817197</v>
      </c>
      <c r="M222" s="112">
        <v>65.286850023669672</v>
      </c>
      <c r="N222" s="126">
        <v>54.638544792570357</v>
      </c>
      <c r="O222" s="147">
        <v>68.258257837011584</v>
      </c>
      <c r="P222" s="147">
        <v>56.6931353083285</v>
      </c>
      <c r="Q222" s="147">
        <v>33.246028594824978</v>
      </c>
      <c r="R222" s="112">
        <v>25.999820478627573</v>
      </c>
      <c r="S222" s="112">
        <v>71.816299999999998</v>
      </c>
      <c r="T222" s="112">
        <v>62.678199999999997</v>
      </c>
      <c r="U222" s="146">
        <v>34.431100000000001</v>
      </c>
      <c r="V222" s="113">
        <v>26.852500000000003</v>
      </c>
      <c r="W222" s="113">
        <v>76.619500000000002</v>
      </c>
      <c r="X222" s="126">
        <v>65.990400000000008</v>
      </c>
      <c r="Y222" s="126">
        <v>37.458100000000002</v>
      </c>
      <c r="Z222" s="104">
        <v>27.0441</v>
      </c>
      <c r="AA222" s="104">
        <v>73.029566226241215</v>
      </c>
      <c r="AB222" s="104">
        <v>65.256609594203368</v>
      </c>
      <c r="AC222" s="104">
        <v>36.912819639842617</v>
      </c>
      <c r="AD222" s="104">
        <v>26.134945886384191</v>
      </c>
    </row>
    <row r="223" spans="1:30" ht="14.7" customHeight="1">
      <c r="A223" s="110" t="s">
        <v>347</v>
      </c>
      <c r="B223" s="190"/>
      <c r="C223">
        <v>87.378975114317754</v>
      </c>
      <c r="D223">
        <v>78.688706917836541</v>
      </c>
      <c r="E223">
        <v>55.199447517567236</v>
      </c>
      <c r="F223">
        <v>42.003408893310365</v>
      </c>
      <c r="G223">
        <v>87.717395965424942</v>
      </c>
      <c r="H223">
        <v>79.082388374121564</v>
      </c>
      <c r="I223" s="147">
        <v>56.33136386827077</v>
      </c>
      <c r="J223" s="112">
        <v>44.786334984611841</v>
      </c>
      <c r="K223" s="112">
        <v>81.929891676398341</v>
      </c>
      <c r="L223" s="126">
        <v>77.128505599555126</v>
      </c>
      <c r="M223" s="112">
        <v>53.303308214725256</v>
      </c>
      <c r="N223" s="126">
        <v>44.194166976730877</v>
      </c>
      <c r="O223" s="147">
        <v>75.765252674243328</v>
      </c>
      <c r="P223" s="147">
        <v>66.547068796839397</v>
      </c>
      <c r="Q223" s="147">
        <v>37.055649269743647</v>
      </c>
      <c r="R223" s="112">
        <v>23.283934044382811</v>
      </c>
      <c r="S223" s="112">
        <v>69.417900000000003</v>
      </c>
      <c r="T223" s="112">
        <v>59.372899999999994</v>
      </c>
      <c r="U223" s="146">
        <v>35.892699999999998</v>
      </c>
      <c r="V223" s="113">
        <v>27.9696</v>
      </c>
      <c r="W223" s="113">
        <v>72.731700000000004</v>
      </c>
      <c r="X223" s="126">
        <v>61.456000000000003</v>
      </c>
      <c r="Y223" s="126">
        <v>37.779800000000002</v>
      </c>
      <c r="Z223" s="104">
        <v>25.195399999999999</v>
      </c>
      <c r="AA223" s="104">
        <v>75.89492254124535</v>
      </c>
      <c r="AB223" s="104">
        <v>61.144517881791913</v>
      </c>
      <c r="AC223" s="104">
        <v>36.446323585231866</v>
      </c>
      <c r="AD223" s="104">
        <v>25.419626332267097</v>
      </c>
    </row>
    <row r="224" spans="1:30" ht="14.7" customHeight="1">
      <c r="A224" s="110" t="s">
        <v>239</v>
      </c>
      <c r="B224" s="190"/>
      <c r="C224">
        <v>83.278186813539307</v>
      </c>
      <c r="D224">
        <v>73.001379798800997</v>
      </c>
      <c r="E224">
        <v>51.221037336920148</v>
      </c>
      <c r="F224">
        <v>41.003668838016587</v>
      </c>
      <c r="G224">
        <v>80.832359524671645</v>
      </c>
      <c r="H224">
        <v>72.606364777004671</v>
      </c>
      <c r="I224" s="147">
        <v>49.986208612876801</v>
      </c>
      <c r="J224" s="112">
        <v>42.994493814614728</v>
      </c>
      <c r="K224" s="112">
        <v>83.299992876244971</v>
      </c>
      <c r="L224" s="126">
        <v>76.554454420782974</v>
      </c>
      <c r="M224" s="112">
        <v>59.074741596023969</v>
      </c>
      <c r="N224" s="126">
        <v>48.193013289916024</v>
      </c>
      <c r="O224" s="147">
        <v>75.759341103912746</v>
      </c>
      <c r="P224" s="147">
        <v>66.839305582159753</v>
      </c>
      <c r="Q224" s="147">
        <v>36.820046532558926</v>
      </c>
      <c r="R224" s="112">
        <v>27.405048852779558</v>
      </c>
      <c r="S224" s="112">
        <v>70.705700000000007</v>
      </c>
      <c r="T224" s="112">
        <v>62.595299999999995</v>
      </c>
      <c r="U224" s="146">
        <v>36.436700000000002</v>
      </c>
      <c r="V224" s="113">
        <v>27.632400000000001</v>
      </c>
      <c r="W224" s="113">
        <v>70.087299999999999</v>
      </c>
      <c r="X224" s="126">
        <v>62.822800000000001</v>
      </c>
      <c r="Y224" s="126">
        <v>36.375999999999998</v>
      </c>
      <c r="Z224" s="104">
        <v>28.007700000000003</v>
      </c>
      <c r="AA224" s="104">
        <v>70.603339410079585</v>
      </c>
      <c r="AB224" s="104">
        <v>62.082056760872348</v>
      </c>
      <c r="AC224" s="104">
        <v>32.72977716376996</v>
      </c>
      <c r="AD224" s="104">
        <v>24.738167691597265</v>
      </c>
    </row>
    <row r="225" spans="1:30" ht="14.7" customHeight="1">
      <c r="A225" s="110" t="s">
        <v>118</v>
      </c>
      <c r="B225" s="190"/>
      <c r="C225">
        <v>90.734955013861324</v>
      </c>
      <c r="D225">
        <v>84.549044515324525</v>
      </c>
      <c r="E225">
        <v>57.218758705302122</v>
      </c>
      <c r="F225">
        <v>48.115028138546776</v>
      </c>
      <c r="G225">
        <v>91.380626410812184</v>
      </c>
      <c r="H225">
        <v>86.646627763554775</v>
      </c>
      <c r="I225" s="147">
        <v>65.122358233397961</v>
      </c>
      <c r="J225" s="112">
        <v>52.880108624674804</v>
      </c>
      <c r="K225" s="112">
        <v>91.596174299516136</v>
      </c>
      <c r="L225" s="126">
        <v>85.481194411454538</v>
      </c>
      <c r="M225" s="112">
        <v>66.075133634308784</v>
      </c>
      <c r="N225" s="126">
        <v>51.036106971970575</v>
      </c>
      <c r="O225" s="147">
        <v>86.683186282114633</v>
      </c>
      <c r="P225" s="147">
        <v>80.544803015319587</v>
      </c>
      <c r="Q225" s="147">
        <v>51.829577260007738</v>
      </c>
      <c r="R225" s="112">
        <v>37.19445455355546</v>
      </c>
      <c r="S225" s="112">
        <v>80.717399999999998</v>
      </c>
      <c r="T225" s="112">
        <v>74.008499999999998</v>
      </c>
      <c r="U225" s="146">
        <v>48.1965</v>
      </c>
      <c r="V225" s="113">
        <v>34.778300000000002</v>
      </c>
      <c r="W225" s="113">
        <v>87.048699999999997</v>
      </c>
      <c r="X225" s="126">
        <v>79.986999999999995</v>
      </c>
      <c r="Y225" s="126">
        <v>54.899900000000002</v>
      </c>
      <c r="Z225" s="104">
        <v>43.926900000000003</v>
      </c>
      <c r="AA225" s="104">
        <v>86.735237422815842</v>
      </c>
      <c r="AB225" s="104">
        <v>79.992983880998764</v>
      </c>
      <c r="AC225" s="104">
        <v>50.512244169983745</v>
      </c>
      <c r="AD225" s="104">
        <v>36.832473883400247</v>
      </c>
    </row>
    <row r="226" spans="1:30" ht="14.7" customHeight="1">
      <c r="A226" s="110" t="s">
        <v>324</v>
      </c>
      <c r="B226" s="190"/>
      <c r="C226">
        <v>90.323496897089825</v>
      </c>
      <c r="D226">
        <v>81.087373160138071</v>
      </c>
      <c r="E226">
        <v>56.486076170472963</v>
      </c>
      <c r="F226">
        <v>45.73013952106114</v>
      </c>
      <c r="G226">
        <v>89.554168352112072</v>
      </c>
      <c r="H226">
        <v>82.241440524394221</v>
      </c>
      <c r="I226" s="147">
        <v>60.328895656795957</v>
      </c>
      <c r="J226" s="112">
        <v>50.06573398157478</v>
      </c>
      <c r="K226" s="112">
        <v>88.989116933790939</v>
      </c>
      <c r="L226" s="126">
        <v>84.296194911144639</v>
      </c>
      <c r="M226" s="112">
        <v>63.478426964582383</v>
      </c>
      <c r="N226" s="126">
        <v>51.599452360005614</v>
      </c>
      <c r="O226" s="147">
        <v>81.872399114859562</v>
      </c>
      <c r="P226" s="147">
        <v>71.311400885608464</v>
      </c>
      <c r="Q226" s="147">
        <v>44.894809165098863</v>
      </c>
      <c r="R226" s="112">
        <v>32.127144354132895</v>
      </c>
      <c r="S226" s="112">
        <v>81.041399999999996</v>
      </c>
      <c r="T226" s="112">
        <v>71.687599999999989</v>
      </c>
      <c r="U226" s="146">
        <v>43.7789</v>
      </c>
      <c r="V226" s="113">
        <v>31.344699999999996</v>
      </c>
      <c r="W226" s="113">
        <v>85.179900000000004</v>
      </c>
      <c r="X226" s="126">
        <v>76.1387</v>
      </c>
      <c r="Y226" s="126">
        <v>48.284799999999997</v>
      </c>
      <c r="Z226" s="104">
        <v>36.661100000000005</v>
      </c>
      <c r="AA226" s="104">
        <v>85.799793992905265</v>
      </c>
      <c r="AB226" s="104">
        <v>76.798465457637462</v>
      </c>
      <c r="AC226" s="104">
        <v>47.602835169706047</v>
      </c>
      <c r="AD226" s="104">
        <v>34.47703973379236</v>
      </c>
    </row>
    <row r="227" spans="1:30" ht="14.7" customHeight="1">
      <c r="A227" s="110" t="s">
        <v>119</v>
      </c>
      <c r="B227" s="190"/>
      <c r="C227">
        <v>85.690383998042321</v>
      </c>
      <c r="D227">
        <v>78.95070226945316</v>
      </c>
      <c r="E227">
        <v>56.745435487130145</v>
      </c>
      <c r="F227">
        <v>47.657667551908851</v>
      </c>
      <c r="G227">
        <v>80.132049898142213</v>
      </c>
      <c r="H227">
        <v>75.356397881978296</v>
      </c>
      <c r="I227" s="147">
        <v>52.198249793258377</v>
      </c>
      <c r="J227" s="112">
        <v>40.114253035296244</v>
      </c>
      <c r="K227" s="112">
        <v>84.237049785076024</v>
      </c>
      <c r="L227" s="126">
        <v>79.60101940764477</v>
      </c>
      <c r="M227" s="112">
        <v>60.526025573416796</v>
      </c>
      <c r="N227" s="126">
        <v>52.297176176659896</v>
      </c>
      <c r="O227" s="147">
        <v>70.373997747313737</v>
      </c>
      <c r="P227" s="147">
        <v>63.310130968159207</v>
      </c>
      <c r="Q227" s="147">
        <v>35.389258576082639</v>
      </c>
      <c r="R227" s="112">
        <v>25.255696136107126</v>
      </c>
      <c r="S227" s="112">
        <v>74.820799999999991</v>
      </c>
      <c r="T227" s="112">
        <v>63.810100000000006</v>
      </c>
      <c r="U227" s="147">
        <v>42.371400000000001</v>
      </c>
      <c r="V227" s="149">
        <v>30.908300000000001</v>
      </c>
      <c r="W227" s="149">
        <v>65.402699999999996</v>
      </c>
      <c r="X227" s="126">
        <v>54.591199999999994</v>
      </c>
      <c r="Y227" s="126">
        <v>27.933599999999998</v>
      </c>
      <c r="Z227" s="104">
        <v>20.7895</v>
      </c>
      <c r="AA227" s="104">
        <v>75.166650807951314</v>
      </c>
      <c r="AB227" s="104">
        <v>68.153294566503163</v>
      </c>
      <c r="AC227" s="104">
        <v>39.607449269401435</v>
      </c>
      <c r="AD227" s="104">
        <v>27.430947837014898</v>
      </c>
    </row>
    <row r="228" spans="1:30" ht="14.7" customHeight="1">
      <c r="A228" s="110" t="s">
        <v>280</v>
      </c>
      <c r="B228" s="190"/>
      <c r="C228">
        <v>82.604966051150839</v>
      </c>
      <c r="D228">
        <v>71.645371086077375</v>
      </c>
      <c r="E228">
        <v>49.097791908239195</v>
      </c>
      <c r="F228">
        <v>39.048214525954933</v>
      </c>
      <c r="G228">
        <v>85.173579325399615</v>
      </c>
      <c r="H228">
        <v>76.256377658410088</v>
      </c>
      <c r="I228" s="147">
        <v>50.921287487160484</v>
      </c>
      <c r="J228" s="112">
        <v>41.834492397326009</v>
      </c>
      <c r="K228" s="112">
        <v>84.122586013051276</v>
      </c>
      <c r="L228" s="126">
        <v>77.672608030900463</v>
      </c>
      <c r="M228" s="112">
        <v>59.500885169389242</v>
      </c>
      <c r="N228" s="126">
        <v>48.773638046189753</v>
      </c>
      <c r="O228" s="147">
        <v>73.971319529253137</v>
      </c>
      <c r="P228" s="147">
        <v>64.590203407524243</v>
      </c>
      <c r="Q228" s="147">
        <v>37.790768669130124</v>
      </c>
      <c r="R228" s="112">
        <v>25.45248066412265</v>
      </c>
      <c r="S228" s="112">
        <v>77.777500000000003</v>
      </c>
      <c r="T228" s="112">
        <v>68.751499999999993</v>
      </c>
      <c r="U228" s="146">
        <v>42.187000000000005</v>
      </c>
      <c r="V228" s="113">
        <v>31.970500000000001</v>
      </c>
      <c r="W228" s="113">
        <v>74.759299999999996</v>
      </c>
      <c r="X228" s="126">
        <v>64.608000000000004</v>
      </c>
      <c r="Y228" s="126">
        <v>42.901899999999998</v>
      </c>
      <c r="Z228" s="104">
        <v>32.833600000000004</v>
      </c>
      <c r="AA228" s="104">
        <v>76.276021733669822</v>
      </c>
      <c r="AB228" s="104">
        <v>66.852983099298086</v>
      </c>
      <c r="AC228" s="104">
        <v>46.169088226084213</v>
      </c>
      <c r="AD228" s="104">
        <v>34.35673411126163</v>
      </c>
    </row>
    <row r="229" spans="1:30" ht="14.7" customHeight="1">
      <c r="A229" s="110" t="s">
        <v>281</v>
      </c>
      <c r="B229" s="190"/>
      <c r="C229">
        <v>88.453385328899273</v>
      </c>
      <c r="D229">
        <v>83.22543048861489</v>
      </c>
      <c r="E229">
        <v>55.644621439173548</v>
      </c>
      <c r="F229">
        <v>44.468194138657587</v>
      </c>
      <c r="G229">
        <v>87.985274768230738</v>
      </c>
      <c r="H229">
        <v>80.089210088539787</v>
      </c>
      <c r="I229" s="147">
        <v>56.966085135511193</v>
      </c>
      <c r="J229" s="112">
        <v>48.314615870539754</v>
      </c>
      <c r="K229" s="112">
        <v>84.818072455479523</v>
      </c>
      <c r="L229" s="126">
        <v>78.145636070981624</v>
      </c>
      <c r="M229" s="112">
        <v>59.03634833439115</v>
      </c>
      <c r="N229" s="126">
        <v>49.016034332851191</v>
      </c>
      <c r="O229" s="147">
        <v>80.060322090596941</v>
      </c>
      <c r="P229" s="147">
        <v>68.874587901716552</v>
      </c>
      <c r="Q229" s="147">
        <v>41.242806213178952</v>
      </c>
      <c r="R229" s="112">
        <v>31.117936690322249</v>
      </c>
      <c r="S229" s="112">
        <v>78.931399999999996</v>
      </c>
      <c r="T229" s="112">
        <v>69.23660000000001</v>
      </c>
      <c r="U229" s="147">
        <v>43.0077</v>
      </c>
      <c r="V229" s="149">
        <v>32.197900000000004</v>
      </c>
      <c r="W229" s="149">
        <v>76.512999999999991</v>
      </c>
      <c r="X229" s="126">
        <v>69.411299999999997</v>
      </c>
      <c r="Y229" s="126">
        <v>46.974800000000002</v>
      </c>
      <c r="Z229" s="104">
        <v>36.964200000000005</v>
      </c>
      <c r="AA229" s="104">
        <v>80.856298196205856</v>
      </c>
      <c r="AB229" s="104">
        <v>75.749245622416055</v>
      </c>
      <c r="AC229" s="104">
        <v>52.713528079571667</v>
      </c>
      <c r="AD229" s="104">
        <v>40.330868523045261</v>
      </c>
    </row>
    <row r="230" spans="1:30" ht="14.7" customHeight="1">
      <c r="A230" s="110" t="s">
        <v>282</v>
      </c>
      <c r="B230" s="190"/>
      <c r="C230">
        <v>85.534693090634519</v>
      </c>
      <c r="D230">
        <v>76.61933015455638</v>
      </c>
      <c r="E230">
        <v>52.507469080195627</v>
      </c>
      <c r="F230">
        <v>41.915734237780292</v>
      </c>
      <c r="G230">
        <v>88.178094741209662</v>
      </c>
      <c r="H230">
        <v>82.017862306704941</v>
      </c>
      <c r="I230" s="147">
        <v>55.340280479407177</v>
      </c>
      <c r="J230" s="112">
        <v>41.144677194873076</v>
      </c>
      <c r="K230" s="112">
        <v>86.565399506867209</v>
      </c>
      <c r="L230" s="126">
        <v>79.696286490853723</v>
      </c>
      <c r="M230" s="112">
        <v>63.419990610952958</v>
      </c>
      <c r="N230" s="126">
        <v>53.385799167074666</v>
      </c>
      <c r="O230" s="147">
        <v>74.316577476593466</v>
      </c>
      <c r="P230" s="147">
        <v>63.11295035492882</v>
      </c>
      <c r="Q230" s="147">
        <v>39.574473555599162</v>
      </c>
      <c r="R230" s="112">
        <v>24.123824128489051</v>
      </c>
      <c r="S230" s="112">
        <v>87.733899999999991</v>
      </c>
      <c r="T230" s="112">
        <v>76.789000000000001</v>
      </c>
      <c r="U230" s="146">
        <v>47.2089</v>
      </c>
      <c r="V230" s="113">
        <v>34.774000000000001</v>
      </c>
      <c r="W230" s="113">
        <v>81.432000000000002</v>
      </c>
      <c r="X230" s="126">
        <v>68.318899999999999</v>
      </c>
      <c r="Y230" s="126">
        <v>42.414400000000001</v>
      </c>
      <c r="Z230" s="104">
        <v>28.569600000000001</v>
      </c>
      <c r="AA230" s="104" t="s">
        <v>911</v>
      </c>
      <c r="AB230" s="104" t="s">
        <v>911</v>
      </c>
      <c r="AC230" s="104" t="s">
        <v>911</v>
      </c>
      <c r="AD230" s="104" t="s">
        <v>911</v>
      </c>
    </row>
    <row r="231" spans="1:30" ht="14.7" customHeight="1">
      <c r="A231" s="110" t="s">
        <v>283</v>
      </c>
      <c r="B231" s="190"/>
      <c r="C231">
        <v>88.561051426740107</v>
      </c>
      <c r="D231">
        <v>80.225070959842355</v>
      </c>
      <c r="E231">
        <v>57.325651860144141</v>
      </c>
      <c r="F231">
        <v>45.897854681720638</v>
      </c>
      <c r="G231">
        <v>88.500330502872842</v>
      </c>
      <c r="H231">
        <v>82.413885926893542</v>
      </c>
      <c r="I231" s="147">
        <v>63.855356319344594</v>
      </c>
      <c r="J231" s="112">
        <v>48.547949893472506</v>
      </c>
      <c r="K231" s="112">
        <v>87.223705964644537</v>
      </c>
      <c r="L231" s="126">
        <v>83.58627023760296</v>
      </c>
      <c r="M231" s="112">
        <v>65.209811062692822</v>
      </c>
      <c r="N231" s="126">
        <v>54.78466236203441</v>
      </c>
      <c r="O231" s="147">
        <v>82.574432916310869</v>
      </c>
      <c r="P231" s="147">
        <v>73.211121944925395</v>
      </c>
      <c r="Q231" s="147">
        <v>47.684275669773697</v>
      </c>
      <c r="R231" s="112">
        <v>36.747409280433409</v>
      </c>
      <c r="S231" s="112">
        <v>79.840999999999994</v>
      </c>
      <c r="T231" s="112">
        <v>70.674000000000007</v>
      </c>
      <c r="U231" s="147">
        <v>45.846299999999999</v>
      </c>
      <c r="V231" s="113">
        <v>34.041499999999999</v>
      </c>
      <c r="W231" s="113">
        <v>85.220300000000009</v>
      </c>
      <c r="X231" s="126">
        <v>77.527199999999993</v>
      </c>
      <c r="Y231" s="126">
        <v>50.834100000000007</v>
      </c>
      <c r="Z231" s="104">
        <v>34.755099999999999</v>
      </c>
      <c r="AA231" s="104">
        <v>80.711477791899753</v>
      </c>
      <c r="AB231" s="104">
        <v>72.363090739626571</v>
      </c>
      <c r="AC231" s="104">
        <v>47.347553995663098</v>
      </c>
      <c r="AD231" s="104">
        <v>36.317927916539446</v>
      </c>
    </row>
    <row r="232" spans="1:30" ht="14.7" customHeight="1">
      <c r="A232" s="110" t="s">
        <v>120</v>
      </c>
      <c r="B232" s="190"/>
      <c r="C232">
        <v>84.814103377471923</v>
      </c>
      <c r="D232">
        <v>78.602230852546313</v>
      </c>
      <c r="E232">
        <v>55.386148845036885</v>
      </c>
      <c r="F232">
        <v>43.740576167476412</v>
      </c>
      <c r="G232">
        <v>84.678828803851147</v>
      </c>
      <c r="H232">
        <v>75.826134678385586</v>
      </c>
      <c r="I232" s="147">
        <v>57.77203374919354</v>
      </c>
      <c r="J232" s="112">
        <v>47.897168854890189</v>
      </c>
      <c r="K232" s="112">
        <v>80.933582866461677</v>
      </c>
      <c r="L232" s="126">
        <v>76.67376854623447</v>
      </c>
      <c r="M232" s="112">
        <v>55.287929910119374</v>
      </c>
      <c r="N232" s="126">
        <v>45.690873814721954</v>
      </c>
      <c r="O232" s="147">
        <v>76.338286202985216</v>
      </c>
      <c r="P232" s="147">
        <v>65.746709840612965</v>
      </c>
      <c r="Q232" s="147">
        <v>37.160999841317341</v>
      </c>
      <c r="R232" s="112">
        <v>30.437200935718916</v>
      </c>
      <c r="S232" s="112">
        <v>73.878299999999996</v>
      </c>
      <c r="T232" s="112">
        <v>61.073699999999995</v>
      </c>
      <c r="U232" s="146">
        <v>38.868000000000002</v>
      </c>
      <c r="V232" s="113">
        <v>28.100300000000001</v>
      </c>
      <c r="W232" s="113">
        <v>78.200199999999995</v>
      </c>
      <c r="X232" s="126">
        <v>68.737200000000001</v>
      </c>
      <c r="Y232" s="126">
        <v>42.119399999999999</v>
      </c>
      <c r="Z232" s="104">
        <v>31.164300000000001</v>
      </c>
      <c r="AA232" s="104">
        <v>78.614964147202414</v>
      </c>
      <c r="AB232" s="104">
        <v>67.885438714669718</v>
      </c>
      <c r="AC232" s="104">
        <v>43.064093216538573</v>
      </c>
      <c r="AD232" s="104">
        <v>32.72392357337592</v>
      </c>
    </row>
    <row r="233" spans="1:30" ht="14.7" customHeight="1">
      <c r="A233" s="110" t="s">
        <v>121</v>
      </c>
      <c r="B233" s="189"/>
      <c r="C233">
        <v>89.096176780437474</v>
      </c>
      <c r="D233">
        <v>79.788562708203528</v>
      </c>
      <c r="E233">
        <v>52.72013188586363</v>
      </c>
      <c r="F233">
        <v>43.823742499711031</v>
      </c>
      <c r="G233">
        <v>87.619131857683044</v>
      </c>
      <c r="H233">
        <v>79.878577980330618</v>
      </c>
      <c r="I233" s="146">
        <v>57.214779593532384</v>
      </c>
      <c r="J233" s="144">
        <v>42.685475014293409</v>
      </c>
      <c r="K233" s="144">
        <v>87.926662332575546</v>
      </c>
      <c r="L233" s="126">
        <v>81.874762078238902</v>
      </c>
      <c r="M233" s="144">
        <v>62.317490984556059</v>
      </c>
      <c r="N233" s="126">
        <v>52.342582776306465</v>
      </c>
      <c r="O233" s="146">
        <v>82.250494906322132</v>
      </c>
      <c r="P233" s="146">
        <v>71.95199202471133</v>
      </c>
      <c r="Q233" s="146">
        <v>46.924709322811267</v>
      </c>
      <c r="R233" s="144">
        <v>33.103897773975561</v>
      </c>
      <c r="S233" s="144">
        <v>80.429099999999991</v>
      </c>
      <c r="T233" s="144">
        <v>70.636200000000002</v>
      </c>
      <c r="U233" s="146">
        <v>48.048400000000001</v>
      </c>
      <c r="V233" s="113">
        <v>36.672199999999997</v>
      </c>
      <c r="W233" s="113">
        <v>82.629599999999996</v>
      </c>
      <c r="X233" s="126">
        <v>74.232100000000003</v>
      </c>
      <c r="Y233" s="126">
        <v>47.604400000000005</v>
      </c>
      <c r="Z233" s="104">
        <v>36.289700000000003</v>
      </c>
      <c r="AA233" s="104" t="s">
        <v>911</v>
      </c>
      <c r="AB233" s="104" t="s">
        <v>911</v>
      </c>
      <c r="AC233" s="104" t="s">
        <v>911</v>
      </c>
      <c r="AD233" s="104" t="s">
        <v>911</v>
      </c>
    </row>
    <row r="234" spans="1:30" ht="14.7" customHeight="1">
      <c r="A234" s="110" t="s">
        <v>284</v>
      </c>
      <c r="B234" s="190"/>
      <c r="C234">
        <v>86.735074682581157</v>
      </c>
      <c r="D234">
        <v>79.192863677770958</v>
      </c>
      <c r="E234">
        <v>53.590216751689233</v>
      </c>
      <c r="F234">
        <v>43.064697410782074</v>
      </c>
      <c r="G234">
        <v>87.914245230712368</v>
      </c>
      <c r="H234">
        <v>81.358792147447318</v>
      </c>
      <c r="I234" s="147">
        <v>57.630928345666774</v>
      </c>
      <c r="J234" s="112">
        <v>44.942306320070848</v>
      </c>
      <c r="K234" s="112">
        <v>85.587359023018465</v>
      </c>
      <c r="L234" s="126">
        <v>80.316492716370163</v>
      </c>
      <c r="M234" s="112">
        <v>62.81349848995491</v>
      </c>
      <c r="N234" s="126">
        <v>53.581134583016663</v>
      </c>
      <c r="O234" s="147">
        <v>78.238245922346536</v>
      </c>
      <c r="P234" s="147">
        <v>70.886105251577916</v>
      </c>
      <c r="Q234" s="147">
        <v>46.25341681892472</v>
      </c>
      <c r="R234" s="112">
        <v>33.122375616683271</v>
      </c>
      <c r="S234" s="112">
        <v>83.019099999999995</v>
      </c>
      <c r="T234" s="112">
        <v>74.389499999999998</v>
      </c>
      <c r="U234" s="147">
        <v>46.209699999999998</v>
      </c>
      <c r="V234" s="149">
        <v>30.468400000000003</v>
      </c>
      <c r="W234" s="149">
        <v>84.219300000000004</v>
      </c>
      <c r="X234" s="126">
        <v>74.907499999999999</v>
      </c>
      <c r="Y234" s="126">
        <v>51.997800000000005</v>
      </c>
      <c r="Z234" s="104">
        <v>38.5869</v>
      </c>
      <c r="AA234" s="104">
        <v>77.286790242338355</v>
      </c>
      <c r="AB234" s="104">
        <v>71.502069789994337</v>
      </c>
      <c r="AC234" s="104">
        <v>45.346414208058164</v>
      </c>
      <c r="AD234" s="104">
        <v>29.677456941661344</v>
      </c>
    </row>
    <row r="235" spans="1:30" ht="14.7" customHeight="1">
      <c r="A235" s="110" t="s">
        <v>216</v>
      </c>
      <c r="B235" s="190"/>
      <c r="C235">
        <v>85.690865031677433</v>
      </c>
      <c r="D235">
        <v>77.832137940665888</v>
      </c>
      <c r="E235">
        <v>57.982185619251347</v>
      </c>
      <c r="F235">
        <v>45.741259560731919</v>
      </c>
      <c r="G235">
        <v>85.138425774435547</v>
      </c>
      <c r="H235">
        <v>77.933400349793246</v>
      </c>
      <c r="I235" s="147">
        <v>60.625173670704001</v>
      </c>
      <c r="J235" s="112">
        <v>51.276581833635724</v>
      </c>
      <c r="K235" s="112">
        <v>85.14273536742428</v>
      </c>
      <c r="L235" s="126">
        <v>76.880700148468975</v>
      </c>
      <c r="M235" s="112">
        <v>62.938197460026871</v>
      </c>
      <c r="N235" s="126">
        <v>54.050524106674416</v>
      </c>
      <c r="O235" s="147">
        <v>74.121226558031509</v>
      </c>
      <c r="P235" s="147">
        <v>67.879814788222731</v>
      </c>
      <c r="Q235" s="147">
        <v>44.840673056663647</v>
      </c>
      <c r="R235" s="112">
        <v>31.62231359528133</v>
      </c>
      <c r="S235" s="112">
        <v>78.660499999999999</v>
      </c>
      <c r="T235" s="112">
        <v>71.429699999999997</v>
      </c>
      <c r="U235" s="146">
        <v>45.158900000000003</v>
      </c>
      <c r="V235" s="113">
        <v>34.308399999999999</v>
      </c>
      <c r="W235" s="113">
        <v>70.087500000000006</v>
      </c>
      <c r="X235" s="126">
        <v>62.795299999999997</v>
      </c>
      <c r="Y235" s="126">
        <v>42.676600000000001</v>
      </c>
      <c r="Z235" s="104">
        <v>31.8</v>
      </c>
      <c r="AA235" s="104">
        <v>75.407527278330392</v>
      </c>
      <c r="AB235" s="104">
        <v>68.18753078236135</v>
      </c>
      <c r="AC235" s="104">
        <v>46.959675976836898</v>
      </c>
      <c r="AD235" s="104">
        <v>34.191481287217712</v>
      </c>
    </row>
    <row r="236" spans="1:30" ht="14.7" customHeight="1">
      <c r="A236" s="110" t="s">
        <v>809</v>
      </c>
      <c r="B236" s="190"/>
      <c r="C236">
        <v>86.530276645434967</v>
      </c>
      <c r="D236">
        <v>76.939003433897142</v>
      </c>
      <c r="E236">
        <v>51.124589117531684</v>
      </c>
      <c r="F236">
        <v>39.646457569193394</v>
      </c>
      <c r="G236">
        <v>79.791655663041226</v>
      </c>
      <c r="H236">
        <v>73.914823493590461</v>
      </c>
      <c r="I236" s="147">
        <v>56.416217317151954</v>
      </c>
      <c r="J236" s="112">
        <v>48.62253200650931</v>
      </c>
      <c r="K236" s="112">
        <v>84.336175931777632</v>
      </c>
      <c r="L236" s="126">
        <v>80.610912428845012</v>
      </c>
      <c r="M236" s="112">
        <v>63.08368415815243</v>
      </c>
      <c r="N236" s="126">
        <v>52.319302371392993</v>
      </c>
      <c r="O236" s="147">
        <v>77.032361297072796</v>
      </c>
      <c r="P236" s="147">
        <v>68.949477530855802</v>
      </c>
      <c r="Q236" s="147">
        <v>43.138912206828884</v>
      </c>
      <c r="R236" s="112">
        <v>32.033424092240445</v>
      </c>
      <c r="S236" s="112">
        <v>76.008299999999991</v>
      </c>
      <c r="T236" s="112">
        <v>68.905199999999994</v>
      </c>
      <c r="U236" s="146">
        <v>46.5685</v>
      </c>
      <c r="V236" s="113">
        <v>34.399700000000003</v>
      </c>
      <c r="W236" s="113">
        <v>76.568299999999994</v>
      </c>
      <c r="X236" s="126">
        <v>70.673100000000005</v>
      </c>
      <c r="Y236" s="126">
        <v>39.3035</v>
      </c>
      <c r="Z236" s="104">
        <v>28.732900000000001</v>
      </c>
      <c r="AA236" s="104">
        <v>80.927856472466402</v>
      </c>
      <c r="AB236" s="104">
        <v>73.339458950349581</v>
      </c>
      <c r="AC236" s="104">
        <v>48.323047509451321</v>
      </c>
      <c r="AD236" s="104">
        <v>36.835631010726175</v>
      </c>
    </row>
    <row r="237" spans="1:30" ht="14.7" customHeight="1">
      <c r="A237" s="110" t="s">
        <v>122</v>
      </c>
      <c r="B237" s="190"/>
      <c r="C237">
        <v>84.853680749816078</v>
      </c>
      <c r="D237">
        <v>72.938143923171666</v>
      </c>
      <c r="E237">
        <v>47.093942007904765</v>
      </c>
      <c r="F237">
        <v>39.00459335162364</v>
      </c>
      <c r="G237">
        <v>85.63261374121511</v>
      </c>
      <c r="H237">
        <v>79.802184770183445</v>
      </c>
      <c r="I237" s="147">
        <v>55.98957537375626</v>
      </c>
      <c r="J237" s="112">
        <v>43.102447015960927</v>
      </c>
      <c r="K237" s="112">
        <v>83.242865631373562</v>
      </c>
      <c r="L237" s="126">
        <v>78.193466756787956</v>
      </c>
      <c r="M237" s="112">
        <v>60.588082559883937</v>
      </c>
      <c r="N237" s="126">
        <v>47.741678893486537</v>
      </c>
      <c r="O237" s="147">
        <v>75.022020295737661</v>
      </c>
      <c r="P237" s="147">
        <v>65.318320929048625</v>
      </c>
      <c r="Q237" s="147">
        <v>39.537382128987737</v>
      </c>
      <c r="R237" s="112">
        <v>30.433168076225009</v>
      </c>
      <c r="S237" s="112">
        <v>75.242800000000003</v>
      </c>
      <c r="T237" s="112">
        <v>62.431800000000003</v>
      </c>
      <c r="U237" s="146">
        <v>36.318199999999997</v>
      </c>
      <c r="V237" s="113">
        <v>25.985200000000003</v>
      </c>
      <c r="W237" s="113">
        <v>79.292200000000008</v>
      </c>
      <c r="X237" s="126">
        <v>67.728999999999999</v>
      </c>
      <c r="Y237" s="126">
        <v>40.422899999999998</v>
      </c>
      <c r="Z237" s="104">
        <v>27.630500000000001</v>
      </c>
      <c r="AA237" s="104">
        <v>75.223251401087737</v>
      </c>
      <c r="AB237" s="104">
        <v>68.173671695149167</v>
      </c>
      <c r="AC237" s="104">
        <v>47.552413212767298</v>
      </c>
      <c r="AD237" s="104">
        <v>36.598718758598707</v>
      </c>
    </row>
    <row r="238" spans="1:30" ht="14.7" customHeight="1">
      <c r="A238" s="110" t="s">
        <v>348</v>
      </c>
      <c r="B238" s="190"/>
      <c r="C238">
        <v>90.105269027863685</v>
      </c>
      <c r="D238">
        <v>83.330873668578818</v>
      </c>
      <c r="E238">
        <v>56.521092599634471</v>
      </c>
      <c r="F238">
        <v>44.11573221637741</v>
      </c>
      <c r="G238">
        <v>87.863690103055319</v>
      </c>
      <c r="H238">
        <v>80.138212822731106</v>
      </c>
      <c r="I238" s="147">
        <v>53.317837375832553</v>
      </c>
      <c r="J238" s="112">
        <v>42.60832403923326</v>
      </c>
      <c r="K238" s="112">
        <v>88.025223249255845</v>
      </c>
      <c r="L238" s="126">
        <v>82.308303622566584</v>
      </c>
      <c r="M238" s="112">
        <v>60.707667855097334</v>
      </c>
      <c r="N238" s="126">
        <v>50.724652042165175</v>
      </c>
      <c r="O238" s="147">
        <v>79.976516889307476</v>
      </c>
      <c r="P238" s="147">
        <v>69.129902226823049</v>
      </c>
      <c r="Q238" s="147">
        <v>43.341525010623812</v>
      </c>
      <c r="R238" s="112">
        <v>30.68914040167472</v>
      </c>
      <c r="S238" s="112">
        <v>83.433999999999997</v>
      </c>
      <c r="T238" s="112">
        <v>73.011200000000002</v>
      </c>
      <c r="U238" s="147">
        <v>45.582000000000001</v>
      </c>
      <c r="V238" s="149">
        <v>32.7346</v>
      </c>
      <c r="W238" s="149">
        <v>83.007300000000001</v>
      </c>
      <c r="X238" s="126">
        <v>71.867499999999993</v>
      </c>
      <c r="Y238" s="126">
        <v>44.283499999999997</v>
      </c>
      <c r="Z238" s="104">
        <v>29.357100000000003</v>
      </c>
      <c r="AA238" s="104">
        <v>82.319682741807654</v>
      </c>
      <c r="AB238" s="104">
        <v>74.26968017405035</v>
      </c>
      <c r="AC238" s="104">
        <v>48.231649714481982</v>
      </c>
      <c r="AD238" s="104">
        <v>33.869472350240514</v>
      </c>
    </row>
    <row r="239" spans="1:30" ht="14.7" customHeight="1">
      <c r="A239" s="26" t="s">
        <v>123</v>
      </c>
      <c r="B239" s="190"/>
      <c r="C239">
        <v>89.047213159135154</v>
      </c>
      <c r="D239">
        <v>78.326347644963818</v>
      </c>
      <c r="E239">
        <v>54.9576136545151</v>
      </c>
      <c r="F239">
        <v>44.991761333477342</v>
      </c>
      <c r="G239">
        <v>89.177250931791804</v>
      </c>
      <c r="H239">
        <v>82.164278417174515</v>
      </c>
      <c r="I239" s="147">
        <v>57.385885267923364</v>
      </c>
      <c r="J239" s="112">
        <v>49.796203174258302</v>
      </c>
      <c r="K239" s="112">
        <v>90.247306557373818</v>
      </c>
      <c r="L239" s="126">
        <v>84.395377109746278</v>
      </c>
      <c r="M239" s="112">
        <v>62.11160143360123</v>
      </c>
      <c r="N239" s="126">
        <v>49.357997694870299</v>
      </c>
      <c r="O239" s="147">
        <v>80.801893916237105</v>
      </c>
      <c r="P239" s="147">
        <v>71.718058672223023</v>
      </c>
      <c r="Q239" s="147">
        <v>40.326477600014449</v>
      </c>
      <c r="R239" s="112">
        <v>27.805381147978409</v>
      </c>
      <c r="S239" s="112">
        <v>75.893500000000003</v>
      </c>
      <c r="T239" s="112">
        <v>65.109399999999994</v>
      </c>
      <c r="U239" s="146">
        <v>36.7789</v>
      </c>
      <c r="V239" s="113">
        <v>23.712700000000002</v>
      </c>
      <c r="W239" s="113">
        <v>78.179400000000001</v>
      </c>
      <c r="X239" s="126">
        <v>68.854399999999998</v>
      </c>
      <c r="Y239" s="126">
        <v>41.315000000000005</v>
      </c>
      <c r="Z239" s="104">
        <v>30.608499999999999</v>
      </c>
      <c r="AA239" s="104">
        <v>83.9788150549292</v>
      </c>
      <c r="AB239" s="104">
        <v>75.705586738936745</v>
      </c>
      <c r="AC239" s="104">
        <v>48.766398090792102</v>
      </c>
      <c r="AD239" s="104">
        <v>38.800663892760888</v>
      </c>
    </row>
    <row r="240" spans="1:30" ht="14.7" customHeight="1">
      <c r="A240" s="26" t="s">
        <v>393</v>
      </c>
      <c r="B240" s="190"/>
      <c r="C240">
        <v>93.550202687029739</v>
      </c>
      <c r="D240">
        <v>89.344033517847393</v>
      </c>
      <c r="E240">
        <v>64.251068596732196</v>
      </c>
      <c r="F240">
        <v>52.54431477093069</v>
      </c>
      <c r="G240">
        <v>91.104558977376755</v>
      </c>
      <c r="H240">
        <v>85.268384814395418</v>
      </c>
      <c r="I240" s="147">
        <v>66.705239579114419</v>
      </c>
      <c r="J240" s="112">
        <v>56.613739120372273</v>
      </c>
      <c r="K240" s="112">
        <v>94.762271508652205</v>
      </c>
      <c r="L240" s="126">
        <v>91.349918537877429</v>
      </c>
      <c r="M240" s="112">
        <v>72.740087794797788</v>
      </c>
      <c r="N240" s="126">
        <v>64.284103808819864</v>
      </c>
      <c r="O240" s="147">
        <v>85.903532554488038</v>
      </c>
      <c r="P240" s="147">
        <v>77.73599512031295</v>
      </c>
      <c r="Q240" s="147">
        <v>55.058799492661834</v>
      </c>
      <c r="R240" s="112">
        <v>40.059542359385247</v>
      </c>
      <c r="S240" s="112">
        <v>88.25739999999999</v>
      </c>
      <c r="T240" s="112">
        <v>82.615899999999996</v>
      </c>
      <c r="U240" s="146">
        <v>54.211200000000005</v>
      </c>
      <c r="V240" s="113">
        <v>40.064999999999998</v>
      </c>
      <c r="W240" s="113">
        <v>87.830699999999993</v>
      </c>
      <c r="X240" s="126">
        <v>83.126800000000003</v>
      </c>
      <c r="Y240" s="126">
        <v>60.0105</v>
      </c>
      <c r="Z240" s="104">
        <v>46.4499</v>
      </c>
      <c r="AA240" s="104">
        <v>90.141400423778933</v>
      </c>
      <c r="AB240" s="104">
        <v>85.979308155138668</v>
      </c>
      <c r="AC240" s="104">
        <v>58.291173118572139</v>
      </c>
      <c r="AD240" s="104">
        <v>39.706057351741165</v>
      </c>
    </row>
    <row r="241" spans="1:30" ht="14.7" customHeight="1">
      <c r="A241" s="110" t="s">
        <v>124</v>
      </c>
      <c r="B241" s="190"/>
      <c r="C241">
        <v>88.734943518388505</v>
      </c>
      <c r="D241">
        <v>82.760286896618609</v>
      </c>
      <c r="E241">
        <v>62.96685067550095</v>
      </c>
      <c r="F241">
        <v>51.513934810136227</v>
      </c>
      <c r="G241">
        <v>85.507313591140615</v>
      </c>
      <c r="H241">
        <v>77.466319124388789</v>
      </c>
      <c r="I241" s="147">
        <v>58.125835535994419</v>
      </c>
      <c r="J241" s="112">
        <v>47.613699025945614</v>
      </c>
      <c r="K241" s="112">
        <v>90.329590582782544</v>
      </c>
      <c r="L241" s="126">
        <v>82.636856479028239</v>
      </c>
      <c r="M241" s="112">
        <v>67.644804956589084</v>
      </c>
      <c r="N241" s="126">
        <v>57.260832348265602</v>
      </c>
      <c r="O241" s="147">
        <v>76.999134524817379</v>
      </c>
      <c r="P241" s="147">
        <v>69.797034941110752</v>
      </c>
      <c r="Q241" s="147">
        <v>46.111123269358764</v>
      </c>
      <c r="R241" s="112">
        <v>30.857752730546682</v>
      </c>
      <c r="S241" s="112">
        <v>84.558700000000002</v>
      </c>
      <c r="T241" s="112">
        <v>74.641199999999998</v>
      </c>
      <c r="U241" s="146">
        <v>47.193600000000004</v>
      </c>
      <c r="V241" s="113">
        <v>37.211100000000002</v>
      </c>
      <c r="W241" s="113">
        <v>85.616500000000002</v>
      </c>
      <c r="X241" s="126">
        <v>77.005300000000005</v>
      </c>
      <c r="Y241" s="126">
        <v>50.928600000000003</v>
      </c>
      <c r="Z241" s="104">
        <v>37.505800000000001</v>
      </c>
      <c r="AA241" s="104">
        <v>82.5506700380799</v>
      </c>
      <c r="AB241" s="104">
        <v>74.279964867819913</v>
      </c>
      <c r="AC241" s="104">
        <v>51.799184713689698</v>
      </c>
      <c r="AD241" s="104">
        <v>41.884480123300527</v>
      </c>
    </row>
    <row r="242" spans="1:30" ht="14.7" customHeight="1">
      <c r="A242" s="110" t="s">
        <v>240</v>
      </c>
      <c r="B242" s="190"/>
      <c r="C242">
        <v>82.052047963199428</v>
      </c>
      <c r="D242">
        <v>70.173312646846583</v>
      </c>
      <c r="E242">
        <v>47.18648539131236</v>
      </c>
      <c r="F242">
        <v>39.219481054755008</v>
      </c>
      <c r="G242">
        <v>83.744083128831207</v>
      </c>
      <c r="H242">
        <v>75.455002935502819</v>
      </c>
      <c r="I242" s="147">
        <v>56.014845257066192</v>
      </c>
      <c r="J242" s="112">
        <v>47.437935083452153</v>
      </c>
      <c r="K242" s="112">
        <v>84.957682903893172</v>
      </c>
      <c r="L242" s="126">
        <v>79.381144763540362</v>
      </c>
      <c r="M242" s="112">
        <v>60.68195940660361</v>
      </c>
      <c r="N242" s="126">
        <v>48.59745049499972</v>
      </c>
      <c r="O242" s="147">
        <v>68.568747186847403</v>
      </c>
      <c r="P242" s="147">
        <v>58.923253500485941</v>
      </c>
      <c r="Q242" s="147">
        <v>32.617893007828933</v>
      </c>
      <c r="R242" s="112">
        <v>23.959673000067298</v>
      </c>
      <c r="S242" s="112">
        <v>68.684399999999997</v>
      </c>
      <c r="T242" s="112">
        <v>61.386700000000005</v>
      </c>
      <c r="U242" s="146">
        <v>37.533000000000001</v>
      </c>
      <c r="V242" s="113">
        <v>28.543299999999999</v>
      </c>
      <c r="W242" s="113">
        <v>70.983900000000006</v>
      </c>
      <c r="X242" s="126">
        <v>61.045000000000002</v>
      </c>
      <c r="Y242" s="126">
        <v>35.953899999999997</v>
      </c>
      <c r="Z242" s="104">
        <v>27.872299999999999</v>
      </c>
      <c r="AA242" s="104">
        <v>73.944238676560289</v>
      </c>
      <c r="AB242" s="104">
        <v>65.694404701766146</v>
      </c>
      <c r="AC242" s="104">
        <v>36.09349258331369</v>
      </c>
      <c r="AD242" s="104">
        <v>26.006619422223309</v>
      </c>
    </row>
    <row r="243" spans="1:30" ht="14.7" customHeight="1">
      <c r="A243" s="110" t="s">
        <v>125</v>
      </c>
      <c r="B243" s="190"/>
      <c r="C243">
        <v>84.650722007154144</v>
      </c>
      <c r="D243">
        <v>77.128013655834977</v>
      </c>
      <c r="E243">
        <v>58.059676200211285</v>
      </c>
      <c r="F243">
        <v>45.143469095081507</v>
      </c>
      <c r="G243">
        <v>84.933628860424676</v>
      </c>
      <c r="H243">
        <v>73.660486228006249</v>
      </c>
      <c r="I243" s="147">
        <v>54.296158581011468</v>
      </c>
      <c r="J243" s="112">
        <v>43.372777596328582</v>
      </c>
      <c r="K243" s="112">
        <v>85.294718582113774</v>
      </c>
      <c r="L243" s="126">
        <v>80.261614940429212</v>
      </c>
      <c r="M243" s="112">
        <v>60.468533345712373</v>
      </c>
      <c r="N243" s="126">
        <v>52.059597021763572</v>
      </c>
      <c r="O243" s="147">
        <v>76.769274012976524</v>
      </c>
      <c r="P243" s="147">
        <v>67.342579565501921</v>
      </c>
      <c r="Q243" s="147">
        <v>43.090500928631812</v>
      </c>
      <c r="R243" s="112">
        <v>34.593399501754241</v>
      </c>
      <c r="S243" s="112">
        <v>77.979600000000005</v>
      </c>
      <c r="T243" s="112">
        <v>71.209400000000002</v>
      </c>
      <c r="U243" s="146">
        <v>47.206099999999999</v>
      </c>
      <c r="V243" s="113">
        <v>37.963900000000002</v>
      </c>
      <c r="W243" s="113">
        <v>75.985299999999995</v>
      </c>
      <c r="X243" s="126">
        <v>68.479900000000001</v>
      </c>
      <c r="Y243" s="126">
        <v>44.593800000000002</v>
      </c>
      <c r="Z243" s="104">
        <v>34.412199999999999</v>
      </c>
      <c r="AA243" s="104">
        <v>85.366352980366827</v>
      </c>
      <c r="AB243" s="104">
        <v>76.543582000411547</v>
      </c>
      <c r="AC243" s="104">
        <v>46.598796647224141</v>
      </c>
      <c r="AD243" s="104">
        <v>34.24632918996879</v>
      </c>
    </row>
    <row r="244" spans="1:30" ht="14.7" customHeight="1">
      <c r="A244" s="110" t="s">
        <v>126</v>
      </c>
      <c r="B244" s="190"/>
      <c r="C244">
        <v>85.485380572967813</v>
      </c>
      <c r="D244">
        <v>77.5587371692706</v>
      </c>
      <c r="E244">
        <v>50.640670185043447</v>
      </c>
      <c r="F244">
        <v>42.620381695127193</v>
      </c>
      <c r="G244">
        <v>78.825787996917001</v>
      </c>
      <c r="H244">
        <v>73.474943627021958</v>
      </c>
      <c r="I244" s="147">
        <v>55.538554998404045</v>
      </c>
      <c r="J244" s="112">
        <v>43.418622131155985</v>
      </c>
      <c r="K244" s="112">
        <v>83.603878043501567</v>
      </c>
      <c r="L244" s="126">
        <v>74.724986211149542</v>
      </c>
      <c r="M244" s="112">
        <v>57.593026403358984</v>
      </c>
      <c r="N244" s="126">
        <v>48.518029303596904</v>
      </c>
      <c r="O244" s="147">
        <v>74.728081183729103</v>
      </c>
      <c r="P244" s="147">
        <v>65.496182287055802</v>
      </c>
      <c r="Q244" s="147">
        <v>35.848995800987694</v>
      </c>
      <c r="R244" s="112">
        <v>28.847569766398173</v>
      </c>
      <c r="S244" s="112">
        <v>73.648200000000003</v>
      </c>
      <c r="T244" s="112">
        <v>62.933999999999997</v>
      </c>
      <c r="U244" s="146">
        <v>36.931000000000004</v>
      </c>
      <c r="V244" s="113">
        <v>27.132800000000003</v>
      </c>
      <c r="W244" s="113">
        <v>76.842399999999998</v>
      </c>
      <c r="X244" s="126">
        <v>68.714200000000005</v>
      </c>
      <c r="Y244" s="126">
        <v>37.754899999999999</v>
      </c>
      <c r="Z244" s="104">
        <v>31.3566</v>
      </c>
      <c r="AA244" s="104">
        <v>76.422949572140297</v>
      </c>
      <c r="AB244" s="104">
        <v>70.355469943944755</v>
      </c>
      <c r="AC244" s="104">
        <v>36.399970482716817</v>
      </c>
      <c r="AD244" s="104">
        <v>25.507442443740331</v>
      </c>
    </row>
    <row r="245" spans="1:30" ht="14.7" customHeight="1">
      <c r="A245" s="110" t="s">
        <v>127</v>
      </c>
      <c r="B245" s="190"/>
      <c r="C245">
        <v>85.751854804695753</v>
      </c>
      <c r="D245">
        <v>78.583358798788453</v>
      </c>
      <c r="E245">
        <v>54.088089474380929</v>
      </c>
      <c r="F245">
        <v>45.866211292338349</v>
      </c>
      <c r="G245">
        <v>77.505252377231997</v>
      </c>
      <c r="H245">
        <v>70.154121211117911</v>
      </c>
      <c r="I245" s="147">
        <v>51.244268048404983</v>
      </c>
      <c r="J245" s="112">
        <v>43.560762825500348</v>
      </c>
      <c r="K245" s="112">
        <v>84.949287623777252</v>
      </c>
      <c r="L245" s="126">
        <v>81.729339195591947</v>
      </c>
      <c r="M245" s="112">
        <v>66.266345380220557</v>
      </c>
      <c r="N245" s="126">
        <v>56.266507919737982</v>
      </c>
      <c r="O245" s="147">
        <v>77.608677800097396</v>
      </c>
      <c r="P245" s="147">
        <v>67.271205056016399</v>
      </c>
      <c r="Q245" s="147">
        <v>38.368121446403926</v>
      </c>
      <c r="R245" s="112">
        <v>27.529066086481063</v>
      </c>
      <c r="S245" s="112">
        <v>77.986800000000002</v>
      </c>
      <c r="T245" s="112">
        <v>68.367000000000004</v>
      </c>
      <c r="U245" s="146">
        <v>38.713700000000003</v>
      </c>
      <c r="V245" s="113">
        <v>28.126299999999997</v>
      </c>
      <c r="W245" s="113">
        <v>78.560900000000004</v>
      </c>
      <c r="X245" s="126">
        <v>69.141300000000001</v>
      </c>
      <c r="Y245" s="126">
        <v>46.147300000000001</v>
      </c>
      <c r="Z245" s="104">
        <v>37.158799999999999</v>
      </c>
      <c r="AA245" s="104">
        <v>82.24698005383091</v>
      </c>
      <c r="AB245" s="104">
        <v>70.871417084652506</v>
      </c>
      <c r="AC245" s="104">
        <v>48.015234496566741</v>
      </c>
      <c r="AD245" s="104">
        <v>33.655876740941238</v>
      </c>
    </row>
    <row r="246" spans="1:30" ht="14.7" customHeight="1">
      <c r="A246" s="110" t="s">
        <v>241</v>
      </c>
      <c r="B246" s="190"/>
      <c r="C246">
        <v>84.046887697375141</v>
      </c>
      <c r="D246">
        <v>73.459767477796646</v>
      </c>
      <c r="E246">
        <v>51.580384633339484</v>
      </c>
      <c r="F246">
        <v>41.77583800393684</v>
      </c>
      <c r="G246">
        <v>81.017512151039256</v>
      </c>
      <c r="H246">
        <v>74.016896402057867</v>
      </c>
      <c r="I246" s="147">
        <v>53.373623593252141</v>
      </c>
      <c r="J246" s="112">
        <v>43.180859795243748</v>
      </c>
      <c r="K246" s="112">
        <v>81.900469321784016</v>
      </c>
      <c r="L246" s="126">
        <v>74.592335854337833</v>
      </c>
      <c r="M246" s="112">
        <v>54.826970434768754</v>
      </c>
      <c r="N246" s="126">
        <v>45.420484837143377</v>
      </c>
      <c r="O246" s="147">
        <v>73.624028990294249</v>
      </c>
      <c r="P246" s="147">
        <v>67.060835671646032</v>
      </c>
      <c r="Q246" s="147">
        <v>37.072014178721787</v>
      </c>
      <c r="R246" s="112">
        <v>25.056734186308578</v>
      </c>
      <c r="S246" s="112">
        <v>70.379100000000008</v>
      </c>
      <c r="T246" s="112">
        <v>59.200299999999991</v>
      </c>
      <c r="U246" s="146">
        <v>34.122999999999998</v>
      </c>
      <c r="V246" s="113">
        <v>24.500499999999999</v>
      </c>
      <c r="W246" s="113">
        <v>68.230400000000003</v>
      </c>
      <c r="X246" s="126">
        <v>58.547199999999997</v>
      </c>
      <c r="Y246" s="126">
        <v>31.700099999999999</v>
      </c>
      <c r="Z246" s="104">
        <v>26.347100000000001</v>
      </c>
      <c r="AA246" s="104">
        <v>73.60325705384848</v>
      </c>
      <c r="AB246" s="104">
        <v>64.82547470298293</v>
      </c>
      <c r="AC246" s="104">
        <v>38.470956586272543</v>
      </c>
      <c r="AD246" s="104">
        <v>28.21490703193205</v>
      </c>
    </row>
    <row r="247" spans="1:30" ht="14.7" customHeight="1">
      <c r="A247" s="110" t="s">
        <v>128</v>
      </c>
      <c r="B247" s="190"/>
      <c r="C247">
        <v>86.041991619299267</v>
      </c>
      <c r="D247">
        <v>74.137395861875007</v>
      </c>
      <c r="E247">
        <v>49.755089858490926</v>
      </c>
      <c r="F247">
        <v>37.730952645340729</v>
      </c>
      <c r="G247">
        <v>86.16923188909827</v>
      </c>
      <c r="H247">
        <v>76.828364448646852</v>
      </c>
      <c r="I247" s="147">
        <v>53.690999440523058</v>
      </c>
      <c r="J247" s="112">
        <v>43.296702389234923</v>
      </c>
      <c r="K247" s="112">
        <v>83.919690110310526</v>
      </c>
      <c r="L247" s="126">
        <v>75.072126910855189</v>
      </c>
      <c r="M247" s="112">
        <v>56.684844002698142</v>
      </c>
      <c r="N247" s="126">
        <v>45.775801116646484</v>
      </c>
      <c r="O247" s="147">
        <v>75.417223725955026</v>
      </c>
      <c r="P247" s="147">
        <v>61.861462438389161</v>
      </c>
      <c r="Q247" s="147">
        <v>38.460398954793341</v>
      </c>
      <c r="R247" s="112">
        <v>26.623785862758215</v>
      </c>
      <c r="S247" s="112">
        <v>74.985500000000002</v>
      </c>
      <c r="T247" s="112">
        <v>63.155899999999995</v>
      </c>
      <c r="U247" s="146">
        <v>37.8583</v>
      </c>
      <c r="V247" s="113">
        <v>25.395699999999998</v>
      </c>
      <c r="W247" s="113">
        <v>73.663499999999999</v>
      </c>
      <c r="X247" s="126">
        <v>63.559299999999993</v>
      </c>
      <c r="Y247" s="126">
        <v>38.260399999999997</v>
      </c>
      <c r="Z247" s="104">
        <v>26.747</v>
      </c>
      <c r="AA247" s="104">
        <v>74.80645961219075</v>
      </c>
      <c r="AB247" s="104">
        <v>67.003795883515991</v>
      </c>
      <c r="AC247" s="104">
        <v>44.089278929711845</v>
      </c>
      <c r="AD247" s="104">
        <v>30.005824668972874</v>
      </c>
    </row>
    <row r="248" spans="1:30" ht="14.7" customHeight="1">
      <c r="A248" s="110" t="s">
        <v>129</v>
      </c>
      <c r="B248" s="190"/>
      <c r="C248">
        <v>85.732504761675926</v>
      </c>
      <c r="D248">
        <v>72.308290946008796</v>
      </c>
      <c r="E248">
        <v>45.500590660040899</v>
      </c>
      <c r="F248">
        <v>37.626253684180718</v>
      </c>
      <c r="G248">
        <v>84.630786302142397</v>
      </c>
      <c r="H248">
        <v>75.61514960674856</v>
      </c>
      <c r="I248" s="147">
        <v>54.297436273700562</v>
      </c>
      <c r="J248" s="112">
        <v>45.840950733002757</v>
      </c>
      <c r="K248" s="112">
        <v>83.255324246029588</v>
      </c>
      <c r="L248" s="126">
        <v>76.488846020675666</v>
      </c>
      <c r="M248" s="112">
        <v>57.325930322665727</v>
      </c>
      <c r="N248" s="126">
        <v>46.20760581029166</v>
      </c>
      <c r="O248" s="147">
        <v>74.081475458317854</v>
      </c>
      <c r="P248" s="147">
        <v>61.110944926553266</v>
      </c>
      <c r="Q248" s="147">
        <v>37.674158478835864</v>
      </c>
      <c r="R248" s="112">
        <v>26.170350594893183</v>
      </c>
      <c r="S248" s="112">
        <v>79.730599999999995</v>
      </c>
      <c r="T248" s="112">
        <v>69.407399999999996</v>
      </c>
      <c r="U248" s="146">
        <v>36.419200000000004</v>
      </c>
      <c r="V248" s="113">
        <v>26.733400000000003</v>
      </c>
      <c r="W248" s="113">
        <v>81.263099999999994</v>
      </c>
      <c r="X248" s="126">
        <v>73.977999999999994</v>
      </c>
      <c r="Y248" s="126">
        <v>46.725699999999996</v>
      </c>
      <c r="Z248" s="104">
        <v>33.606099999999998</v>
      </c>
      <c r="AA248" s="104">
        <v>83.458805242596696</v>
      </c>
      <c r="AB248" s="104">
        <v>73.624699888530188</v>
      </c>
      <c r="AC248" s="104">
        <v>44.710971912129622</v>
      </c>
      <c r="AD248" s="104">
        <v>33.288231354681145</v>
      </c>
    </row>
    <row r="249" spans="1:30" ht="14.7" customHeight="1">
      <c r="A249" s="110" t="s">
        <v>130</v>
      </c>
      <c r="B249" s="190"/>
      <c r="C249">
        <v>89.686489500776474</v>
      </c>
      <c r="D249">
        <v>77.129594460328988</v>
      </c>
      <c r="E249">
        <v>53.648817217880527</v>
      </c>
      <c r="F249">
        <v>39.836960249744031</v>
      </c>
      <c r="G249">
        <v>85.844044873245934</v>
      </c>
      <c r="H249">
        <v>79.99621354767946</v>
      </c>
      <c r="I249" s="147">
        <v>60.465527849974166</v>
      </c>
      <c r="J249" s="112">
        <v>46.926697164070681</v>
      </c>
      <c r="K249" s="112">
        <v>88.875803949851317</v>
      </c>
      <c r="L249" s="126">
        <v>82.432854591039813</v>
      </c>
      <c r="M249" s="112">
        <v>59.141227641560079</v>
      </c>
      <c r="N249" s="126">
        <v>47.751339704103621</v>
      </c>
      <c r="O249" s="147">
        <v>80.703164268933875</v>
      </c>
      <c r="P249" s="147">
        <v>67.320586553597892</v>
      </c>
      <c r="Q249" s="147">
        <v>37.973180101998778</v>
      </c>
      <c r="R249" s="112">
        <v>22.461205730203872</v>
      </c>
      <c r="S249" s="112">
        <v>81.2667</v>
      </c>
      <c r="T249" s="112">
        <v>69.717799999999997</v>
      </c>
      <c r="U249" s="146">
        <v>49.7864</v>
      </c>
      <c r="V249" s="113">
        <v>35.613799999999998</v>
      </c>
      <c r="W249" s="113">
        <v>84.044700000000006</v>
      </c>
      <c r="X249" s="126">
        <v>76.016099999999994</v>
      </c>
      <c r="Y249" s="126">
        <v>48.014800000000001</v>
      </c>
      <c r="Z249" s="104">
        <v>34.069700000000005</v>
      </c>
      <c r="AA249" s="104">
        <v>80.262016971920374</v>
      </c>
      <c r="AB249" s="104">
        <v>70.768010009304064</v>
      </c>
      <c r="AC249" s="104">
        <v>46.420367874122398</v>
      </c>
      <c r="AD249" s="104">
        <v>32.551522443075093</v>
      </c>
    </row>
    <row r="250" spans="1:30" ht="14.7" customHeight="1">
      <c r="A250" s="110" t="s">
        <v>131</v>
      </c>
      <c r="B250" s="190"/>
      <c r="C250">
        <v>84.226705820282575</v>
      </c>
      <c r="D250">
        <v>73.153865632870492</v>
      </c>
      <c r="E250">
        <v>49.552739033370344</v>
      </c>
      <c r="F250">
        <v>42.990072115818315</v>
      </c>
      <c r="G250">
        <v>84.039872887057882</v>
      </c>
      <c r="H250">
        <v>77.19372188846603</v>
      </c>
      <c r="I250" s="147">
        <v>57.135637823839623</v>
      </c>
      <c r="J250" s="112">
        <v>47.3957579760744</v>
      </c>
      <c r="K250" s="112">
        <v>87.926901491863845</v>
      </c>
      <c r="L250" s="126">
        <v>79.784202579981695</v>
      </c>
      <c r="M250" s="112">
        <v>57.263138055856579</v>
      </c>
      <c r="N250" s="126">
        <v>42.42588749608209</v>
      </c>
      <c r="O250" s="147">
        <v>72.43729239659568</v>
      </c>
      <c r="P250" s="147">
        <v>62.834092774144978</v>
      </c>
      <c r="Q250" s="147">
        <v>36.708160735551665</v>
      </c>
      <c r="R250" s="112">
        <v>28.155786095819614</v>
      </c>
      <c r="S250" s="112">
        <v>77.182700000000011</v>
      </c>
      <c r="T250" s="112">
        <v>65.171300000000002</v>
      </c>
      <c r="U250" s="146">
        <v>38.539200000000001</v>
      </c>
      <c r="V250" s="113">
        <v>28.247100000000003</v>
      </c>
      <c r="W250" s="113">
        <v>74.487499999999997</v>
      </c>
      <c r="X250" s="126">
        <v>65.299300000000002</v>
      </c>
      <c r="Y250" s="126">
        <v>40.365899999999996</v>
      </c>
      <c r="Z250" s="104">
        <v>27.123000000000001</v>
      </c>
      <c r="AA250" s="104">
        <v>77.489347327528819</v>
      </c>
      <c r="AB250" s="104">
        <v>65.570472584825936</v>
      </c>
      <c r="AC250" s="104">
        <v>40.231976943933581</v>
      </c>
      <c r="AD250" s="104">
        <v>31.129914284056799</v>
      </c>
    </row>
    <row r="251" spans="1:30" ht="14.7" customHeight="1">
      <c r="A251" s="110" t="s">
        <v>285</v>
      </c>
      <c r="B251" s="190"/>
      <c r="C251">
        <v>91.493442136272449</v>
      </c>
      <c r="D251">
        <v>83.884061000257631</v>
      </c>
      <c r="E251">
        <v>66.973506887762426</v>
      </c>
      <c r="F251">
        <v>52.548518296608179</v>
      </c>
      <c r="G251">
        <v>90.449543456553755</v>
      </c>
      <c r="H251">
        <v>81.706721730694539</v>
      </c>
      <c r="I251" s="147">
        <v>58.045323954721752</v>
      </c>
      <c r="J251" s="112">
        <v>46.206211737529053</v>
      </c>
      <c r="K251" s="112">
        <v>87.382546041951542</v>
      </c>
      <c r="L251" s="126">
        <v>80.467068336186358</v>
      </c>
      <c r="M251" s="112">
        <v>59.973557550074361</v>
      </c>
      <c r="N251" s="126">
        <v>50.653818138786136</v>
      </c>
      <c r="O251" s="147">
        <v>79.680093860242266</v>
      </c>
      <c r="P251" s="147">
        <v>71.835690148223733</v>
      </c>
      <c r="Q251" s="147">
        <v>39.261789222947598</v>
      </c>
      <c r="R251" s="112">
        <v>26.815267111352203</v>
      </c>
      <c r="S251" s="112">
        <v>79.283799999999999</v>
      </c>
      <c r="T251" s="112">
        <v>72.1858</v>
      </c>
      <c r="U251" s="146">
        <v>43.226700000000001</v>
      </c>
      <c r="V251" s="113">
        <v>31.286100000000001</v>
      </c>
      <c r="W251" s="113">
        <v>75.632800000000003</v>
      </c>
      <c r="X251" s="126">
        <v>66.186999999999998</v>
      </c>
      <c r="Y251" s="126">
        <v>42.186399999999999</v>
      </c>
      <c r="Z251" s="104">
        <v>26.328000000000003</v>
      </c>
      <c r="AA251" s="104">
        <v>80.324163713402697</v>
      </c>
      <c r="AB251" s="104">
        <v>72.260857681334286</v>
      </c>
      <c r="AC251" s="104">
        <v>46.407440757165787</v>
      </c>
      <c r="AD251" s="104">
        <v>35.04161937447234</v>
      </c>
    </row>
    <row r="252" spans="1:30" ht="14.7" customHeight="1">
      <c r="A252" s="110" t="s">
        <v>132</v>
      </c>
      <c r="B252" s="190"/>
      <c r="C252">
        <v>88.537679765524516</v>
      </c>
      <c r="D252">
        <v>79.607877002488522</v>
      </c>
      <c r="E252">
        <v>59.297099598479889</v>
      </c>
      <c r="F252">
        <v>49.837439085409557</v>
      </c>
      <c r="G252">
        <v>89.173165139960034</v>
      </c>
      <c r="H252">
        <v>80.468669922059192</v>
      </c>
      <c r="I252" s="147">
        <v>62.389556504020035</v>
      </c>
      <c r="J252" s="112">
        <v>47.158501535446469</v>
      </c>
      <c r="K252" s="112">
        <v>88.429723637511486</v>
      </c>
      <c r="L252" s="126">
        <v>84.483093406806788</v>
      </c>
      <c r="M252" s="112">
        <v>66.307611492763371</v>
      </c>
      <c r="N252" s="126">
        <v>56.757220790316545</v>
      </c>
      <c r="O252" s="147">
        <v>77.916255744978386</v>
      </c>
      <c r="P252" s="147">
        <v>69.513978664150315</v>
      </c>
      <c r="Q252" s="147">
        <v>40.960540214664384</v>
      </c>
      <c r="R252" s="112">
        <v>30.58356171089109</v>
      </c>
      <c r="S252" s="112">
        <v>83.480900000000005</v>
      </c>
      <c r="T252" s="112">
        <v>74.797700000000006</v>
      </c>
      <c r="U252" s="146">
        <v>50.537200000000006</v>
      </c>
      <c r="V252" s="113">
        <v>37.456299999999999</v>
      </c>
      <c r="W252" s="113">
        <v>81.240200000000002</v>
      </c>
      <c r="X252" s="126">
        <v>72.975700000000003</v>
      </c>
      <c r="Y252" s="126">
        <v>48.780900000000003</v>
      </c>
      <c r="Z252" s="104">
        <v>33.8536</v>
      </c>
      <c r="AA252" s="104">
        <v>80.304261084662869</v>
      </c>
      <c r="AB252" s="104">
        <v>72.020744213569728</v>
      </c>
      <c r="AC252" s="104">
        <v>41.912794641074534</v>
      </c>
      <c r="AD252" s="104">
        <v>30.636802085932295</v>
      </c>
    </row>
    <row r="253" spans="1:30" ht="14.7" customHeight="1">
      <c r="A253" s="110" t="s">
        <v>242</v>
      </c>
      <c r="B253" s="190"/>
      <c r="C253">
        <v>83.964723881464337</v>
      </c>
      <c r="D253">
        <v>74.968035639126683</v>
      </c>
      <c r="E253">
        <v>53.616496163241287</v>
      </c>
      <c r="F253">
        <v>40.927897894227385</v>
      </c>
      <c r="G253">
        <v>81.961395097931856</v>
      </c>
      <c r="H253">
        <v>70.33178723722601</v>
      </c>
      <c r="I253" s="147">
        <v>50.844118600533648</v>
      </c>
      <c r="J253" s="112">
        <v>42.722750056108325</v>
      </c>
      <c r="K253" s="112">
        <v>79.628129360502726</v>
      </c>
      <c r="L253" s="126">
        <v>73.330483146766554</v>
      </c>
      <c r="M253" s="112">
        <v>57.265266060901666</v>
      </c>
      <c r="N253" s="126">
        <v>46.180448924456009</v>
      </c>
      <c r="O253" s="147">
        <v>73.025204376781204</v>
      </c>
      <c r="P253" s="147">
        <v>63.988655409202224</v>
      </c>
      <c r="Q253" s="147">
        <v>36.003406524759832</v>
      </c>
      <c r="R253" s="112">
        <v>25.227190897136907</v>
      </c>
      <c r="S253" s="112">
        <v>75.348700000000008</v>
      </c>
      <c r="T253" s="112">
        <v>67.797200000000004</v>
      </c>
      <c r="U253" s="146">
        <v>42.984999999999999</v>
      </c>
      <c r="V253" s="113">
        <v>30.438300000000002</v>
      </c>
      <c r="W253" s="113">
        <v>75.895499999999998</v>
      </c>
      <c r="X253" s="126">
        <v>64.382199999999997</v>
      </c>
      <c r="Y253" s="126">
        <v>42.351499999999994</v>
      </c>
      <c r="Z253" s="104">
        <v>29.357499999999998</v>
      </c>
      <c r="AA253" s="104">
        <v>80.910945755744265</v>
      </c>
      <c r="AB253" s="104">
        <v>71.876420757472332</v>
      </c>
      <c r="AC253" s="104">
        <v>46.243810660775218</v>
      </c>
      <c r="AD253" s="104">
        <v>34.503801136769788</v>
      </c>
    </row>
    <row r="254" spans="1:30" ht="14.7" customHeight="1">
      <c r="A254" s="110" t="s">
        <v>243</v>
      </c>
      <c r="B254" s="190"/>
      <c r="C254">
        <v>81.497895475131813</v>
      </c>
      <c r="D254">
        <v>65.437435767165724</v>
      </c>
      <c r="E254">
        <v>45.835881847061756</v>
      </c>
      <c r="F254">
        <v>33.473521066792543</v>
      </c>
      <c r="G254">
        <v>79.130228431109543</v>
      </c>
      <c r="H254">
        <v>67.566855045748696</v>
      </c>
      <c r="I254" s="147">
        <v>48.152790012072714</v>
      </c>
      <c r="J254" s="112">
        <v>38.683131877213938</v>
      </c>
      <c r="K254" s="112">
        <v>80.456515952020553</v>
      </c>
      <c r="L254" s="126">
        <v>74.462135230612432</v>
      </c>
      <c r="M254" s="112">
        <v>55.498975825524212</v>
      </c>
      <c r="N254" s="126">
        <v>43.82140772039542</v>
      </c>
      <c r="O254" s="147">
        <v>64.700761114737475</v>
      </c>
      <c r="P254" s="147">
        <v>56.397687648944341</v>
      </c>
      <c r="Q254" s="147">
        <v>32.607049685631303</v>
      </c>
      <c r="R254" s="112">
        <v>22.14871113676185</v>
      </c>
      <c r="S254" s="112">
        <v>67.2791</v>
      </c>
      <c r="T254" s="112">
        <v>57.614800000000002</v>
      </c>
      <c r="U254" s="146">
        <v>35.583599999999997</v>
      </c>
      <c r="V254" s="113">
        <v>25.401</v>
      </c>
      <c r="W254" s="113">
        <v>68.9589</v>
      </c>
      <c r="X254" s="126">
        <v>57.888399999999997</v>
      </c>
      <c r="Y254" s="126">
        <v>32.9422</v>
      </c>
      <c r="Z254" s="104">
        <v>24.734000000000002</v>
      </c>
      <c r="AA254" s="104">
        <v>65.737773138744444</v>
      </c>
      <c r="AB254" s="104">
        <v>59.280444293837874</v>
      </c>
      <c r="AC254" s="104">
        <v>35.406147971230574</v>
      </c>
      <c r="AD254" s="104">
        <v>24.676796114062974</v>
      </c>
    </row>
    <row r="255" spans="1:30" ht="14.7" customHeight="1">
      <c r="A255" s="110" t="s">
        <v>133</v>
      </c>
      <c r="B255" s="190"/>
      <c r="C255">
        <v>87.513302171566366</v>
      </c>
      <c r="D255">
        <v>82.700171653201863</v>
      </c>
      <c r="E255">
        <v>64.103148932430258</v>
      </c>
      <c r="F255">
        <v>54.239801619749286</v>
      </c>
      <c r="G255">
        <v>88.826411075612342</v>
      </c>
      <c r="H255">
        <v>83.769154500725506</v>
      </c>
      <c r="I255" s="147">
        <v>64.764619311090001</v>
      </c>
      <c r="J255" s="112">
        <v>53.584786933023665</v>
      </c>
      <c r="K255" s="112">
        <v>84.24191913592955</v>
      </c>
      <c r="L255" s="126">
        <v>80.691741361696529</v>
      </c>
      <c r="M255" s="112">
        <v>63.555529888300974</v>
      </c>
      <c r="N255" s="126">
        <v>52.333651297512908</v>
      </c>
      <c r="O255" s="147">
        <v>75.167447935844265</v>
      </c>
      <c r="P255" s="147">
        <v>70.333969903891486</v>
      </c>
      <c r="Q255" s="147">
        <v>41.942428845712158</v>
      </c>
      <c r="R255" s="112">
        <v>29.962125254899867</v>
      </c>
      <c r="S255" s="112">
        <v>79.263999999999996</v>
      </c>
      <c r="T255" s="112">
        <v>69.652000000000001</v>
      </c>
      <c r="U255" s="146">
        <v>45.9178</v>
      </c>
      <c r="V255" s="113">
        <v>34.630699999999997</v>
      </c>
      <c r="W255" s="113">
        <v>82.618200000000002</v>
      </c>
      <c r="X255" s="126">
        <v>77.034199999999998</v>
      </c>
      <c r="Y255" s="126">
        <v>53.697700000000005</v>
      </c>
      <c r="Z255" s="104">
        <v>41.856700000000004</v>
      </c>
      <c r="AA255" s="104">
        <v>81.292981100585621</v>
      </c>
      <c r="AB255" s="104">
        <v>72.910751343883504</v>
      </c>
      <c r="AC255" s="104">
        <v>48.893555542925505</v>
      </c>
      <c r="AD255" s="104">
        <v>40.328643315057647</v>
      </c>
    </row>
    <row r="256" spans="1:30" ht="14.7" customHeight="1">
      <c r="A256" s="110" t="s">
        <v>134</v>
      </c>
      <c r="B256" s="190"/>
      <c r="C256">
        <v>85.256491623361569</v>
      </c>
      <c r="D256">
        <v>76.094348053328773</v>
      </c>
      <c r="E256">
        <v>53.43806279214283</v>
      </c>
      <c r="F256">
        <v>44.058797537390269</v>
      </c>
      <c r="G256">
        <v>81.558349972734618</v>
      </c>
      <c r="H256">
        <v>75.261537189741048</v>
      </c>
      <c r="I256" s="147">
        <v>56.877880422427516</v>
      </c>
      <c r="J256" s="112">
        <v>45.132783598900531</v>
      </c>
      <c r="K256" s="112">
        <v>81.418778728294185</v>
      </c>
      <c r="L256" s="126">
        <v>76.555715476711967</v>
      </c>
      <c r="M256" s="112">
        <v>56.885884255212623</v>
      </c>
      <c r="N256" s="126">
        <v>46.487667118169163</v>
      </c>
      <c r="O256" s="147">
        <v>69.475738005780386</v>
      </c>
      <c r="P256" s="147">
        <v>60.703482610031521</v>
      </c>
      <c r="Q256" s="147">
        <v>34.261412751794502</v>
      </c>
      <c r="R256" s="112">
        <v>24.012613647880364</v>
      </c>
      <c r="S256" s="112">
        <v>76.7577</v>
      </c>
      <c r="T256" s="112">
        <v>68.869900000000001</v>
      </c>
      <c r="U256" s="146">
        <v>43.560700000000004</v>
      </c>
      <c r="V256" s="113">
        <v>33.982600000000005</v>
      </c>
      <c r="W256" s="113">
        <v>80.595300000000009</v>
      </c>
      <c r="X256" s="126">
        <v>69.472200000000001</v>
      </c>
      <c r="Y256" s="126">
        <v>40.938099999999999</v>
      </c>
      <c r="Z256" s="104">
        <v>29.300500000000003</v>
      </c>
      <c r="AA256" s="104">
        <v>79.605148666688692</v>
      </c>
      <c r="AB256" s="104">
        <v>69.22338956360079</v>
      </c>
      <c r="AC256" s="104">
        <v>44.535264874093158</v>
      </c>
      <c r="AD256" s="104">
        <v>31.58215737982281</v>
      </c>
    </row>
    <row r="257" spans="1:30" ht="14.7" customHeight="1">
      <c r="A257" s="110" t="s">
        <v>244</v>
      </c>
      <c r="B257" s="190"/>
      <c r="C257">
        <v>83.03403361640116</v>
      </c>
      <c r="D257">
        <v>74.62652721465642</v>
      </c>
      <c r="E257">
        <v>55.640676185096304</v>
      </c>
      <c r="F257">
        <v>46.082601988189623</v>
      </c>
      <c r="G257">
        <v>86.70172910367026</v>
      </c>
      <c r="H257">
        <v>80.128560781715805</v>
      </c>
      <c r="I257" s="147">
        <v>58.927832063597222</v>
      </c>
      <c r="J257" s="112">
        <v>50.636386220602844</v>
      </c>
      <c r="K257" s="112">
        <v>84.277268292682933</v>
      </c>
      <c r="L257" s="126">
        <v>79.292796332548818</v>
      </c>
      <c r="M257" s="112">
        <v>62.121017179300907</v>
      </c>
      <c r="N257" s="126">
        <v>50.36213309158137</v>
      </c>
      <c r="O257" s="147">
        <v>75.554850596450052</v>
      </c>
      <c r="P257" s="147">
        <v>64.533714899385657</v>
      </c>
      <c r="Q257" s="147">
        <v>38.520619162215681</v>
      </c>
      <c r="R257" s="112">
        <v>27.38619333615846</v>
      </c>
      <c r="S257" s="112">
        <v>77.031999999999996</v>
      </c>
      <c r="T257" s="112">
        <v>68.029799999999994</v>
      </c>
      <c r="U257" s="146">
        <v>43.531700000000001</v>
      </c>
      <c r="V257" s="113">
        <v>33.775300000000001</v>
      </c>
      <c r="W257" s="113">
        <v>74.99130000000001</v>
      </c>
      <c r="X257" s="126">
        <v>66.491799999999998</v>
      </c>
      <c r="Y257" s="126">
        <v>40.131099999999996</v>
      </c>
      <c r="Z257" s="104">
        <v>29.532299999999999</v>
      </c>
      <c r="AA257" s="104">
        <v>77.832245065434194</v>
      </c>
      <c r="AB257" s="104">
        <v>69.348049760328607</v>
      </c>
      <c r="AC257" s="104">
        <v>45.089278097153027</v>
      </c>
      <c r="AD257" s="104">
        <v>28.933648940729757</v>
      </c>
    </row>
    <row r="258" spans="1:30" ht="14.7" customHeight="1">
      <c r="A258" s="110" t="s">
        <v>135</v>
      </c>
      <c r="B258" s="190"/>
      <c r="C258">
        <v>86.000737909826015</v>
      </c>
      <c r="D258">
        <v>76.185026928210249</v>
      </c>
      <c r="E258">
        <v>52.609311571196258</v>
      </c>
      <c r="F258">
        <v>40.563342317445112</v>
      </c>
      <c r="G258">
        <v>84.304640600075501</v>
      </c>
      <c r="H258">
        <v>77.93672109133189</v>
      </c>
      <c r="I258" s="147">
        <v>56.575176457101698</v>
      </c>
      <c r="J258" s="112">
        <v>45.262679527700904</v>
      </c>
      <c r="K258" s="112">
        <v>85.594808189672435</v>
      </c>
      <c r="L258" s="126">
        <v>81.492264878649351</v>
      </c>
      <c r="M258" s="112">
        <v>61.544900863450671</v>
      </c>
      <c r="N258" s="126">
        <v>49.618297232016886</v>
      </c>
      <c r="O258" s="147">
        <v>78.051607683850463</v>
      </c>
      <c r="P258" s="147">
        <v>68.933543054677259</v>
      </c>
      <c r="Q258" s="147">
        <v>42.472402867268158</v>
      </c>
      <c r="R258" s="112">
        <v>30.033077502020923</v>
      </c>
      <c r="S258" s="112">
        <v>74.3185</v>
      </c>
      <c r="T258" s="112">
        <v>62.948400000000007</v>
      </c>
      <c r="U258" s="146">
        <v>39.988399999999999</v>
      </c>
      <c r="V258" s="113">
        <v>33.530799999999999</v>
      </c>
      <c r="W258" s="113">
        <v>78.269100000000009</v>
      </c>
      <c r="X258" s="126">
        <v>68.606800000000007</v>
      </c>
      <c r="Y258" s="126">
        <v>39.200499999999998</v>
      </c>
      <c r="Z258" s="104">
        <v>32.284199999999998</v>
      </c>
      <c r="AA258" s="104">
        <v>79.19619175087098</v>
      </c>
      <c r="AB258" s="104">
        <v>72.697721906841082</v>
      </c>
      <c r="AC258" s="104">
        <v>49.103471858320852</v>
      </c>
      <c r="AD258" s="104">
        <v>35.810134675088406</v>
      </c>
    </row>
    <row r="259" spans="1:30" ht="14.7" customHeight="1">
      <c r="A259" s="110" t="s">
        <v>136</v>
      </c>
      <c r="B259" s="190"/>
      <c r="C259">
        <v>86.989282708480744</v>
      </c>
      <c r="D259">
        <v>78.210490427212747</v>
      </c>
      <c r="E259">
        <v>50.646254558889389</v>
      </c>
      <c r="F259">
        <v>40.578744789661734</v>
      </c>
      <c r="G259">
        <v>86.696223793964862</v>
      </c>
      <c r="H259">
        <v>79.32911932531249</v>
      </c>
      <c r="I259" s="147">
        <v>54.673407406167897</v>
      </c>
      <c r="J259" s="112">
        <v>45.627583206438977</v>
      </c>
      <c r="K259" s="112">
        <v>87.560445286119375</v>
      </c>
      <c r="L259" s="126">
        <v>82.572258163109368</v>
      </c>
      <c r="M259" s="112">
        <v>62.085680810962252</v>
      </c>
      <c r="N259" s="126">
        <v>48.175233049768224</v>
      </c>
      <c r="O259" s="147">
        <v>79.686655449955126</v>
      </c>
      <c r="P259" s="147">
        <v>69.518558829155552</v>
      </c>
      <c r="Q259" s="147">
        <v>40.287205681331841</v>
      </c>
      <c r="R259" s="112">
        <v>29.958111082776295</v>
      </c>
      <c r="S259" s="112">
        <v>81.461100000000002</v>
      </c>
      <c r="T259" s="112">
        <v>71.6828</v>
      </c>
      <c r="U259" s="146">
        <v>47.326099999999997</v>
      </c>
      <c r="V259" s="113">
        <v>33.886300000000006</v>
      </c>
      <c r="W259" s="113">
        <v>82.023200000000003</v>
      </c>
      <c r="X259" s="126">
        <v>73.813700000000011</v>
      </c>
      <c r="Y259" s="126">
        <v>43.067599999999999</v>
      </c>
      <c r="Z259" s="104">
        <v>33.949400000000004</v>
      </c>
      <c r="AA259" s="104">
        <v>81.11129786496501</v>
      </c>
      <c r="AB259" s="104">
        <v>71.915133887316344</v>
      </c>
      <c r="AC259" s="104">
        <v>43.333201199092528</v>
      </c>
      <c r="AD259" s="104">
        <v>30.51969107657489</v>
      </c>
    </row>
    <row r="260" spans="1:30" ht="14.7" customHeight="1">
      <c r="A260" s="110" t="s">
        <v>245</v>
      </c>
      <c r="B260" s="190"/>
      <c r="C260">
        <v>90.262656245649907</v>
      </c>
      <c r="D260">
        <v>83.201895868044346</v>
      </c>
      <c r="E260">
        <v>58.906155700770448</v>
      </c>
      <c r="F260">
        <v>45.22876504533626</v>
      </c>
      <c r="G260">
        <v>86.823519899743289</v>
      </c>
      <c r="H260">
        <v>78.238899153226299</v>
      </c>
      <c r="I260" s="147">
        <v>56.142284199702587</v>
      </c>
      <c r="J260" s="112">
        <v>46.703645592229506</v>
      </c>
      <c r="K260" s="112">
        <v>88.495464951711085</v>
      </c>
      <c r="L260" s="126">
        <v>80.736968694802528</v>
      </c>
      <c r="M260" s="112">
        <v>62.957833815626294</v>
      </c>
      <c r="N260" s="126">
        <v>53.798526814235792</v>
      </c>
      <c r="O260" s="147">
        <v>76.084555283025935</v>
      </c>
      <c r="P260" s="147">
        <v>68.609735459797847</v>
      </c>
      <c r="Q260" s="147">
        <v>42.527268244361977</v>
      </c>
      <c r="R260" s="112">
        <v>30.184916324957968</v>
      </c>
      <c r="S260" s="112">
        <v>77.050200000000004</v>
      </c>
      <c r="T260" s="112">
        <v>67.415999999999997</v>
      </c>
      <c r="U260" s="146">
        <v>42.503099999999996</v>
      </c>
      <c r="V260" s="113">
        <v>31.204799999999999</v>
      </c>
      <c r="W260" s="113">
        <v>77.539100000000005</v>
      </c>
      <c r="X260" s="126">
        <v>69.522899999999993</v>
      </c>
      <c r="Y260" s="126">
        <v>43.133600000000001</v>
      </c>
      <c r="Z260" s="104">
        <v>32.272600000000004</v>
      </c>
      <c r="AA260" s="104">
        <v>79.271283161898069</v>
      </c>
      <c r="AB260" s="104">
        <v>70.624191694466617</v>
      </c>
      <c r="AC260" s="104">
        <v>45.938420000355592</v>
      </c>
      <c r="AD260" s="104">
        <v>33.829282152297999</v>
      </c>
    </row>
    <row r="261" spans="1:30" ht="14.7" customHeight="1">
      <c r="A261" s="26" t="s">
        <v>325</v>
      </c>
      <c r="B261" s="190"/>
      <c r="C261">
        <v>87.632656720867715</v>
      </c>
      <c r="D261">
        <v>80.516683711159857</v>
      </c>
      <c r="E261">
        <v>59.056524399678388</v>
      </c>
      <c r="F261">
        <v>48.597346571815038</v>
      </c>
      <c r="G261">
        <v>87.845336266829506</v>
      </c>
      <c r="H261">
        <v>80.330202165010562</v>
      </c>
      <c r="I261" s="147">
        <v>59.2358495805112</v>
      </c>
      <c r="J261" s="112">
        <v>49.569198682811347</v>
      </c>
      <c r="K261" s="112">
        <v>87.234240406275561</v>
      </c>
      <c r="L261" s="126">
        <v>82.807740205000485</v>
      </c>
      <c r="M261" s="112">
        <v>62.87000670562314</v>
      </c>
      <c r="N261" s="126">
        <v>53.084011878532422</v>
      </c>
      <c r="O261" s="147">
        <v>77.886246938829856</v>
      </c>
      <c r="P261" s="147">
        <v>68.600172657738085</v>
      </c>
      <c r="Q261" s="147">
        <v>41.574725198474141</v>
      </c>
      <c r="R261" s="112">
        <v>31.383376557970855</v>
      </c>
      <c r="S261" s="112">
        <v>78.173599999999993</v>
      </c>
      <c r="T261" s="112">
        <v>69.876300000000001</v>
      </c>
      <c r="U261" s="146">
        <v>43.719000000000001</v>
      </c>
      <c r="V261" s="113">
        <v>32.935199999999995</v>
      </c>
      <c r="W261" s="113">
        <v>76.619399999999999</v>
      </c>
      <c r="X261" s="126">
        <v>67.771000000000001</v>
      </c>
      <c r="Y261" s="126">
        <v>43.885899999999999</v>
      </c>
      <c r="Z261" s="104">
        <v>35.148600000000002</v>
      </c>
      <c r="AA261" s="104">
        <v>79.580165806239037</v>
      </c>
      <c r="AB261" s="104">
        <v>70.521137300730089</v>
      </c>
      <c r="AC261" s="104">
        <v>40.467564501254635</v>
      </c>
      <c r="AD261" s="104">
        <v>31.330963783723952</v>
      </c>
    </row>
    <row r="262" spans="1:30" ht="14.7" customHeight="1">
      <c r="A262" s="110" t="s">
        <v>286</v>
      </c>
      <c r="B262" s="190"/>
      <c r="C262">
        <v>85.549190183254609</v>
      </c>
      <c r="D262">
        <v>75.100342058470531</v>
      </c>
      <c r="E262">
        <v>49.626375876026842</v>
      </c>
      <c r="F262">
        <v>39.866418931554392</v>
      </c>
      <c r="G262">
        <v>86.561643835616437</v>
      </c>
      <c r="H262">
        <v>76.901531144951292</v>
      </c>
      <c r="I262" s="147">
        <v>56.936626396046982</v>
      </c>
      <c r="J262" s="112">
        <v>43.023776824213222</v>
      </c>
      <c r="K262" s="112">
        <v>84.85076503666744</v>
      </c>
      <c r="L262" s="126">
        <v>75.803474275247069</v>
      </c>
      <c r="M262" s="112">
        <v>56.255660945101759</v>
      </c>
      <c r="N262" s="126">
        <v>47.96307290790719</v>
      </c>
      <c r="O262" s="147">
        <v>71.80881772193311</v>
      </c>
      <c r="P262" s="147">
        <v>63.633564383988073</v>
      </c>
      <c r="Q262" s="147">
        <v>37.634766871804516</v>
      </c>
      <c r="R262" s="112">
        <v>28.368905149617579</v>
      </c>
      <c r="S262" s="112">
        <v>68.305999999999997</v>
      </c>
      <c r="T262" s="112">
        <v>59.470999999999997</v>
      </c>
      <c r="U262" s="146">
        <v>30.1935</v>
      </c>
      <c r="V262" s="113">
        <v>20.253599999999999</v>
      </c>
      <c r="W262" s="113">
        <v>67.605000000000004</v>
      </c>
      <c r="X262" s="126">
        <v>62.341500000000003</v>
      </c>
      <c r="Y262" s="126">
        <v>37.3887</v>
      </c>
      <c r="Z262" s="104">
        <v>26.928100000000001</v>
      </c>
      <c r="AA262" s="104">
        <v>69.067911415132031</v>
      </c>
      <c r="AB262" s="104">
        <v>63.450117640838009</v>
      </c>
      <c r="AC262" s="104">
        <v>32.769731491034868</v>
      </c>
      <c r="AD262" s="104">
        <v>24.511803494207278</v>
      </c>
    </row>
    <row r="263" spans="1:30" ht="14.7" customHeight="1">
      <c r="A263" s="110" t="s">
        <v>246</v>
      </c>
      <c r="B263" s="190"/>
      <c r="C263">
        <v>86.366173065068992</v>
      </c>
      <c r="D263">
        <v>75.979000937865308</v>
      </c>
      <c r="E263">
        <v>44.82841655611697</v>
      </c>
      <c r="F263">
        <v>33.022725915130216</v>
      </c>
      <c r="G263">
        <v>88.014711534960128</v>
      </c>
      <c r="H263">
        <v>80.725369113249243</v>
      </c>
      <c r="I263" s="147">
        <v>53.463419819178959</v>
      </c>
      <c r="J263" s="112">
        <v>40.72540999523725</v>
      </c>
      <c r="K263" s="112">
        <v>86.077061033101558</v>
      </c>
      <c r="L263" s="126">
        <v>79.687205726962191</v>
      </c>
      <c r="M263" s="112">
        <v>59.059396813376132</v>
      </c>
      <c r="N263" s="126">
        <v>46.121791122891388</v>
      </c>
      <c r="O263" s="147">
        <v>73.563955049298016</v>
      </c>
      <c r="P263" s="147">
        <v>62.914495455027009</v>
      </c>
      <c r="Q263" s="147">
        <v>35.963429071787687</v>
      </c>
      <c r="R263" s="112">
        <v>25.052471491972916</v>
      </c>
      <c r="S263" s="112">
        <v>75.327500000000001</v>
      </c>
      <c r="T263" s="112">
        <v>64.665300000000002</v>
      </c>
      <c r="U263" s="146">
        <v>37.2316</v>
      </c>
      <c r="V263" s="113">
        <v>25.147199999999998</v>
      </c>
      <c r="W263" s="113">
        <v>73.8767</v>
      </c>
      <c r="X263" s="126">
        <v>66.208100000000002</v>
      </c>
      <c r="Y263" s="126">
        <v>37.936100000000003</v>
      </c>
      <c r="Z263" s="104">
        <v>27.647300000000001</v>
      </c>
      <c r="AA263" s="104">
        <v>82.248427455829088</v>
      </c>
      <c r="AB263" s="104">
        <v>70.496355187674212</v>
      </c>
      <c r="AC263" s="104">
        <v>43.953724302987993</v>
      </c>
      <c r="AD263" s="104">
        <v>31.761317092333908</v>
      </c>
    </row>
    <row r="264" spans="1:30" ht="14.7" customHeight="1">
      <c r="A264" s="26" t="s">
        <v>326</v>
      </c>
      <c r="B264" s="190"/>
      <c r="C264">
        <v>86.440716830089457</v>
      </c>
      <c r="D264">
        <v>78.113854818545974</v>
      </c>
      <c r="E264">
        <v>55.965197084668127</v>
      </c>
      <c r="F264">
        <v>45.179880573358538</v>
      </c>
      <c r="G264">
        <v>85.552649575582578</v>
      </c>
      <c r="H264">
        <v>78.142178686200097</v>
      </c>
      <c r="I264" s="147">
        <v>60.267408044945029</v>
      </c>
      <c r="J264" s="112">
        <v>49.622231441291376</v>
      </c>
      <c r="K264" s="112">
        <v>85.405413137790475</v>
      </c>
      <c r="L264" s="126">
        <v>80.399007393812838</v>
      </c>
      <c r="M264" s="112">
        <v>60.873793014310486</v>
      </c>
      <c r="N264" s="126">
        <v>50.742058888781962</v>
      </c>
      <c r="O264" s="147">
        <v>77.654849579129987</v>
      </c>
      <c r="P264" s="147">
        <v>68.608216115887416</v>
      </c>
      <c r="Q264" s="147">
        <v>42.31750552704127</v>
      </c>
      <c r="R264" s="112">
        <v>30.378423505639983</v>
      </c>
      <c r="S264" s="112">
        <v>79.619200000000006</v>
      </c>
      <c r="T264" s="112">
        <v>71.088200000000001</v>
      </c>
      <c r="U264" s="147">
        <v>44.102899999999998</v>
      </c>
      <c r="V264" s="149">
        <v>33.299700000000001</v>
      </c>
      <c r="W264" s="149">
        <v>78.432100000000005</v>
      </c>
      <c r="X264" s="126">
        <v>69.576000000000008</v>
      </c>
      <c r="Y264" s="126">
        <v>43.494999999999997</v>
      </c>
      <c r="Z264" s="104">
        <v>32.488</v>
      </c>
      <c r="AA264" s="104">
        <v>81.691457985113715</v>
      </c>
      <c r="AB264" s="104">
        <v>73.024878179266267</v>
      </c>
      <c r="AC264" s="104">
        <v>46.102919077247783</v>
      </c>
      <c r="AD264" s="104">
        <v>33.886620855148585</v>
      </c>
    </row>
    <row r="265" spans="1:30" ht="14.7" customHeight="1">
      <c r="A265" s="110" t="s">
        <v>909</v>
      </c>
      <c r="B265" s="190"/>
      <c r="C265" t="s">
        <v>911</v>
      </c>
      <c r="D265" t="s">
        <v>911</v>
      </c>
      <c r="E265" t="s">
        <v>911</v>
      </c>
      <c r="F265" t="s">
        <v>911</v>
      </c>
      <c r="G265" t="s">
        <v>911</v>
      </c>
      <c r="H265" t="s">
        <v>911</v>
      </c>
      <c r="I265" s="147" t="s">
        <v>911</v>
      </c>
      <c r="J265" s="112" t="s">
        <v>911</v>
      </c>
      <c r="K265" s="112" t="s">
        <v>911</v>
      </c>
      <c r="L265" s="126" t="s">
        <v>911</v>
      </c>
      <c r="M265" s="112" t="s">
        <v>911</v>
      </c>
      <c r="N265" s="126" t="s">
        <v>911</v>
      </c>
      <c r="O265" s="147" t="s">
        <v>911</v>
      </c>
      <c r="P265" s="147" t="s">
        <v>911</v>
      </c>
      <c r="Q265" s="147" t="s">
        <v>911</v>
      </c>
      <c r="R265" s="112" t="s">
        <v>911</v>
      </c>
      <c r="S265" s="112" t="s">
        <v>911</v>
      </c>
      <c r="T265" s="112" t="s">
        <v>911</v>
      </c>
      <c r="U265" s="147" t="s">
        <v>911</v>
      </c>
      <c r="V265" s="149" t="s">
        <v>911</v>
      </c>
      <c r="W265" s="149" t="s">
        <v>911</v>
      </c>
      <c r="X265" s="126" t="s">
        <v>911</v>
      </c>
      <c r="Y265" s="126" t="s">
        <v>911</v>
      </c>
      <c r="Z265" s="104" t="s">
        <v>911</v>
      </c>
      <c r="AA265" s="104">
        <v>81.265007706828655</v>
      </c>
      <c r="AB265" s="104">
        <v>72.526209027030092</v>
      </c>
      <c r="AC265" s="104">
        <v>45.80809415406236</v>
      </c>
      <c r="AD265" s="104">
        <v>34.900551284941812</v>
      </c>
    </row>
    <row r="266" spans="1:30" ht="14.7" customHeight="1">
      <c r="A266" s="26" t="s">
        <v>137</v>
      </c>
      <c r="B266" s="190"/>
      <c r="C266">
        <v>87.061645141213376</v>
      </c>
      <c r="D266">
        <v>74.690825888824136</v>
      </c>
      <c r="E266">
        <v>47.851564444323571</v>
      </c>
      <c r="F266">
        <v>36.729918248299235</v>
      </c>
      <c r="G266">
        <v>86.769667544437127</v>
      </c>
      <c r="H266">
        <v>80.990037424451316</v>
      </c>
      <c r="I266" s="147">
        <v>53.741097438342969</v>
      </c>
      <c r="J266" s="112">
        <v>42.720685043696413</v>
      </c>
      <c r="K266" s="112">
        <v>84.796667983775379</v>
      </c>
      <c r="L266" s="126">
        <v>79.683114347313193</v>
      </c>
      <c r="M266" s="112">
        <v>54.910100475938663</v>
      </c>
      <c r="N266" s="126">
        <v>42.794410771671487</v>
      </c>
      <c r="O266" s="147">
        <v>83.108231267245898</v>
      </c>
      <c r="P266" s="147">
        <v>70.251617196062625</v>
      </c>
      <c r="Q266" s="147">
        <v>39.651899329119658</v>
      </c>
      <c r="R266" s="112">
        <v>29.093481219825211</v>
      </c>
      <c r="S266" s="112">
        <v>81.950699999999998</v>
      </c>
      <c r="T266" s="112">
        <v>68.292699999999996</v>
      </c>
      <c r="U266" s="146">
        <v>37.6873</v>
      </c>
      <c r="V266" s="113">
        <v>26.9679</v>
      </c>
      <c r="W266" s="113">
        <v>76.488100000000003</v>
      </c>
      <c r="X266" s="126">
        <v>66.485300000000009</v>
      </c>
      <c r="Y266" s="126">
        <v>40.388500000000001</v>
      </c>
      <c r="Z266" s="104">
        <v>28.912100000000002</v>
      </c>
      <c r="AA266" s="104">
        <v>79.916617070522307</v>
      </c>
      <c r="AB266" s="104">
        <v>69.979394572916604</v>
      </c>
      <c r="AC266" s="104">
        <v>42.433695267113833</v>
      </c>
      <c r="AD266" s="104">
        <v>30.491507763481561</v>
      </c>
    </row>
    <row r="267" spans="1:30" ht="14.7" customHeight="1">
      <c r="A267" s="110" t="s">
        <v>138</v>
      </c>
      <c r="B267" s="190"/>
      <c r="C267">
        <v>88.561711562698946</v>
      </c>
      <c r="D267">
        <v>80.465559286732699</v>
      </c>
      <c r="E267">
        <v>55.581811523942214</v>
      </c>
      <c r="F267">
        <v>43.628338619902337</v>
      </c>
      <c r="G267">
        <v>90.802631954438169</v>
      </c>
      <c r="H267">
        <v>81.662362299960861</v>
      </c>
      <c r="I267" s="147">
        <v>60.536033451867389</v>
      </c>
      <c r="J267" s="112">
        <v>48.122267486532898</v>
      </c>
      <c r="K267" s="112">
        <v>89.51318682184592</v>
      </c>
      <c r="L267" s="126">
        <v>83.567639868086189</v>
      </c>
      <c r="M267" s="112">
        <v>60.365986740539455</v>
      </c>
      <c r="N267" s="126">
        <v>50.339095385219167</v>
      </c>
      <c r="O267" s="147">
        <v>79.395354159339178</v>
      </c>
      <c r="P267" s="147">
        <v>68.791632164004255</v>
      </c>
      <c r="Q267" s="147">
        <v>43.085400942040934</v>
      </c>
      <c r="R267" s="112">
        <v>28.393122446930292</v>
      </c>
      <c r="S267" s="112">
        <v>86.93419999999999</v>
      </c>
      <c r="T267" s="112">
        <v>78.195899999999995</v>
      </c>
      <c r="U267" s="146">
        <v>45.76</v>
      </c>
      <c r="V267" s="113">
        <v>30.0245</v>
      </c>
      <c r="W267" s="113">
        <v>78.013400000000004</v>
      </c>
      <c r="X267" s="126">
        <v>68.172200000000004</v>
      </c>
      <c r="Y267" s="126">
        <v>39.278999999999996</v>
      </c>
      <c r="Z267" s="104">
        <v>27.563700000000001</v>
      </c>
      <c r="AA267" s="104">
        <v>83.032002727096341</v>
      </c>
      <c r="AB267" s="104">
        <v>72.883294551432328</v>
      </c>
      <c r="AC267" s="104">
        <v>45.070639129955936</v>
      </c>
      <c r="AD267" s="104">
        <v>31.400794554451412</v>
      </c>
    </row>
    <row r="268" spans="1:30" ht="14.7" customHeight="1">
      <c r="A268" s="110" t="s">
        <v>139</v>
      </c>
      <c r="B268" s="190"/>
      <c r="C268">
        <v>87.367650312608163</v>
      </c>
      <c r="D268">
        <v>74.296108984787836</v>
      </c>
      <c r="E268">
        <v>49.822000021798061</v>
      </c>
      <c r="F268">
        <v>39.050932962102728</v>
      </c>
      <c r="G268">
        <v>88.026283865750102</v>
      </c>
      <c r="H268">
        <v>80.658901447925359</v>
      </c>
      <c r="I268" s="147">
        <v>57.099799543278749</v>
      </c>
      <c r="J268" s="112">
        <v>44.059238346529547</v>
      </c>
      <c r="K268" s="112">
        <v>88.235489227035131</v>
      </c>
      <c r="L268" s="126">
        <v>79.984837898128873</v>
      </c>
      <c r="M268" s="112">
        <v>58.358652987785206</v>
      </c>
      <c r="N268" s="126">
        <v>44.769569701132411</v>
      </c>
      <c r="O268" s="147">
        <v>76.442838590537448</v>
      </c>
      <c r="P268" s="147">
        <v>66.383648601069396</v>
      </c>
      <c r="Q268" s="147">
        <v>40.717787850047657</v>
      </c>
      <c r="R268" s="112">
        <v>30.929609703311179</v>
      </c>
      <c r="S268" s="112">
        <v>82.958600000000004</v>
      </c>
      <c r="T268" s="112">
        <v>70.456199999999995</v>
      </c>
      <c r="U268" s="146">
        <v>44.1387</v>
      </c>
      <c r="V268" s="113">
        <v>31.395299999999999</v>
      </c>
      <c r="W268" s="113">
        <v>77.151499999999999</v>
      </c>
      <c r="X268" s="126">
        <v>68.025899999999993</v>
      </c>
      <c r="Y268" s="126">
        <v>42.192900000000002</v>
      </c>
      <c r="Z268" s="104">
        <v>31.546700000000001</v>
      </c>
      <c r="AA268" s="104">
        <v>76.131408364441</v>
      </c>
      <c r="AB268" s="104">
        <v>66.673401430942008</v>
      </c>
      <c r="AC268" s="104">
        <v>42.023435495582127</v>
      </c>
      <c r="AD268" s="104">
        <v>31.88544650442925</v>
      </c>
    </row>
    <row r="269" spans="1:30" ht="14.7" customHeight="1">
      <c r="A269" s="110" t="s">
        <v>287</v>
      </c>
      <c r="B269" s="190"/>
      <c r="C269">
        <v>88.887035356903041</v>
      </c>
      <c r="D269">
        <v>78.661297918421582</v>
      </c>
      <c r="E269">
        <v>51.964322261246899</v>
      </c>
      <c r="F269">
        <v>40.78408962205777</v>
      </c>
      <c r="G269">
        <v>89.587627603603309</v>
      </c>
      <c r="H269">
        <v>82.051801601561451</v>
      </c>
      <c r="I269" s="147">
        <v>55.614252366882866</v>
      </c>
      <c r="J269" s="112">
        <v>46.752113602107293</v>
      </c>
      <c r="K269" s="112">
        <v>86.032197887861997</v>
      </c>
      <c r="L269" s="126">
        <v>80.826584129631698</v>
      </c>
      <c r="M269" s="112">
        <v>59.605012519552623</v>
      </c>
      <c r="N269" s="126">
        <v>47.301003717690456</v>
      </c>
      <c r="O269" s="147">
        <v>79.511024984259734</v>
      </c>
      <c r="P269" s="147">
        <v>67.735149296517264</v>
      </c>
      <c r="Q269" s="147">
        <v>40.70867300441266</v>
      </c>
      <c r="R269" s="112">
        <v>28.799797895757486</v>
      </c>
      <c r="S269" s="112">
        <v>81.5852</v>
      </c>
      <c r="T269" s="112">
        <v>73.570000000000007</v>
      </c>
      <c r="U269" s="147">
        <v>40.021000000000001</v>
      </c>
      <c r="V269" s="149">
        <v>28.83</v>
      </c>
      <c r="W269" s="149">
        <v>78.32480000000001</v>
      </c>
      <c r="X269" s="126">
        <v>70.150400000000005</v>
      </c>
      <c r="Y269" s="126">
        <v>42.211399999999998</v>
      </c>
      <c r="Z269" s="104">
        <v>29.421500000000002</v>
      </c>
      <c r="AA269" s="104">
        <v>82.128644560485213</v>
      </c>
      <c r="AB269" s="104">
        <v>73.043761707934138</v>
      </c>
      <c r="AC269" s="104">
        <v>42.723173675746331</v>
      </c>
      <c r="AD269" s="104">
        <v>30.514222765000259</v>
      </c>
    </row>
    <row r="270" spans="1:30" ht="14.7" customHeight="1">
      <c r="A270" s="26" t="s">
        <v>140</v>
      </c>
      <c r="B270" s="190"/>
      <c r="C270">
        <v>86.067998755214262</v>
      </c>
      <c r="D270">
        <v>79.001775496520551</v>
      </c>
      <c r="E270">
        <v>55.908582551839601</v>
      </c>
      <c r="F270">
        <v>44.292916959991999</v>
      </c>
      <c r="G270">
        <v>87.557648527948004</v>
      </c>
      <c r="H270">
        <v>82.906927464701624</v>
      </c>
      <c r="I270" s="147">
        <v>63.082653861986039</v>
      </c>
      <c r="J270" s="112">
        <v>50.484738002202157</v>
      </c>
      <c r="K270" s="112">
        <v>86.612469872377417</v>
      </c>
      <c r="L270" s="126">
        <v>82.057043525627918</v>
      </c>
      <c r="M270" s="112">
        <v>65.941907084980514</v>
      </c>
      <c r="N270" s="126">
        <v>54.618314648594747</v>
      </c>
      <c r="O270" s="147">
        <v>80.012950160650746</v>
      </c>
      <c r="P270" s="147">
        <v>68.25507956271764</v>
      </c>
      <c r="Q270" s="147">
        <v>41.221434952751999</v>
      </c>
      <c r="R270" s="112">
        <v>27.288919310376258</v>
      </c>
      <c r="S270" s="112">
        <v>84.2166</v>
      </c>
      <c r="T270" s="112">
        <v>74.015200000000007</v>
      </c>
      <c r="U270" s="146">
        <v>48.281800000000004</v>
      </c>
      <c r="V270" s="113">
        <v>37.686500000000002</v>
      </c>
      <c r="W270" s="113">
        <v>82.266499999999994</v>
      </c>
      <c r="X270" s="126">
        <v>74.097400000000007</v>
      </c>
      <c r="Y270" s="126">
        <v>49.859200000000001</v>
      </c>
      <c r="Z270" s="104">
        <v>36.262999999999998</v>
      </c>
      <c r="AA270" s="104">
        <v>87.125749547120805</v>
      </c>
      <c r="AB270" s="104">
        <v>75.193532339864959</v>
      </c>
      <c r="AC270" s="104">
        <v>43.24766441387716</v>
      </c>
      <c r="AD270" s="104">
        <v>31.337846245799529</v>
      </c>
    </row>
    <row r="271" spans="1:30" ht="14.7" customHeight="1">
      <c r="A271" s="26" t="s">
        <v>141</v>
      </c>
      <c r="B271" s="190"/>
      <c r="C271">
        <v>77.325607858696074</v>
      </c>
      <c r="D271">
        <v>68.022913941930554</v>
      </c>
      <c r="E271">
        <v>45.603386147583336</v>
      </c>
      <c r="F271">
        <v>34.932995747890992</v>
      </c>
      <c r="G271">
        <v>82.998353086849392</v>
      </c>
      <c r="H271">
        <v>76.252058480323697</v>
      </c>
      <c r="I271" s="147">
        <v>50.978124224545084</v>
      </c>
      <c r="J271" s="112">
        <v>37.537042391877229</v>
      </c>
      <c r="K271" s="112">
        <v>79.95287162887675</v>
      </c>
      <c r="L271" s="126">
        <v>75.525513977222317</v>
      </c>
      <c r="M271" s="112">
        <v>54.351723117881967</v>
      </c>
      <c r="N271" s="126">
        <v>41.608440565991216</v>
      </c>
      <c r="O271" s="147">
        <v>68.713223574981114</v>
      </c>
      <c r="P271" s="147">
        <v>58.944122934600671</v>
      </c>
      <c r="Q271" s="147">
        <v>34.896876290166631</v>
      </c>
      <c r="R271" s="112">
        <v>26.438000093998902</v>
      </c>
      <c r="S271" s="112">
        <v>69.010899999999992</v>
      </c>
      <c r="T271" s="112">
        <v>61.122100000000003</v>
      </c>
      <c r="U271" s="147">
        <v>37.2425</v>
      </c>
      <c r="V271" s="149">
        <v>27.522099999999998</v>
      </c>
      <c r="W271" s="149">
        <v>69.159000000000006</v>
      </c>
      <c r="X271" s="126">
        <v>60.3444</v>
      </c>
      <c r="Y271" s="126">
        <v>37.496499999999997</v>
      </c>
      <c r="Z271" s="104">
        <v>27.889500000000002</v>
      </c>
      <c r="AA271" s="104">
        <v>71.690616979243487</v>
      </c>
      <c r="AB271" s="104">
        <v>59.150799652430507</v>
      </c>
      <c r="AC271" s="104">
        <v>35.934612092428033</v>
      </c>
      <c r="AD271" s="104">
        <v>28.132325649343048</v>
      </c>
    </row>
    <row r="272" spans="1:30" ht="14.7" customHeight="1">
      <c r="A272" s="110" t="s">
        <v>142</v>
      </c>
      <c r="B272" s="190"/>
      <c r="C272">
        <v>87.856539187782957</v>
      </c>
      <c r="D272">
        <v>80.241693608560922</v>
      </c>
      <c r="E272">
        <v>58.770445737204838</v>
      </c>
      <c r="F272">
        <v>45.850736783934572</v>
      </c>
      <c r="G272">
        <v>87.010378443789094</v>
      </c>
      <c r="H272">
        <v>79.40323516143583</v>
      </c>
      <c r="I272" s="147">
        <v>57.276202791111515</v>
      </c>
      <c r="J272" s="112">
        <v>43.970296885621799</v>
      </c>
      <c r="K272" s="112">
        <v>89.513640205795781</v>
      </c>
      <c r="L272" s="126">
        <v>79.95410119880421</v>
      </c>
      <c r="M272" s="112">
        <v>62.436662674007778</v>
      </c>
      <c r="N272" s="126">
        <v>48.572808986502132</v>
      </c>
      <c r="O272" s="147">
        <v>73.20662758382737</v>
      </c>
      <c r="P272" s="147">
        <v>63.656081936659618</v>
      </c>
      <c r="Q272" s="147">
        <v>38.411441560330644</v>
      </c>
      <c r="R272" s="112">
        <v>27.386668363497176</v>
      </c>
      <c r="S272" s="112">
        <v>82.359300000000005</v>
      </c>
      <c r="T272" s="112">
        <v>71.887500000000003</v>
      </c>
      <c r="U272" s="146">
        <v>42.444299999999998</v>
      </c>
      <c r="V272" s="113">
        <v>30.679400000000001</v>
      </c>
      <c r="W272" s="113">
        <v>81.437899999999999</v>
      </c>
      <c r="X272" s="126">
        <v>74.897000000000006</v>
      </c>
      <c r="Y272" s="126">
        <v>45.9512</v>
      </c>
      <c r="Z272" s="104">
        <v>35.250999999999998</v>
      </c>
      <c r="AA272" s="104">
        <v>75.281586388392768</v>
      </c>
      <c r="AB272" s="104">
        <v>65.850802504061107</v>
      </c>
      <c r="AC272" s="104">
        <v>39.171954424051954</v>
      </c>
      <c r="AD272" s="104">
        <v>29.222606495076608</v>
      </c>
    </row>
    <row r="273" spans="1:30" ht="14.7" customHeight="1">
      <c r="A273" s="110" t="s">
        <v>143</v>
      </c>
      <c r="B273" s="190"/>
      <c r="C273">
        <v>88.014945548820322</v>
      </c>
      <c r="D273">
        <v>83.629755414760481</v>
      </c>
      <c r="E273">
        <v>60.392660884504643</v>
      </c>
      <c r="F273">
        <v>51.379373893676764</v>
      </c>
      <c r="G273">
        <v>89.391320263564623</v>
      </c>
      <c r="H273">
        <v>85.119233231031828</v>
      </c>
      <c r="I273" s="147">
        <v>64.472518094237742</v>
      </c>
      <c r="J273" s="112">
        <v>53.380873447013833</v>
      </c>
      <c r="K273" s="112">
        <v>90.072975140336808</v>
      </c>
      <c r="L273" s="126">
        <v>84.126080694582143</v>
      </c>
      <c r="M273" s="112">
        <v>67.567942488076142</v>
      </c>
      <c r="N273" s="126">
        <v>54.430490785280924</v>
      </c>
      <c r="O273" s="147">
        <v>78.389495708062313</v>
      </c>
      <c r="P273" s="147">
        <v>73.114056135387798</v>
      </c>
      <c r="Q273" s="147">
        <v>46.900452963226265</v>
      </c>
      <c r="R273" s="112">
        <v>33.947650721712989</v>
      </c>
      <c r="S273" s="112">
        <v>80.997200000000007</v>
      </c>
      <c r="T273" s="112">
        <v>72.139799999999994</v>
      </c>
      <c r="U273" s="146">
        <v>47.551000000000002</v>
      </c>
      <c r="V273" s="113">
        <v>33.852499999999999</v>
      </c>
      <c r="W273" s="113">
        <v>82.358100000000007</v>
      </c>
      <c r="X273" s="126">
        <v>72.998900000000006</v>
      </c>
      <c r="Y273" s="126">
        <v>41.522599999999997</v>
      </c>
      <c r="Z273" s="104">
        <v>31.796200000000002</v>
      </c>
      <c r="AA273" s="104">
        <v>84.820275705397847</v>
      </c>
      <c r="AB273" s="104">
        <v>76.481255788532422</v>
      </c>
      <c r="AC273" s="104">
        <v>44.442742632344753</v>
      </c>
      <c r="AD273" s="104">
        <v>30.657420221067444</v>
      </c>
    </row>
    <row r="274" spans="1:30" ht="14.7" customHeight="1">
      <c r="A274" s="110" t="s">
        <v>144</v>
      </c>
      <c r="B274" s="190"/>
      <c r="C274">
        <v>89.278459110745189</v>
      </c>
      <c r="D274">
        <v>80.508665980503224</v>
      </c>
      <c r="E274">
        <v>57.271601073057411</v>
      </c>
      <c r="F274">
        <v>44.056008459007465</v>
      </c>
      <c r="G274">
        <v>87.122305049327892</v>
      </c>
      <c r="H274">
        <v>77.290488825801859</v>
      </c>
      <c r="I274" s="147">
        <v>51.850940794089894</v>
      </c>
      <c r="J274" s="112">
        <v>41.271745529917489</v>
      </c>
      <c r="K274" s="112">
        <v>85.818764090089488</v>
      </c>
      <c r="L274" s="126">
        <v>79.345934965033564</v>
      </c>
      <c r="M274" s="112">
        <v>63.205845516486448</v>
      </c>
      <c r="N274" s="126">
        <v>52.01159355443118</v>
      </c>
      <c r="O274" s="147">
        <v>77.0620835426936</v>
      </c>
      <c r="P274" s="147">
        <v>64.31643280693126</v>
      </c>
      <c r="Q274" s="147">
        <v>39.806176839197946</v>
      </c>
      <c r="R274" s="112">
        <v>31.712196193061796</v>
      </c>
      <c r="S274" s="112">
        <v>82.958500000000001</v>
      </c>
      <c r="T274" s="112">
        <v>73.633400000000009</v>
      </c>
      <c r="U274" s="146">
        <v>44.619700000000002</v>
      </c>
      <c r="V274" s="113">
        <v>32.2864</v>
      </c>
      <c r="W274" s="113">
        <v>84.385600000000011</v>
      </c>
      <c r="X274" s="126">
        <v>76.3733</v>
      </c>
      <c r="Y274" s="126">
        <v>45.991900000000001</v>
      </c>
      <c r="Z274" s="104">
        <v>34.285800000000002</v>
      </c>
      <c r="AA274" s="104">
        <v>81.740853917601498</v>
      </c>
      <c r="AB274" s="104">
        <v>71.474927675786958</v>
      </c>
      <c r="AC274" s="104">
        <v>44.460573290118667</v>
      </c>
      <c r="AD274" s="104">
        <v>32.417806338364194</v>
      </c>
    </row>
    <row r="275" spans="1:30" ht="14.7" customHeight="1">
      <c r="A275" s="110" t="s">
        <v>145</v>
      </c>
      <c r="B275" s="190"/>
      <c r="C275">
        <v>88.472399897837334</v>
      </c>
      <c r="D275">
        <v>78.811528415932472</v>
      </c>
      <c r="E275">
        <v>53.153318459888951</v>
      </c>
      <c r="F275">
        <v>41.537268429738482</v>
      </c>
      <c r="G275">
        <v>88.458969923598957</v>
      </c>
      <c r="H275">
        <v>79.064439616263371</v>
      </c>
      <c r="I275" s="147">
        <v>61.796498392796742</v>
      </c>
      <c r="J275" s="112">
        <v>50.725991039504613</v>
      </c>
      <c r="K275" s="112">
        <v>89.448257671461349</v>
      </c>
      <c r="L275" s="126">
        <v>81.900874260735407</v>
      </c>
      <c r="M275" s="112">
        <v>60.400528734893285</v>
      </c>
      <c r="N275" s="126">
        <v>47.529088454615589</v>
      </c>
      <c r="O275" s="147">
        <v>77.405781039301488</v>
      </c>
      <c r="P275" s="147">
        <v>68.93964340184894</v>
      </c>
      <c r="Q275" s="147">
        <v>42.638915541952791</v>
      </c>
      <c r="R275" s="112">
        <v>29.898863451333131</v>
      </c>
      <c r="S275" s="112">
        <v>78.065899999999999</v>
      </c>
      <c r="T275" s="112">
        <v>66.019499999999994</v>
      </c>
      <c r="U275" s="146">
        <v>42.101199999999999</v>
      </c>
      <c r="V275" s="113">
        <v>31.383299999999998</v>
      </c>
      <c r="W275" s="113">
        <v>79.391400000000004</v>
      </c>
      <c r="X275" s="126">
        <v>68.834499999999991</v>
      </c>
      <c r="Y275" s="126">
        <v>39.575200000000002</v>
      </c>
      <c r="Z275" s="104">
        <v>29.943100000000001</v>
      </c>
      <c r="AA275" s="104">
        <v>83.476919786746151</v>
      </c>
      <c r="AB275" s="104">
        <v>75.027177106745498</v>
      </c>
      <c r="AC275" s="104">
        <v>41.107908087453779</v>
      </c>
      <c r="AD275" s="104">
        <v>32.742355667815758</v>
      </c>
    </row>
    <row r="276" spans="1:30" ht="14.7" customHeight="1">
      <c r="A276" s="110" t="s">
        <v>146</v>
      </c>
      <c r="B276" s="190"/>
      <c r="C276">
        <v>90.286487833110158</v>
      </c>
      <c r="D276">
        <v>80.175171795210616</v>
      </c>
      <c r="E276">
        <v>57.042273237771354</v>
      </c>
      <c r="F276">
        <v>45.288338371826086</v>
      </c>
      <c r="G276">
        <v>90.037677986462157</v>
      </c>
      <c r="H276">
        <v>83.821150473010803</v>
      </c>
      <c r="I276" s="147">
        <v>58.691973794850291</v>
      </c>
      <c r="J276" s="112">
        <v>49.911678480745913</v>
      </c>
      <c r="K276" s="112">
        <v>88.832980573280977</v>
      </c>
      <c r="L276" s="126">
        <v>83.976293618308944</v>
      </c>
      <c r="M276" s="112">
        <v>61.793865167465647</v>
      </c>
      <c r="N276" s="126">
        <v>53.186465782223003</v>
      </c>
      <c r="O276" s="147">
        <v>79.404347554162058</v>
      </c>
      <c r="P276" s="147">
        <v>64.933288553543463</v>
      </c>
      <c r="Q276" s="147">
        <v>40.078982852011826</v>
      </c>
      <c r="R276" s="112">
        <v>26.725450285525948</v>
      </c>
      <c r="S276" s="112">
        <v>79.719499999999996</v>
      </c>
      <c r="T276" s="112">
        <v>71.602100000000007</v>
      </c>
      <c r="U276" s="146">
        <v>44.7941</v>
      </c>
      <c r="V276" s="113">
        <v>30.6159</v>
      </c>
      <c r="W276" s="113">
        <v>84.775900000000007</v>
      </c>
      <c r="X276" s="126">
        <v>74.850499999999997</v>
      </c>
      <c r="Y276" s="126">
        <v>47.568100000000001</v>
      </c>
      <c r="Z276" s="104">
        <v>33.712900000000005</v>
      </c>
      <c r="AA276" s="104">
        <v>86.042324820859747</v>
      </c>
      <c r="AB276" s="104">
        <v>76.118560897279352</v>
      </c>
      <c r="AC276" s="104">
        <v>46.844874024184534</v>
      </c>
      <c r="AD276" s="104">
        <v>34.899466858105292</v>
      </c>
    </row>
    <row r="277" spans="1:30" ht="14.7" customHeight="1">
      <c r="A277" s="110" t="s">
        <v>147</v>
      </c>
      <c r="B277" s="190"/>
      <c r="C277">
        <v>88.34918375712158</v>
      </c>
      <c r="D277">
        <v>77.434762285405938</v>
      </c>
      <c r="E277">
        <v>49.728552323299965</v>
      </c>
      <c r="F277">
        <v>41.250342791191848</v>
      </c>
      <c r="G277">
        <v>79.90454189267578</v>
      </c>
      <c r="H277">
        <v>73.74649980702749</v>
      </c>
      <c r="I277" s="147">
        <v>54.703397137437491</v>
      </c>
      <c r="J277" s="112">
        <v>42.628244607034055</v>
      </c>
      <c r="K277" s="112">
        <v>86.884684092041596</v>
      </c>
      <c r="L277" s="126">
        <v>78.932607769009209</v>
      </c>
      <c r="M277" s="112">
        <v>60.15305370424224</v>
      </c>
      <c r="N277" s="126">
        <v>47.179342131995874</v>
      </c>
      <c r="O277" s="147">
        <v>76.642651734822991</v>
      </c>
      <c r="P277" s="147">
        <v>69.953822364327294</v>
      </c>
      <c r="Q277" s="147">
        <v>45.884278613977742</v>
      </c>
      <c r="R277" s="112">
        <v>30.231872395957353</v>
      </c>
      <c r="S277" s="112">
        <v>79.027799999999999</v>
      </c>
      <c r="T277" s="112">
        <v>68.307400000000001</v>
      </c>
      <c r="U277" s="146">
        <v>41.215299999999999</v>
      </c>
      <c r="V277" s="113">
        <v>31.086599999999997</v>
      </c>
      <c r="W277" s="113">
        <v>77.889399999999995</v>
      </c>
      <c r="X277" s="126">
        <v>67.100400000000008</v>
      </c>
      <c r="Y277" s="126">
        <v>37.570700000000002</v>
      </c>
      <c r="Z277" s="104">
        <v>26.858900000000002</v>
      </c>
      <c r="AA277" s="104">
        <v>81.405018315126512</v>
      </c>
      <c r="AB277" s="104">
        <v>69.630671442290364</v>
      </c>
      <c r="AC277" s="104">
        <v>38.938151133899851</v>
      </c>
      <c r="AD277" s="104">
        <v>31.875740250455891</v>
      </c>
    </row>
    <row r="278" spans="1:30" ht="14.7" customHeight="1">
      <c r="A278" s="26" t="s">
        <v>148</v>
      </c>
      <c r="B278" s="190"/>
      <c r="C278">
        <v>86.582758728332834</v>
      </c>
      <c r="D278">
        <v>78.520576153965152</v>
      </c>
      <c r="E278">
        <v>57.17546807522762</v>
      </c>
      <c r="F278">
        <v>45.072762274689374</v>
      </c>
      <c r="G278">
        <v>87.821435751433171</v>
      </c>
      <c r="H278">
        <v>80.577037107682358</v>
      </c>
      <c r="I278" s="147">
        <v>61.664310030974903</v>
      </c>
      <c r="J278" s="112">
        <v>52.883941566492375</v>
      </c>
      <c r="K278" s="112">
        <v>87.257221671814605</v>
      </c>
      <c r="L278" s="126">
        <v>82.66423932917219</v>
      </c>
      <c r="M278" s="112">
        <v>63.949506651535216</v>
      </c>
      <c r="N278" s="126">
        <v>52.081363091860531</v>
      </c>
      <c r="O278" s="147">
        <v>78.758165611890689</v>
      </c>
      <c r="P278" s="147">
        <v>69.669623718966918</v>
      </c>
      <c r="Q278" s="147">
        <v>41.096823372166519</v>
      </c>
      <c r="R278" s="112">
        <v>28.293927791107553</v>
      </c>
      <c r="S278" s="112">
        <v>77.66</v>
      </c>
      <c r="T278" s="112">
        <v>70.122100000000003</v>
      </c>
      <c r="U278" s="146">
        <v>39.805800000000005</v>
      </c>
      <c r="V278" s="113">
        <v>30.019500000000001</v>
      </c>
      <c r="W278" s="113">
        <v>79.959499999999991</v>
      </c>
      <c r="X278" s="126">
        <v>71.978200000000001</v>
      </c>
      <c r="Y278" s="126">
        <v>46.213700000000003</v>
      </c>
      <c r="Z278" s="104">
        <v>34.752200000000002</v>
      </c>
      <c r="AA278" s="104">
        <v>81.794245862792948</v>
      </c>
      <c r="AB278" s="104">
        <v>74.204451393314585</v>
      </c>
      <c r="AC278" s="104">
        <v>47.480221409682514</v>
      </c>
      <c r="AD278" s="104">
        <v>34.255973501541078</v>
      </c>
    </row>
    <row r="279" spans="1:30" ht="14.7" customHeight="1">
      <c r="A279" s="110" t="s">
        <v>149</v>
      </c>
      <c r="B279" s="190"/>
      <c r="C279">
        <v>83.457908474584698</v>
      </c>
      <c r="D279">
        <v>72.937210405267251</v>
      </c>
      <c r="E279">
        <v>51.553291178095719</v>
      </c>
      <c r="F279">
        <v>41.821503248682859</v>
      </c>
      <c r="G279">
        <v>83.879064273762253</v>
      </c>
      <c r="H279">
        <v>77.81617427508921</v>
      </c>
      <c r="I279" s="147">
        <v>50.574729443895748</v>
      </c>
      <c r="J279" s="112">
        <v>40.787311477258257</v>
      </c>
      <c r="K279" s="112">
        <v>84.911795375444342</v>
      </c>
      <c r="L279" s="126">
        <v>77.328140275383873</v>
      </c>
      <c r="M279" s="112">
        <v>53.982740411230502</v>
      </c>
      <c r="N279" s="126">
        <v>39.61126663237782</v>
      </c>
      <c r="O279" s="147">
        <v>76.53166740566158</v>
      </c>
      <c r="P279" s="147">
        <v>65.648676378473596</v>
      </c>
      <c r="Q279" s="147">
        <v>35.759995297603062</v>
      </c>
      <c r="R279" s="112">
        <v>22.536707586029252</v>
      </c>
      <c r="S279" s="112">
        <v>78.629800000000003</v>
      </c>
      <c r="T279" s="112">
        <v>67.368200000000002</v>
      </c>
      <c r="U279" s="146">
        <v>38.588899999999995</v>
      </c>
      <c r="V279" s="113">
        <v>26.2258</v>
      </c>
      <c r="W279" s="113">
        <v>77.752899999999997</v>
      </c>
      <c r="X279" s="126">
        <v>66.746000000000009</v>
      </c>
      <c r="Y279" s="126">
        <v>37.3996</v>
      </c>
      <c r="Z279" s="104">
        <v>26.598600000000001</v>
      </c>
      <c r="AA279" s="104">
        <v>77.648096291680531</v>
      </c>
      <c r="AB279" s="104">
        <v>66.074752709883796</v>
      </c>
      <c r="AC279" s="104">
        <v>37.130878083826133</v>
      </c>
      <c r="AD279" s="104">
        <v>26.787369111854403</v>
      </c>
    </row>
    <row r="280" spans="1:30" ht="14.7" customHeight="1">
      <c r="A280" s="110" t="s">
        <v>247</v>
      </c>
      <c r="B280" s="190"/>
      <c r="C280">
        <v>82.124546258260509</v>
      </c>
      <c r="D280">
        <v>75.995799635903509</v>
      </c>
      <c r="E280">
        <v>55.270016525668616</v>
      </c>
      <c r="F280">
        <v>46.040274211035253</v>
      </c>
      <c r="G280">
        <v>84.699662307788174</v>
      </c>
      <c r="H280">
        <v>80.848600422257022</v>
      </c>
      <c r="I280" s="147">
        <v>57.969740309861528</v>
      </c>
      <c r="J280" s="112">
        <v>47.667989573594689</v>
      </c>
      <c r="K280" s="112">
        <v>83.62269467954718</v>
      </c>
      <c r="L280" s="126">
        <v>79.595076257537087</v>
      </c>
      <c r="M280" s="112">
        <v>63.441541702765193</v>
      </c>
      <c r="N280" s="126">
        <v>53.684763416539226</v>
      </c>
      <c r="O280" s="147">
        <v>71.733531709951507</v>
      </c>
      <c r="P280" s="147">
        <v>65.679802723859723</v>
      </c>
      <c r="Q280" s="147">
        <v>41.500967165989422</v>
      </c>
      <c r="R280" s="112">
        <v>31.044342764344034</v>
      </c>
      <c r="S280" s="112">
        <v>71.840699999999998</v>
      </c>
      <c r="T280" s="112">
        <v>64.080399999999997</v>
      </c>
      <c r="U280" s="147">
        <v>38.391599999999997</v>
      </c>
      <c r="V280" s="149">
        <v>28.793600000000001</v>
      </c>
      <c r="W280" s="149">
        <v>76.810500000000005</v>
      </c>
      <c r="X280" s="126">
        <v>68.150599999999997</v>
      </c>
      <c r="Y280" s="126">
        <v>37.447000000000003</v>
      </c>
      <c r="Z280" s="104">
        <v>26.7227</v>
      </c>
      <c r="AA280" s="104">
        <v>78.987263305897642</v>
      </c>
      <c r="AB280" s="104">
        <v>70.138734206413389</v>
      </c>
      <c r="AC280" s="104">
        <v>42.774694491735033</v>
      </c>
      <c r="AD280" s="104">
        <v>34.637619650435731</v>
      </c>
    </row>
    <row r="281" spans="1:30" ht="14.7" customHeight="1">
      <c r="A281" s="26" t="s">
        <v>288</v>
      </c>
      <c r="B281" s="190"/>
      <c r="C281">
        <v>87.650770340285334</v>
      </c>
      <c r="D281">
        <v>75.755154970927521</v>
      </c>
      <c r="E281">
        <v>51.740910061436487</v>
      </c>
      <c r="F281">
        <v>40.13178032025823</v>
      </c>
      <c r="G281">
        <v>89.19967863794426</v>
      </c>
      <c r="H281">
        <v>82.279075849331079</v>
      </c>
      <c r="I281" s="147">
        <v>58.304116507710788</v>
      </c>
      <c r="J281" s="112">
        <v>47.239112135402614</v>
      </c>
      <c r="K281" s="112">
        <v>83.990209467312056</v>
      </c>
      <c r="L281" s="126">
        <v>79.040945063418945</v>
      </c>
      <c r="M281" s="112">
        <v>60.512121344616645</v>
      </c>
      <c r="N281" s="126">
        <v>53.113311418588836</v>
      </c>
      <c r="O281" s="147">
        <v>78.002375427779825</v>
      </c>
      <c r="P281" s="147">
        <v>71.87749139061772</v>
      </c>
      <c r="Q281" s="147">
        <v>47.223957199039745</v>
      </c>
      <c r="R281" s="112">
        <v>37.622434331607529</v>
      </c>
      <c r="S281" s="112">
        <v>80.246499999999997</v>
      </c>
      <c r="T281" s="112">
        <v>71.021799999999999</v>
      </c>
      <c r="U281" s="146">
        <v>44.237000000000002</v>
      </c>
      <c r="V281" s="113">
        <v>35.630400000000002</v>
      </c>
      <c r="W281" s="113">
        <v>80.517600000000002</v>
      </c>
      <c r="X281" s="126">
        <v>71.858999999999995</v>
      </c>
      <c r="Y281" s="126">
        <v>47.255299999999998</v>
      </c>
      <c r="Z281" s="104">
        <v>36.131900000000002</v>
      </c>
      <c r="AA281" s="104">
        <v>82.561023589974923</v>
      </c>
      <c r="AB281" s="104">
        <v>74.080305604964352</v>
      </c>
      <c r="AC281" s="104">
        <v>48.50198814806987</v>
      </c>
      <c r="AD281" s="104">
        <v>33.694369583384535</v>
      </c>
    </row>
    <row r="282" spans="1:30" ht="14.7" customHeight="1">
      <c r="A282" s="110" t="s">
        <v>289</v>
      </c>
      <c r="B282" s="190"/>
      <c r="C282">
        <v>85.085284869773218</v>
      </c>
      <c r="D282">
        <v>76.26071845627321</v>
      </c>
      <c r="E282">
        <v>53.09412564605158</v>
      </c>
      <c r="F282">
        <v>45.172301505427725</v>
      </c>
      <c r="G282">
        <v>86.990847452782617</v>
      </c>
      <c r="H282">
        <v>75.989276716159807</v>
      </c>
      <c r="I282" s="147">
        <v>56.432108622893715</v>
      </c>
      <c r="J282" s="112">
        <v>47.163832084627892</v>
      </c>
      <c r="K282" s="112">
        <v>85.238992861239481</v>
      </c>
      <c r="L282" s="126">
        <v>78.076639424149306</v>
      </c>
      <c r="M282" s="112">
        <v>58.568130072805232</v>
      </c>
      <c r="N282" s="126">
        <v>48.990312059787513</v>
      </c>
      <c r="O282" s="147">
        <v>81.342469885261224</v>
      </c>
      <c r="P282" s="147">
        <v>74.131760982911914</v>
      </c>
      <c r="Q282" s="147">
        <v>45.962484835346892</v>
      </c>
      <c r="R282" s="112">
        <v>35.189140590330567</v>
      </c>
      <c r="S282" s="112">
        <v>78.884500000000003</v>
      </c>
      <c r="T282" s="112">
        <v>70.805399999999992</v>
      </c>
      <c r="U282" s="146">
        <v>44.488</v>
      </c>
      <c r="V282" s="113">
        <v>32.174999999999997</v>
      </c>
      <c r="W282" s="113">
        <v>78.7774</v>
      </c>
      <c r="X282" s="126">
        <v>69.780200000000008</v>
      </c>
      <c r="Y282" s="126">
        <v>45.2348</v>
      </c>
      <c r="Z282" s="104">
        <v>34.569499999999998</v>
      </c>
      <c r="AA282" s="104">
        <v>75.626254570275606</v>
      </c>
      <c r="AB282" s="104">
        <v>67.423972604605069</v>
      </c>
      <c r="AC282" s="104">
        <v>45.99230699035936</v>
      </c>
      <c r="AD282" s="104">
        <v>32.047112182418459</v>
      </c>
    </row>
    <row r="283" spans="1:30" ht="14.7" customHeight="1">
      <c r="A283" s="110" t="s">
        <v>217</v>
      </c>
      <c r="B283" s="190"/>
      <c r="C283">
        <v>91.693502226595456</v>
      </c>
      <c r="D283">
        <v>85.463219889929093</v>
      </c>
      <c r="E283">
        <v>69.142870142640817</v>
      </c>
      <c r="F283">
        <v>59.659827979336214</v>
      </c>
      <c r="G283">
        <v>92.40417906821358</v>
      </c>
      <c r="H283">
        <v>85.775021746526136</v>
      </c>
      <c r="I283" s="147">
        <v>62.096263264362371</v>
      </c>
      <c r="J283" s="112">
        <v>54.489562686016832</v>
      </c>
      <c r="K283" s="112">
        <v>91.405090655642596</v>
      </c>
      <c r="L283" s="126">
        <v>89.23012623545894</v>
      </c>
      <c r="M283" s="112">
        <v>77.76599614560034</v>
      </c>
      <c r="N283" s="126">
        <v>68.149733365324337</v>
      </c>
      <c r="O283" s="147">
        <v>82.388621634757698</v>
      </c>
      <c r="P283" s="147">
        <v>75.745740240504716</v>
      </c>
      <c r="Q283" s="147">
        <v>55.100909339426977</v>
      </c>
      <c r="R283" s="112">
        <v>41.270050509408293</v>
      </c>
      <c r="S283" s="112">
        <v>81.558099999999996</v>
      </c>
      <c r="T283" s="112">
        <v>75.109800000000007</v>
      </c>
      <c r="U283" s="146">
        <v>53.203199999999995</v>
      </c>
      <c r="V283" s="113">
        <v>42.9024</v>
      </c>
      <c r="W283" s="113">
        <v>81.4465</v>
      </c>
      <c r="X283" s="126">
        <v>72.858100000000007</v>
      </c>
      <c r="Y283" s="126">
        <v>48.941200000000002</v>
      </c>
      <c r="Z283" s="104">
        <v>38.659300000000002</v>
      </c>
      <c r="AA283" s="104">
        <v>82.71244742049825</v>
      </c>
      <c r="AB283" s="104">
        <v>77.130121929803991</v>
      </c>
      <c r="AC283" s="104">
        <v>54.096127639021176</v>
      </c>
      <c r="AD283" s="104">
        <v>41.876755073141389</v>
      </c>
    </row>
    <row r="284" spans="1:30" ht="14.7" customHeight="1">
      <c r="A284" s="110" t="s">
        <v>150</v>
      </c>
      <c r="B284" s="190"/>
      <c r="C284">
        <v>82.568093500407286</v>
      </c>
      <c r="D284">
        <v>70.582769250865368</v>
      </c>
      <c r="E284">
        <v>46.510456720511769</v>
      </c>
      <c r="F284">
        <v>35.56331311161933</v>
      </c>
      <c r="G284">
        <v>86.949838581463638</v>
      </c>
      <c r="H284">
        <v>77.889501277053384</v>
      </c>
      <c r="I284" s="147">
        <v>54.716618238597</v>
      </c>
      <c r="J284" s="112">
        <v>45.598974221100853</v>
      </c>
      <c r="K284" s="112">
        <v>84.535680944398166</v>
      </c>
      <c r="L284" s="126">
        <v>75.903168553294506</v>
      </c>
      <c r="M284" s="112">
        <v>53.148310213963235</v>
      </c>
      <c r="N284" s="126">
        <v>37.708769547863639</v>
      </c>
      <c r="O284" s="147">
        <v>79.159688029633514</v>
      </c>
      <c r="P284" s="147">
        <v>70.658475190351623</v>
      </c>
      <c r="Q284" s="147">
        <v>43.149204629378616</v>
      </c>
      <c r="R284" s="112">
        <v>29.137688527377399</v>
      </c>
      <c r="S284" s="112">
        <v>77.406099999999995</v>
      </c>
      <c r="T284" s="112">
        <v>67.779399999999995</v>
      </c>
      <c r="U284" s="146">
        <v>41.034700000000001</v>
      </c>
      <c r="V284" s="113">
        <v>28.003099999999996</v>
      </c>
      <c r="W284" s="113">
        <v>78.388100000000009</v>
      </c>
      <c r="X284" s="126">
        <v>70.295400000000001</v>
      </c>
      <c r="Y284" s="126">
        <v>40.118400000000001</v>
      </c>
      <c r="Z284" s="104">
        <v>28.1097</v>
      </c>
      <c r="AA284" s="104">
        <v>80.548246886857143</v>
      </c>
      <c r="AB284" s="104">
        <v>68.50434513629591</v>
      </c>
      <c r="AC284" s="104">
        <v>43.792413291711611</v>
      </c>
      <c r="AD284" s="104">
        <v>30.349943482282409</v>
      </c>
    </row>
    <row r="285" spans="1:30" ht="14.7" customHeight="1">
      <c r="A285" s="110" t="s">
        <v>151</v>
      </c>
      <c r="B285" s="190"/>
      <c r="C285">
        <v>89.711775603008576</v>
      </c>
      <c r="D285">
        <v>81.750547306717252</v>
      </c>
      <c r="E285">
        <v>55.061694732725876</v>
      </c>
      <c r="F285">
        <v>42.239587930194858</v>
      </c>
      <c r="G285">
        <v>89.687715359022022</v>
      </c>
      <c r="H285">
        <v>82.698519293677535</v>
      </c>
      <c r="I285" s="147">
        <v>59.412620199240287</v>
      </c>
      <c r="J285" s="112">
        <v>48.55142920707641</v>
      </c>
      <c r="K285" s="112">
        <v>88.524020744916569</v>
      </c>
      <c r="L285" s="126">
        <v>84.25548413427201</v>
      </c>
      <c r="M285" s="112">
        <v>65.102132435465776</v>
      </c>
      <c r="N285" s="126">
        <v>52.876441179471477</v>
      </c>
      <c r="O285" s="147">
        <v>81.059623857023254</v>
      </c>
      <c r="P285" s="147">
        <v>70.725205516949984</v>
      </c>
      <c r="Q285" s="147">
        <v>45.698467454524454</v>
      </c>
      <c r="R285" s="112">
        <v>33.228043975140267</v>
      </c>
      <c r="S285" s="112">
        <v>84.525999999999996</v>
      </c>
      <c r="T285" s="112">
        <v>75.880700000000004</v>
      </c>
      <c r="U285" s="146">
        <v>47.852400000000003</v>
      </c>
      <c r="V285" s="113">
        <v>36.060299999999998</v>
      </c>
      <c r="W285" s="113">
        <v>85.867800000000003</v>
      </c>
      <c r="X285" s="126">
        <v>77.159199999999998</v>
      </c>
      <c r="Y285" s="126">
        <v>51.066900000000004</v>
      </c>
      <c r="Z285" s="104">
        <v>36.061500000000002</v>
      </c>
      <c r="AA285" s="104">
        <v>84.906661624415875</v>
      </c>
      <c r="AB285" s="104">
        <v>78.226857243679689</v>
      </c>
      <c r="AC285" s="104">
        <v>47.337366820122796</v>
      </c>
      <c r="AD285" s="104">
        <v>30.920700341739799</v>
      </c>
    </row>
    <row r="286" spans="1:30" ht="14.7" customHeight="1">
      <c r="A286" s="110" t="s">
        <v>152</v>
      </c>
      <c r="B286" s="190"/>
      <c r="C286">
        <v>87.834173937484721</v>
      </c>
      <c r="D286">
        <v>75.600074913500933</v>
      </c>
      <c r="E286">
        <v>49.412390976066433</v>
      </c>
      <c r="F286">
        <v>37.320922115975755</v>
      </c>
      <c r="G286">
        <v>85.495389760039714</v>
      </c>
      <c r="H286">
        <v>76.838895234986936</v>
      </c>
      <c r="I286" s="147">
        <v>54.502692558746737</v>
      </c>
      <c r="J286" s="112">
        <v>44.202839425587463</v>
      </c>
      <c r="K286" s="112">
        <v>90.218146504760853</v>
      </c>
      <c r="L286" s="126">
        <v>84.682229913837531</v>
      </c>
      <c r="M286" s="112">
        <v>67.360769709985419</v>
      </c>
      <c r="N286" s="126">
        <v>51.609699396723485</v>
      </c>
      <c r="O286" s="147">
        <v>73.327538465078547</v>
      </c>
      <c r="P286" s="147">
        <v>63.050740483434076</v>
      </c>
      <c r="Q286" s="147">
        <v>39.923153872161102</v>
      </c>
      <c r="R286" s="112">
        <v>32.000744681999905</v>
      </c>
      <c r="S286" s="112">
        <v>81.604900000000001</v>
      </c>
      <c r="T286" s="112">
        <v>73.170299999999997</v>
      </c>
      <c r="U286" s="146">
        <v>41.0184</v>
      </c>
      <c r="V286" s="113">
        <v>30.869600000000002</v>
      </c>
      <c r="W286" s="113">
        <v>78.017800000000008</v>
      </c>
      <c r="X286" s="126">
        <v>68.534700000000001</v>
      </c>
      <c r="Y286" s="126">
        <v>45.954799999999999</v>
      </c>
      <c r="Z286" s="104">
        <v>34.192900000000002</v>
      </c>
      <c r="AA286" s="104" t="s">
        <v>911</v>
      </c>
      <c r="AB286" s="104" t="s">
        <v>911</v>
      </c>
      <c r="AC286" s="104" t="s">
        <v>911</v>
      </c>
      <c r="AD286" s="104" t="s">
        <v>911</v>
      </c>
    </row>
    <row r="287" spans="1:30" ht="14.7" customHeight="1">
      <c r="A287" s="110" t="s">
        <v>248</v>
      </c>
      <c r="B287" s="190"/>
      <c r="C287">
        <v>82.002668642874411</v>
      </c>
      <c r="D287">
        <v>70.763832232047477</v>
      </c>
      <c r="E287">
        <v>46.257767644771434</v>
      </c>
      <c r="F287">
        <v>36.81618021712854</v>
      </c>
      <c r="G287">
        <v>85.795056764911791</v>
      </c>
      <c r="H287">
        <v>79.323509041297072</v>
      </c>
      <c r="I287" s="147">
        <v>58.159488981049577</v>
      </c>
      <c r="J287" s="112">
        <v>47.567152596400177</v>
      </c>
      <c r="K287" s="112">
        <v>79.148836115683054</v>
      </c>
      <c r="L287" s="126">
        <v>74.195196117946125</v>
      </c>
      <c r="M287" s="112">
        <v>58.901428235078157</v>
      </c>
      <c r="N287" s="126">
        <v>46.785972249380457</v>
      </c>
      <c r="O287" s="147">
        <v>75.632085735728495</v>
      </c>
      <c r="P287" s="147">
        <v>65.568293300429175</v>
      </c>
      <c r="Q287" s="147">
        <v>40.924733090383079</v>
      </c>
      <c r="R287" s="112">
        <v>29.005018505265941</v>
      </c>
      <c r="S287" s="112">
        <v>72.01570000000001</v>
      </c>
      <c r="T287" s="112">
        <v>62.594700000000003</v>
      </c>
      <c r="U287" s="146">
        <v>39.064900000000002</v>
      </c>
      <c r="V287" s="113">
        <v>29.5321</v>
      </c>
      <c r="W287" s="113">
        <v>75.46159999999999</v>
      </c>
      <c r="X287" s="126">
        <v>65.015699999999995</v>
      </c>
      <c r="Y287" s="126">
        <v>37.101700000000001</v>
      </c>
      <c r="Z287" s="104">
        <v>26.697300000000002</v>
      </c>
      <c r="AA287" s="104">
        <v>77.174803116619429</v>
      </c>
      <c r="AB287" s="104">
        <v>66.943576544467319</v>
      </c>
      <c r="AC287" s="104">
        <v>38.412309861785197</v>
      </c>
      <c r="AD287" s="104">
        <v>26.951955538306343</v>
      </c>
    </row>
    <row r="288" spans="1:30" ht="14.7" customHeight="1">
      <c r="A288" s="110" t="s">
        <v>153</v>
      </c>
      <c r="B288" s="190"/>
      <c r="C288">
        <v>83.882677009615591</v>
      </c>
      <c r="D288">
        <v>76.082340817993227</v>
      </c>
      <c r="E288">
        <v>47.855787412514466</v>
      </c>
      <c r="F288">
        <v>37.342962535198993</v>
      </c>
      <c r="G288">
        <v>88.685704407117655</v>
      </c>
      <c r="H288">
        <v>79.654052634710013</v>
      </c>
      <c r="I288" s="147">
        <v>58.362411866913646</v>
      </c>
      <c r="J288" s="112">
        <v>45.718019254399728</v>
      </c>
      <c r="K288" s="112">
        <v>86.221744024234582</v>
      </c>
      <c r="L288" s="126">
        <v>78.875198768090144</v>
      </c>
      <c r="M288" s="112">
        <v>58.662268137399757</v>
      </c>
      <c r="N288" s="126">
        <v>43.699227442962858</v>
      </c>
      <c r="O288" s="147">
        <v>79.670846348336227</v>
      </c>
      <c r="P288" s="147">
        <v>72.498890961331213</v>
      </c>
      <c r="Q288" s="147">
        <v>45.276917813415309</v>
      </c>
      <c r="R288" s="112">
        <v>35.46497332379095</v>
      </c>
      <c r="S288" s="112">
        <v>79.921700000000001</v>
      </c>
      <c r="T288" s="112">
        <v>67.648499999999999</v>
      </c>
      <c r="U288" s="146">
        <v>38.133299999999998</v>
      </c>
      <c r="V288" s="113">
        <v>25.605399999999999</v>
      </c>
      <c r="W288" s="113">
        <v>75.617900000000006</v>
      </c>
      <c r="X288" s="126">
        <v>68.881900000000002</v>
      </c>
      <c r="Y288" s="126">
        <v>40.670899999999996</v>
      </c>
      <c r="Z288" s="104">
        <v>29.716799999999999</v>
      </c>
      <c r="AA288" s="104">
        <v>79.769579178071908</v>
      </c>
      <c r="AB288" s="104">
        <v>67.632167824932097</v>
      </c>
      <c r="AC288" s="104">
        <v>40.925932731778964</v>
      </c>
      <c r="AD288" s="104">
        <v>31.121192342668579</v>
      </c>
    </row>
    <row r="289" spans="1:30" ht="14.7" customHeight="1">
      <c r="A289" s="110" t="s">
        <v>327</v>
      </c>
      <c r="B289" s="190"/>
      <c r="C289">
        <v>83.6346659342164</v>
      </c>
      <c r="D289">
        <v>73.950870554303265</v>
      </c>
      <c r="E289">
        <v>49.289654576133564</v>
      </c>
      <c r="F289">
        <v>38.975091728150637</v>
      </c>
      <c r="G289">
        <v>84.669163190766895</v>
      </c>
      <c r="H289">
        <v>76.648536560404608</v>
      </c>
      <c r="I289" s="147">
        <v>54.162770872114066</v>
      </c>
      <c r="J289" s="112">
        <v>43.390244801547134</v>
      </c>
      <c r="K289" s="112">
        <v>83.756054981060984</v>
      </c>
      <c r="L289" s="126">
        <v>76.702294860064924</v>
      </c>
      <c r="M289" s="112">
        <v>56.331507639089075</v>
      </c>
      <c r="N289" s="126">
        <v>44.552395753694213</v>
      </c>
      <c r="O289" s="147">
        <v>74.418660875616595</v>
      </c>
      <c r="P289" s="147">
        <v>64.511036468169678</v>
      </c>
      <c r="Q289" s="147">
        <v>37.129745579906434</v>
      </c>
      <c r="R289" s="112">
        <v>27.350775578324253</v>
      </c>
      <c r="S289" s="112">
        <v>76.101900000000001</v>
      </c>
      <c r="T289" s="112">
        <v>65.645899999999997</v>
      </c>
      <c r="U289" s="146">
        <v>38.435399999999994</v>
      </c>
      <c r="V289" s="113">
        <v>26.562100000000001</v>
      </c>
      <c r="W289" s="113">
        <v>76.012299999999996</v>
      </c>
      <c r="X289" s="126">
        <v>66.058199999999999</v>
      </c>
      <c r="Y289" s="126">
        <v>38.857999999999997</v>
      </c>
      <c r="Z289" s="104">
        <v>28.6663</v>
      </c>
      <c r="AA289" s="104">
        <v>77.725481027737857</v>
      </c>
      <c r="AB289" s="104">
        <v>66.767146614818841</v>
      </c>
      <c r="AC289" s="104">
        <v>40.444591745627051</v>
      </c>
      <c r="AD289" s="104">
        <v>30.009078456198917</v>
      </c>
    </row>
    <row r="290" spans="1:30" ht="14.7" customHeight="1">
      <c r="A290" s="110" t="s">
        <v>154</v>
      </c>
      <c r="B290" s="190"/>
      <c r="C290">
        <v>86.490875752226742</v>
      </c>
      <c r="D290">
        <v>76.525788838617487</v>
      </c>
      <c r="E290">
        <v>52.09603587802706</v>
      </c>
      <c r="F290">
        <v>41.775004045393452</v>
      </c>
      <c r="G290">
        <v>86.030119770428328</v>
      </c>
      <c r="H290">
        <v>78.884784750280957</v>
      </c>
      <c r="I290" s="147">
        <v>58.563587746868691</v>
      </c>
      <c r="J290" s="112">
        <v>46.493409016278079</v>
      </c>
      <c r="K290" s="112">
        <v>86.587217641449726</v>
      </c>
      <c r="L290" s="126">
        <v>79.200324666716966</v>
      </c>
      <c r="M290" s="112">
        <v>58.542385117538728</v>
      </c>
      <c r="N290" s="126">
        <v>48.336592916473784</v>
      </c>
      <c r="O290" s="147">
        <v>66.873874842045723</v>
      </c>
      <c r="P290" s="147">
        <v>57.809016395990398</v>
      </c>
      <c r="Q290" s="147">
        <v>33.930153088256013</v>
      </c>
      <c r="R290" s="112">
        <v>26.722491605551539</v>
      </c>
      <c r="S290" s="112">
        <v>78.609099999999998</v>
      </c>
      <c r="T290" s="112">
        <v>67.158299999999997</v>
      </c>
      <c r="U290" s="147">
        <v>36.709800000000001</v>
      </c>
      <c r="V290" s="149">
        <v>26.142300000000002</v>
      </c>
      <c r="W290" s="149">
        <v>75.346100000000007</v>
      </c>
      <c r="X290" s="126">
        <v>61.768900000000002</v>
      </c>
      <c r="Y290" s="126">
        <v>37.792200000000001</v>
      </c>
      <c r="Z290" s="104">
        <v>30.662299999999998</v>
      </c>
      <c r="AA290" s="104">
        <v>78.518699438510566</v>
      </c>
      <c r="AB290" s="104">
        <v>69.408247900960546</v>
      </c>
      <c r="AC290" s="104">
        <v>45.093563009120999</v>
      </c>
      <c r="AD290" s="104">
        <v>34.026712045088516</v>
      </c>
    </row>
    <row r="291" spans="1:30" ht="14.7" customHeight="1">
      <c r="A291" s="110" t="s">
        <v>155</v>
      </c>
      <c r="B291" s="190"/>
      <c r="C291">
        <v>81.767042707420359</v>
      </c>
      <c r="D291">
        <v>70.094279949666472</v>
      </c>
      <c r="E291">
        <v>49.22334436757037</v>
      </c>
      <c r="F291">
        <v>38.542389450597121</v>
      </c>
      <c r="G291">
        <v>86.639247847609084</v>
      </c>
      <c r="H291">
        <v>78.416722424602881</v>
      </c>
      <c r="I291" s="147">
        <v>58.979712371653491</v>
      </c>
      <c r="J291" s="112">
        <v>47.541488034759908</v>
      </c>
      <c r="K291" s="112">
        <v>84.970223115237957</v>
      </c>
      <c r="L291" s="126">
        <v>80.413396392655685</v>
      </c>
      <c r="M291" s="112">
        <v>63.420799449074863</v>
      </c>
      <c r="N291" s="126">
        <v>47.807135695694882</v>
      </c>
      <c r="O291" s="147">
        <v>77.07369358613451</v>
      </c>
      <c r="P291" s="147">
        <v>69.207179800213751</v>
      </c>
      <c r="Q291" s="147">
        <v>42.519159887080221</v>
      </c>
      <c r="R291" s="112">
        <v>31.257737993071068</v>
      </c>
      <c r="S291" s="112">
        <v>75.5642</v>
      </c>
      <c r="T291" s="112">
        <v>66.363</v>
      </c>
      <c r="U291" s="147">
        <v>45.019799999999996</v>
      </c>
      <c r="V291" s="149">
        <v>31.935599999999997</v>
      </c>
      <c r="W291" s="149">
        <v>77.609799999999993</v>
      </c>
      <c r="X291" s="126">
        <v>69.191299999999998</v>
      </c>
      <c r="Y291" s="126">
        <v>45.841900000000003</v>
      </c>
      <c r="Z291" s="104">
        <v>34.191800000000001</v>
      </c>
      <c r="AA291" s="104">
        <v>77.517422619143645</v>
      </c>
      <c r="AB291" s="104">
        <v>66.231015276415022</v>
      </c>
      <c r="AC291" s="104">
        <v>36.357326391060688</v>
      </c>
      <c r="AD291" s="104">
        <v>27.624194495807053</v>
      </c>
    </row>
    <row r="292" spans="1:30" ht="14.7" customHeight="1">
      <c r="A292" s="110" t="s">
        <v>249</v>
      </c>
      <c r="B292" s="190"/>
      <c r="C292">
        <v>86.529766394876361</v>
      </c>
      <c r="D292">
        <v>78.476209728025964</v>
      </c>
      <c r="E292">
        <v>53.977662434543028</v>
      </c>
      <c r="F292">
        <v>40.439551353150222</v>
      </c>
      <c r="G292">
        <v>86.227943490152725</v>
      </c>
      <c r="H292">
        <v>79.547076077477982</v>
      </c>
      <c r="I292" s="147">
        <v>57.299490404688193</v>
      </c>
      <c r="J292" s="112">
        <v>44.537248022701078</v>
      </c>
      <c r="K292" s="112">
        <v>85.511274738944493</v>
      </c>
      <c r="L292" s="126">
        <v>80.173783418002074</v>
      </c>
      <c r="M292" s="112">
        <v>59.089892709334478</v>
      </c>
      <c r="N292" s="126">
        <v>44.297510935017549</v>
      </c>
      <c r="O292" s="147">
        <v>81.967269015494765</v>
      </c>
      <c r="P292" s="147">
        <v>73.495924546081753</v>
      </c>
      <c r="Q292" s="147">
        <v>42.549865975585483</v>
      </c>
      <c r="R292" s="112">
        <v>29.392358982146309</v>
      </c>
      <c r="S292" s="112">
        <v>81.556700000000006</v>
      </c>
      <c r="T292" s="112">
        <v>72.148200000000003</v>
      </c>
      <c r="U292" s="146">
        <v>43.851900000000001</v>
      </c>
      <c r="V292" s="113">
        <v>32.334099999999999</v>
      </c>
      <c r="W292" s="113">
        <v>78.820400000000006</v>
      </c>
      <c r="X292" s="126">
        <v>68.714299999999994</v>
      </c>
      <c r="Y292" s="126">
        <v>41.572600000000001</v>
      </c>
      <c r="Z292" s="104">
        <v>32.059599999999996</v>
      </c>
      <c r="AA292" s="104">
        <v>77.865084105190064</v>
      </c>
      <c r="AB292" s="104">
        <v>71.019283944141307</v>
      </c>
      <c r="AC292" s="104">
        <v>43.118783334602043</v>
      </c>
      <c r="AD292" s="104">
        <v>29.734245596044563</v>
      </c>
    </row>
    <row r="293" spans="1:30" ht="14.7" customHeight="1">
      <c r="A293" s="26" t="s">
        <v>290</v>
      </c>
      <c r="B293" s="190"/>
      <c r="C293">
        <v>85.545773726274561</v>
      </c>
      <c r="D293">
        <v>77.49862720703581</v>
      </c>
      <c r="E293">
        <v>52.188715459008591</v>
      </c>
      <c r="F293">
        <v>39.196151895347356</v>
      </c>
      <c r="G293">
        <v>83.549507863701223</v>
      </c>
      <c r="H293">
        <v>77.658980881266928</v>
      </c>
      <c r="I293" s="147">
        <v>56.500574382538758</v>
      </c>
      <c r="J293" s="112">
        <v>45.878189874456382</v>
      </c>
      <c r="K293" s="112">
        <v>84.524357666715247</v>
      </c>
      <c r="L293" s="126">
        <v>78.98351216135427</v>
      </c>
      <c r="M293" s="112">
        <v>57.505270444605273</v>
      </c>
      <c r="N293" s="126">
        <v>47.665271703218906</v>
      </c>
      <c r="O293" s="147">
        <v>77.393572416393155</v>
      </c>
      <c r="P293" s="147">
        <v>66.405134140545528</v>
      </c>
      <c r="Q293" s="147">
        <v>38.64989375945153</v>
      </c>
      <c r="R293" s="112">
        <v>27.461597284585693</v>
      </c>
      <c r="S293" s="112">
        <v>73.941000000000003</v>
      </c>
      <c r="T293" s="112">
        <v>65.582099999999997</v>
      </c>
      <c r="U293" s="146">
        <v>39.830399999999997</v>
      </c>
      <c r="V293" s="113">
        <v>31.516899999999996</v>
      </c>
      <c r="W293" s="113">
        <v>72.951400000000007</v>
      </c>
      <c r="X293" s="126">
        <v>65.7179</v>
      </c>
      <c r="Y293" s="126">
        <v>41.744900000000001</v>
      </c>
      <c r="Z293" s="104">
        <v>31.216799999999999</v>
      </c>
      <c r="AA293" s="104">
        <v>77.424321472031551</v>
      </c>
      <c r="AB293" s="104">
        <v>69.861645796212031</v>
      </c>
      <c r="AC293" s="104">
        <v>37.45000350174508</v>
      </c>
      <c r="AD293" s="104">
        <v>25.647440512838067</v>
      </c>
    </row>
    <row r="294" spans="1:30" ht="14.7" customHeight="1">
      <c r="A294" s="110" t="s">
        <v>291</v>
      </c>
      <c r="B294" s="190"/>
      <c r="C294">
        <v>77.778803937794351</v>
      </c>
      <c r="D294">
        <v>69.26230914066214</v>
      </c>
      <c r="E294">
        <v>50.856290782204724</v>
      </c>
      <c r="F294">
        <v>41.830165658387017</v>
      </c>
      <c r="G294">
        <v>83.397744365468668</v>
      </c>
      <c r="H294">
        <v>72.947606351912697</v>
      </c>
      <c r="I294" s="147">
        <v>49.654800718883394</v>
      </c>
      <c r="J294" s="112">
        <v>38.607194162043854</v>
      </c>
      <c r="K294" s="112">
        <v>81.747511204537332</v>
      </c>
      <c r="L294" s="126">
        <v>74.879657549540056</v>
      </c>
      <c r="M294" s="112">
        <v>53.896319421953919</v>
      </c>
      <c r="N294" s="126">
        <v>41.180754058854646</v>
      </c>
      <c r="O294" s="147">
        <v>74.67482349919851</v>
      </c>
      <c r="P294" s="147">
        <v>59.811021172352696</v>
      </c>
      <c r="Q294" s="147">
        <v>31.892365359740843</v>
      </c>
      <c r="R294" s="112">
        <v>23.399054066298547</v>
      </c>
      <c r="S294" s="112">
        <v>69.255700000000004</v>
      </c>
      <c r="T294" s="112">
        <v>59.933300000000003</v>
      </c>
      <c r="U294" s="146">
        <v>35.211300000000001</v>
      </c>
      <c r="V294" s="113">
        <v>26.646799999999999</v>
      </c>
      <c r="W294" s="113">
        <v>73.493099999999998</v>
      </c>
      <c r="X294" s="126">
        <v>63.896699999999996</v>
      </c>
      <c r="Y294" s="126">
        <v>38.471499999999999</v>
      </c>
      <c r="Z294" s="104">
        <v>29.359600000000004</v>
      </c>
      <c r="AA294" s="104">
        <v>69.749934511900051</v>
      </c>
      <c r="AB294" s="104">
        <v>59.386229975495418</v>
      </c>
      <c r="AC294" s="104">
        <v>38.154580724331602</v>
      </c>
      <c r="AD294" s="104">
        <v>28.645513350347212</v>
      </c>
    </row>
    <row r="295" spans="1:30" ht="14.7" customHeight="1">
      <c r="A295" s="110" t="s">
        <v>156</v>
      </c>
      <c r="B295" s="190"/>
      <c r="C295">
        <v>87.899333447593889</v>
      </c>
      <c r="D295">
        <v>78.714476174115106</v>
      </c>
      <c r="E295">
        <v>51.507100000080882</v>
      </c>
      <c r="F295">
        <v>38.957391246572335</v>
      </c>
      <c r="G295">
        <v>86.196320870336933</v>
      </c>
      <c r="H295">
        <v>80.027709014598173</v>
      </c>
      <c r="I295" s="147">
        <v>55.427197620284616</v>
      </c>
      <c r="J295" s="112">
        <v>45.027148722023576</v>
      </c>
      <c r="K295" s="112">
        <v>88.603991422082601</v>
      </c>
      <c r="L295" s="126">
        <v>83.545593072417304</v>
      </c>
      <c r="M295" s="112">
        <v>67.449667780389561</v>
      </c>
      <c r="N295" s="126">
        <v>56.208921898934136</v>
      </c>
      <c r="O295" s="147">
        <v>77.18753365767266</v>
      </c>
      <c r="P295" s="147">
        <v>67.774692311197583</v>
      </c>
      <c r="Q295" s="147">
        <v>40.178933963009612</v>
      </c>
      <c r="R295" s="112">
        <v>29.296760722555508</v>
      </c>
      <c r="S295" s="112">
        <v>83.154200000000003</v>
      </c>
      <c r="T295" s="112">
        <v>73.723100000000002</v>
      </c>
      <c r="U295" s="146">
        <v>47.403600000000004</v>
      </c>
      <c r="V295" s="113">
        <v>33.072800000000001</v>
      </c>
      <c r="W295" s="113">
        <v>81.586600000000004</v>
      </c>
      <c r="X295" s="126">
        <v>68.825499999999991</v>
      </c>
      <c r="Y295" s="126">
        <v>46.168999999999997</v>
      </c>
      <c r="Z295" s="104">
        <v>32.261099999999999</v>
      </c>
      <c r="AA295" s="104">
        <v>79.476376362365343</v>
      </c>
      <c r="AB295" s="104">
        <v>72.50175141962157</v>
      </c>
      <c r="AC295" s="104">
        <v>45.156803777800391</v>
      </c>
      <c r="AD295" s="104">
        <v>31.651467566636782</v>
      </c>
    </row>
    <row r="296" spans="1:30" ht="14.7" customHeight="1">
      <c r="A296" s="26" t="s">
        <v>157</v>
      </c>
      <c r="B296" s="190"/>
      <c r="C296">
        <v>85.313401142700769</v>
      </c>
      <c r="D296">
        <v>74.075926550363619</v>
      </c>
      <c r="E296">
        <v>55.623985159487312</v>
      </c>
      <c r="F296">
        <v>45.321193901199777</v>
      </c>
      <c r="G296">
        <v>89.497673769232975</v>
      </c>
      <c r="H296">
        <v>81.4887729022836</v>
      </c>
      <c r="I296" s="147">
        <v>58.016836497610193</v>
      </c>
      <c r="J296" s="112">
        <v>49.560417219861918</v>
      </c>
      <c r="K296" s="112">
        <v>90.185920412264238</v>
      </c>
      <c r="L296" s="126">
        <v>84.263618157409823</v>
      </c>
      <c r="M296" s="112">
        <v>64.165144479411964</v>
      </c>
      <c r="N296" s="126">
        <v>52.52676415334043</v>
      </c>
      <c r="O296" s="147">
        <v>80.700112610479351</v>
      </c>
      <c r="P296" s="147">
        <v>71.3499749316329</v>
      </c>
      <c r="Q296" s="147">
        <v>44.501007544091891</v>
      </c>
      <c r="R296" s="112">
        <v>33.496103351987152</v>
      </c>
      <c r="S296" s="112">
        <v>79.921199999999999</v>
      </c>
      <c r="T296" s="112">
        <v>69.437600000000003</v>
      </c>
      <c r="U296" s="146">
        <v>43.253399999999999</v>
      </c>
      <c r="V296" s="113">
        <v>31.262899999999998</v>
      </c>
      <c r="W296" s="113">
        <v>83.423199999999994</v>
      </c>
      <c r="X296" s="126">
        <v>75.05810000000001</v>
      </c>
      <c r="Y296" s="126">
        <v>49.459399999999995</v>
      </c>
      <c r="Z296" s="104">
        <v>39.178100000000001</v>
      </c>
      <c r="AA296" s="104">
        <v>86.265798297340964</v>
      </c>
      <c r="AB296" s="104">
        <v>76.668940533270984</v>
      </c>
      <c r="AC296" s="104">
        <v>50.649966192913723</v>
      </c>
      <c r="AD296" s="104">
        <v>37.175906669577294</v>
      </c>
    </row>
    <row r="297" spans="1:30" ht="14.7" customHeight="1">
      <c r="A297" s="110" t="s">
        <v>328</v>
      </c>
      <c r="B297" s="190"/>
      <c r="C297">
        <v>87.475111027306525</v>
      </c>
      <c r="D297">
        <v>77.671776140693765</v>
      </c>
      <c r="E297">
        <v>53.181440061144279</v>
      </c>
      <c r="F297">
        <v>42.107719519784936</v>
      </c>
      <c r="G297">
        <v>87.461640557559988</v>
      </c>
      <c r="H297">
        <v>80.305942893282904</v>
      </c>
      <c r="I297" s="147">
        <v>56.72475093216012</v>
      </c>
      <c r="J297" s="112">
        <v>46.05016326565368</v>
      </c>
      <c r="K297" s="112">
        <v>87.19579083593473</v>
      </c>
      <c r="L297" s="126">
        <v>80.779023708377053</v>
      </c>
      <c r="M297" s="112">
        <v>61.684073999391643</v>
      </c>
      <c r="N297" s="126">
        <v>49.13159852402223</v>
      </c>
      <c r="O297" s="147">
        <v>77.697804709583806</v>
      </c>
      <c r="P297" s="147">
        <v>67.645781352260073</v>
      </c>
      <c r="Q297" s="147">
        <v>41.45210668787648</v>
      </c>
      <c r="R297" s="112">
        <v>31.076102785175312</v>
      </c>
      <c r="S297" s="112">
        <v>80.644000000000005</v>
      </c>
      <c r="T297" s="112">
        <v>71.133099999999999</v>
      </c>
      <c r="U297" s="146">
        <v>43.151800000000001</v>
      </c>
      <c r="V297" s="113">
        <v>31.887999999999998</v>
      </c>
      <c r="W297" s="113">
        <v>78.503299999999996</v>
      </c>
      <c r="X297" s="126">
        <v>68.514099999999999</v>
      </c>
      <c r="Y297" s="126">
        <v>44.604500000000002</v>
      </c>
      <c r="Z297" s="104">
        <v>33.257599999999996</v>
      </c>
      <c r="AA297" s="104">
        <v>80.475746430526911</v>
      </c>
      <c r="AB297" s="104">
        <v>71.142994782439501</v>
      </c>
      <c r="AC297" s="104">
        <v>43.365918367967751</v>
      </c>
      <c r="AD297" s="104">
        <v>32.585868752301437</v>
      </c>
    </row>
    <row r="298" spans="1:30" ht="14.7" customHeight="1">
      <c r="A298" s="26" t="s">
        <v>158</v>
      </c>
      <c r="B298" s="190"/>
      <c r="C298">
        <v>89.840548448102311</v>
      </c>
      <c r="D298">
        <v>82.520928725782255</v>
      </c>
      <c r="E298">
        <v>62.505573720173736</v>
      </c>
      <c r="F298">
        <v>48.795942503779351</v>
      </c>
      <c r="G298">
        <v>91.546841578763306</v>
      </c>
      <c r="H298">
        <v>84.230307860252935</v>
      </c>
      <c r="I298" s="147">
        <v>58.76220835875661</v>
      </c>
      <c r="J298" s="112">
        <v>46.976187214896171</v>
      </c>
      <c r="K298" s="112">
        <v>89.584934367310183</v>
      </c>
      <c r="L298" s="126">
        <v>84.315149601326283</v>
      </c>
      <c r="M298" s="112">
        <v>60.053682797821118</v>
      </c>
      <c r="N298" s="126">
        <v>47.319215283808319</v>
      </c>
      <c r="O298" s="147">
        <v>80.36888757873902</v>
      </c>
      <c r="P298" s="147">
        <v>72.406813882106377</v>
      </c>
      <c r="Q298" s="147">
        <v>44.224808058699324</v>
      </c>
      <c r="R298" s="112">
        <v>36.980995153959654</v>
      </c>
      <c r="S298" s="112">
        <v>80.229799999999997</v>
      </c>
      <c r="T298" s="112">
        <v>70.427599999999998</v>
      </c>
      <c r="U298" s="146">
        <v>43.200200000000002</v>
      </c>
      <c r="V298" s="113">
        <v>28.019500000000004</v>
      </c>
      <c r="W298" s="113">
        <v>78.373499999999993</v>
      </c>
      <c r="X298" s="126">
        <v>70.552499999999995</v>
      </c>
      <c r="Y298" s="126">
        <v>46.016400000000004</v>
      </c>
      <c r="Z298" s="104">
        <v>32.945999999999998</v>
      </c>
      <c r="AA298" s="104" t="s">
        <v>911</v>
      </c>
      <c r="AB298" s="104" t="s">
        <v>911</v>
      </c>
      <c r="AC298" s="104" t="s">
        <v>911</v>
      </c>
      <c r="AD298" s="104" t="s">
        <v>911</v>
      </c>
    </row>
    <row r="299" spans="1:30" ht="14.7" customHeight="1">
      <c r="A299" s="110" t="s">
        <v>250</v>
      </c>
      <c r="B299" s="190"/>
      <c r="C299">
        <v>83.609224074566285</v>
      </c>
      <c r="D299">
        <v>76.317125385873638</v>
      </c>
      <c r="E299">
        <v>55.170208515571787</v>
      </c>
      <c r="F299">
        <v>45.855626830203306</v>
      </c>
      <c r="G299">
        <v>83.818372170035431</v>
      </c>
      <c r="H299">
        <v>73.727174451695461</v>
      </c>
      <c r="I299" s="147">
        <v>52.629289885770312</v>
      </c>
      <c r="J299" s="112">
        <v>41.931470558100727</v>
      </c>
      <c r="K299" s="112">
        <v>81.766983251812178</v>
      </c>
      <c r="L299" s="126">
        <v>78.611146350746068</v>
      </c>
      <c r="M299" s="112">
        <v>62.457037463526987</v>
      </c>
      <c r="N299" s="126">
        <v>51.711767977906362</v>
      </c>
      <c r="O299" s="147">
        <v>71.152507137924815</v>
      </c>
      <c r="P299" s="147">
        <v>61.132303967837885</v>
      </c>
      <c r="Q299" s="147">
        <v>38.032238315703012</v>
      </c>
      <c r="R299" s="112">
        <v>27.208174156996201</v>
      </c>
      <c r="S299" s="112">
        <v>73.505099999999999</v>
      </c>
      <c r="T299" s="112">
        <v>63.520200000000003</v>
      </c>
      <c r="U299" s="147">
        <v>34.907299999999999</v>
      </c>
      <c r="V299" s="149">
        <v>25.351299999999998</v>
      </c>
      <c r="W299" s="149">
        <v>77.358899999999991</v>
      </c>
      <c r="X299" s="126">
        <v>69.168399999999991</v>
      </c>
      <c r="Y299" s="126">
        <v>44.232799999999997</v>
      </c>
      <c r="Z299" s="104">
        <v>30.4466</v>
      </c>
      <c r="AA299" s="104">
        <v>71.711990221838604</v>
      </c>
      <c r="AB299" s="104">
        <v>62.988271531082617</v>
      </c>
      <c r="AC299" s="104">
        <v>39.05925519612758</v>
      </c>
      <c r="AD299" s="104">
        <v>31.071158822863381</v>
      </c>
    </row>
    <row r="300" spans="1:30" ht="14.7" customHeight="1">
      <c r="A300" s="110" t="s">
        <v>329</v>
      </c>
      <c r="B300" s="190"/>
      <c r="C300">
        <v>87.826162813113541</v>
      </c>
      <c r="D300">
        <v>77.908188105892805</v>
      </c>
      <c r="E300">
        <v>52.244867033240858</v>
      </c>
      <c r="F300">
        <v>41.198954492545077</v>
      </c>
      <c r="G300">
        <v>89.056937398122869</v>
      </c>
      <c r="H300">
        <v>81.017409425663601</v>
      </c>
      <c r="I300" s="147">
        <v>56.985547104979041</v>
      </c>
      <c r="J300" s="112">
        <v>45.983782371638981</v>
      </c>
      <c r="K300" s="112">
        <v>88.796552841469676</v>
      </c>
      <c r="L300" s="126">
        <v>82.460942325802307</v>
      </c>
      <c r="M300" s="112">
        <v>60.985786919942043</v>
      </c>
      <c r="N300" s="126">
        <v>49.76538394106155</v>
      </c>
      <c r="O300" s="147">
        <v>80.473464712943326</v>
      </c>
      <c r="P300" s="147">
        <v>70.293258955466627</v>
      </c>
      <c r="Q300" s="147">
        <v>43.452605471700231</v>
      </c>
      <c r="R300" s="112">
        <v>31.220882431925219</v>
      </c>
      <c r="S300" s="112">
        <v>81.718400000000003</v>
      </c>
      <c r="T300" s="112">
        <v>72.253500000000003</v>
      </c>
      <c r="U300" s="146">
        <v>43.689900000000002</v>
      </c>
      <c r="V300" s="113">
        <v>30.555799999999998</v>
      </c>
      <c r="W300" s="113">
        <v>81.799599999999998</v>
      </c>
      <c r="X300" s="126">
        <v>72.841300000000004</v>
      </c>
      <c r="Y300" s="126">
        <v>44.780900000000003</v>
      </c>
      <c r="Z300" s="104">
        <v>30.850300000000004</v>
      </c>
      <c r="AA300" s="104">
        <v>83.164768287150054</v>
      </c>
      <c r="AB300" s="104">
        <v>73.380433135642633</v>
      </c>
      <c r="AC300" s="104">
        <v>45.62638605199767</v>
      </c>
      <c r="AD300" s="104">
        <v>33.03294618502099</v>
      </c>
    </row>
    <row r="301" spans="1:30" ht="14.7" customHeight="1">
      <c r="A301" s="110" t="s">
        <v>159</v>
      </c>
      <c r="B301" s="189"/>
      <c r="C301">
        <v>85.101087664541666</v>
      </c>
      <c r="D301">
        <v>73.840079293664303</v>
      </c>
      <c r="E301">
        <v>50.666832974427777</v>
      </c>
      <c r="F301">
        <v>38.417868390838223</v>
      </c>
      <c r="G301">
        <v>87.573020375848657</v>
      </c>
      <c r="H301">
        <v>80.467194155022199</v>
      </c>
      <c r="I301" s="146">
        <v>54.219219652583362</v>
      </c>
      <c r="J301" s="144">
        <v>41.414364230846935</v>
      </c>
      <c r="K301" s="144">
        <v>87.467296162272405</v>
      </c>
      <c r="L301" s="126">
        <v>80.19986393654797</v>
      </c>
      <c r="M301" s="144">
        <v>57.971534530249222</v>
      </c>
      <c r="N301" s="126">
        <v>48.225367537251522</v>
      </c>
      <c r="O301" s="146">
        <v>73.385742238202951</v>
      </c>
      <c r="P301" s="146">
        <v>62.2720759265586</v>
      </c>
      <c r="Q301" s="146">
        <v>37.412781874871683</v>
      </c>
      <c r="R301" s="144">
        <v>25.219562422450043</v>
      </c>
      <c r="S301" s="144">
        <v>77.783799999999999</v>
      </c>
      <c r="T301" s="144">
        <v>67.069199999999995</v>
      </c>
      <c r="U301" s="146">
        <v>43.915199999999999</v>
      </c>
      <c r="V301" s="113">
        <v>31.4102</v>
      </c>
      <c r="W301" s="113">
        <v>79.316400000000002</v>
      </c>
      <c r="X301" s="126">
        <v>66.963499999999996</v>
      </c>
      <c r="Y301" s="126">
        <v>38.724499999999999</v>
      </c>
      <c r="Z301" s="104">
        <v>26.497399999999999</v>
      </c>
      <c r="AA301" s="104">
        <v>81.746156529307754</v>
      </c>
      <c r="AB301" s="104">
        <v>69.816158171472793</v>
      </c>
      <c r="AC301" s="104">
        <v>38.339474700932783</v>
      </c>
      <c r="AD301" s="104">
        <v>25.941707573949436</v>
      </c>
    </row>
    <row r="302" spans="1:30" ht="14.7" customHeight="1">
      <c r="A302" s="26" t="s">
        <v>218</v>
      </c>
      <c r="B302" s="190"/>
      <c r="C302">
        <v>87.205097801198221</v>
      </c>
      <c r="D302">
        <v>79.278353294327047</v>
      </c>
      <c r="E302">
        <v>55.982263035075263</v>
      </c>
      <c r="F302">
        <v>44.365805533966807</v>
      </c>
      <c r="G302">
        <v>87.145720951323753</v>
      </c>
      <c r="H302">
        <v>80.539274131016597</v>
      </c>
      <c r="I302" s="147">
        <v>59.485655208064095</v>
      </c>
      <c r="J302" s="112">
        <v>47.06705075079833</v>
      </c>
      <c r="K302" s="112">
        <v>91.629795449252924</v>
      </c>
      <c r="L302" s="126">
        <v>86.398903146475959</v>
      </c>
      <c r="M302" s="112">
        <v>68.324205460127786</v>
      </c>
      <c r="N302" s="126">
        <v>55.608927210868956</v>
      </c>
      <c r="O302" s="147">
        <v>78.456004456341049</v>
      </c>
      <c r="P302" s="147">
        <v>70.525823713976592</v>
      </c>
      <c r="Q302" s="147">
        <v>44.116430604872761</v>
      </c>
      <c r="R302" s="112">
        <v>32.906144438993913</v>
      </c>
      <c r="S302" s="112">
        <v>80.0899</v>
      </c>
      <c r="T302" s="112">
        <v>67.05</v>
      </c>
      <c r="U302" s="146">
        <v>45.395600000000002</v>
      </c>
      <c r="V302" s="113">
        <v>35.120000000000005</v>
      </c>
      <c r="W302" s="113">
        <v>76.718400000000003</v>
      </c>
      <c r="X302" s="126">
        <v>68.884399999999999</v>
      </c>
      <c r="Y302" s="126">
        <v>40.445700000000002</v>
      </c>
      <c r="Z302" s="104">
        <v>31.363900000000001</v>
      </c>
      <c r="AA302" s="104">
        <v>80.803108829982449</v>
      </c>
      <c r="AB302" s="104">
        <v>73.29174777578163</v>
      </c>
      <c r="AC302" s="104">
        <v>46.302738384102142</v>
      </c>
      <c r="AD302" s="104">
        <v>35.74513509825519</v>
      </c>
    </row>
    <row r="303" spans="1:30" ht="14.7" customHeight="1">
      <c r="A303" s="26" t="s">
        <v>160</v>
      </c>
      <c r="B303" s="190"/>
      <c r="C303">
        <v>84.495867093398942</v>
      </c>
      <c r="D303">
        <v>73.651720070963847</v>
      </c>
      <c r="E303">
        <v>50.154404772778946</v>
      </c>
      <c r="F303">
        <v>39.328253269582952</v>
      </c>
      <c r="G303">
        <v>80.288093751421457</v>
      </c>
      <c r="H303">
        <v>72.847302192165174</v>
      </c>
      <c r="I303" s="147">
        <v>46.31268189527021</v>
      </c>
      <c r="J303" s="112">
        <v>39.144490274491751</v>
      </c>
      <c r="K303" s="112">
        <v>83.693913224555345</v>
      </c>
      <c r="L303" s="126">
        <v>78.034872466351047</v>
      </c>
      <c r="M303" s="112">
        <v>59.499807027434429</v>
      </c>
      <c r="N303" s="126">
        <v>46.843433578034663</v>
      </c>
      <c r="O303" s="147">
        <v>80.872858284875292</v>
      </c>
      <c r="P303" s="147">
        <v>70.400359883966999</v>
      </c>
      <c r="Q303" s="147">
        <v>42.519647065415633</v>
      </c>
      <c r="R303" s="112">
        <v>32.647613193025819</v>
      </c>
      <c r="S303" s="112">
        <v>77.330399999999997</v>
      </c>
      <c r="T303" s="112">
        <v>68.487200000000001</v>
      </c>
      <c r="U303" s="146">
        <v>43.9114</v>
      </c>
      <c r="V303" s="113">
        <v>28.930099999999996</v>
      </c>
      <c r="W303" s="113">
        <v>76.118300000000005</v>
      </c>
      <c r="X303" s="126">
        <v>66.005099999999999</v>
      </c>
      <c r="Y303" s="126">
        <v>41.533799999999999</v>
      </c>
      <c r="Z303" s="104">
        <v>30.798399999999997</v>
      </c>
      <c r="AA303" s="104">
        <v>77.582938181002405</v>
      </c>
      <c r="AB303" s="104">
        <v>70.171566545573626</v>
      </c>
      <c r="AC303" s="104">
        <v>43.537991893798015</v>
      </c>
      <c r="AD303" s="104">
        <v>33.131475544447504</v>
      </c>
    </row>
    <row r="304" spans="1:30" ht="14.7" customHeight="1">
      <c r="A304" s="26" t="s">
        <v>292</v>
      </c>
      <c r="B304" s="190"/>
      <c r="C304">
        <v>84.068479440169781</v>
      </c>
      <c r="D304">
        <v>76.143138008523977</v>
      </c>
      <c r="E304">
        <v>54.609610477790696</v>
      </c>
      <c r="F304">
        <v>43.795275603393414</v>
      </c>
      <c r="G304">
        <v>84.442790149765941</v>
      </c>
      <c r="H304">
        <v>75.242786358444732</v>
      </c>
      <c r="I304" s="147">
        <v>57.503043312125854</v>
      </c>
      <c r="J304" s="112">
        <v>45.199083769906807</v>
      </c>
      <c r="K304" s="112">
        <v>84.313042023367998</v>
      </c>
      <c r="L304" s="126">
        <v>76.818139809617193</v>
      </c>
      <c r="M304" s="112">
        <v>54.953449031008539</v>
      </c>
      <c r="N304" s="126">
        <v>43.146741030349553</v>
      </c>
      <c r="O304" s="147">
        <v>75.658187555389119</v>
      </c>
      <c r="P304" s="147">
        <v>65.914772765025361</v>
      </c>
      <c r="Q304" s="147">
        <v>38.81844498731347</v>
      </c>
      <c r="R304" s="112">
        <v>29.335654570971453</v>
      </c>
      <c r="S304" s="112">
        <v>79.892300000000006</v>
      </c>
      <c r="T304" s="112">
        <v>70.424199999999999</v>
      </c>
      <c r="U304" s="147">
        <v>44.355699999999999</v>
      </c>
      <c r="V304" s="149">
        <v>33.625500000000002</v>
      </c>
      <c r="W304" s="149">
        <v>76.044600000000003</v>
      </c>
      <c r="X304" s="126">
        <v>64.852800000000002</v>
      </c>
      <c r="Y304" s="126">
        <v>37.514900000000004</v>
      </c>
      <c r="Z304" s="104">
        <v>29.1678</v>
      </c>
      <c r="AA304" s="104">
        <v>77.144960032606562</v>
      </c>
      <c r="AB304" s="104">
        <v>68.082477159976207</v>
      </c>
      <c r="AC304" s="104">
        <v>41.330070414800964</v>
      </c>
      <c r="AD304" s="104">
        <v>30.621347202985199</v>
      </c>
    </row>
    <row r="305" spans="1:30" ht="14.7" customHeight="1">
      <c r="A305" s="110" t="s">
        <v>251</v>
      </c>
      <c r="B305" s="190"/>
      <c r="C305">
        <v>84.866864464151732</v>
      </c>
      <c r="D305">
        <v>76.853014506722957</v>
      </c>
      <c r="E305">
        <v>52.739343107787526</v>
      </c>
      <c r="F305">
        <v>44.603761024875411</v>
      </c>
      <c r="G305">
        <v>85.636388468179049</v>
      </c>
      <c r="H305">
        <v>77.484159939121227</v>
      </c>
      <c r="I305" s="147">
        <v>55.978485640550559</v>
      </c>
      <c r="J305" s="112">
        <v>44.484929195341458</v>
      </c>
      <c r="K305" s="112">
        <v>78.51227215975139</v>
      </c>
      <c r="L305" s="126">
        <v>73.637061887876726</v>
      </c>
      <c r="M305" s="112">
        <v>55.473640643592525</v>
      </c>
      <c r="N305" s="126">
        <v>44.735889078586574</v>
      </c>
      <c r="O305" s="147">
        <v>74.308353806731247</v>
      </c>
      <c r="P305" s="147">
        <v>65.742352132367643</v>
      </c>
      <c r="Q305" s="147">
        <v>35.161219511592016</v>
      </c>
      <c r="R305" s="112">
        <v>27.339470294704014</v>
      </c>
      <c r="S305" s="112">
        <v>71.212500000000006</v>
      </c>
      <c r="T305" s="112">
        <v>63.477700000000006</v>
      </c>
      <c r="U305" s="146">
        <v>38.642499999999998</v>
      </c>
      <c r="V305" s="113">
        <v>28.9329</v>
      </c>
      <c r="W305" s="113">
        <v>72.295200000000008</v>
      </c>
      <c r="X305" s="126">
        <v>62.185900000000004</v>
      </c>
      <c r="Y305" s="126">
        <v>33.863999999999997</v>
      </c>
      <c r="Z305" s="104">
        <v>25.228299999999997</v>
      </c>
      <c r="AA305" s="104">
        <v>76.780891261046293</v>
      </c>
      <c r="AB305" s="104">
        <v>67.647978329330527</v>
      </c>
      <c r="AC305" s="104">
        <v>39.125868637863213</v>
      </c>
      <c r="AD305" s="104">
        <v>28.373228601932244</v>
      </c>
    </row>
    <row r="306" spans="1:30" ht="14.7" customHeight="1">
      <c r="A306" s="110" t="s">
        <v>161</v>
      </c>
      <c r="B306" s="190"/>
      <c r="C306">
        <v>84.045862185504987</v>
      </c>
      <c r="D306">
        <v>73.107045845502711</v>
      </c>
      <c r="E306">
        <v>51.39712276181335</v>
      </c>
      <c r="F306">
        <v>43.314158954332221</v>
      </c>
      <c r="G306">
        <v>82.42004399567692</v>
      </c>
      <c r="H306">
        <v>74.749591604275693</v>
      </c>
      <c r="I306" s="147">
        <v>51.976919054548695</v>
      </c>
      <c r="J306" s="112">
        <v>41.345658844655588</v>
      </c>
      <c r="K306" s="112">
        <v>81.334642633379914</v>
      </c>
      <c r="L306" s="126">
        <v>74.201638249710953</v>
      </c>
      <c r="M306" s="112">
        <v>49.949720715879295</v>
      </c>
      <c r="N306" s="126">
        <v>43.756819255133784</v>
      </c>
      <c r="O306" s="147">
        <v>73.071086983978844</v>
      </c>
      <c r="P306" s="147">
        <v>62.094214962085829</v>
      </c>
      <c r="Q306" s="147">
        <v>31.192732608151807</v>
      </c>
      <c r="R306" s="112">
        <v>20.967703693543793</v>
      </c>
      <c r="S306" s="112">
        <v>73.954299999999989</v>
      </c>
      <c r="T306" s="112">
        <v>63.543799999999997</v>
      </c>
      <c r="U306" s="146">
        <v>40.058199999999999</v>
      </c>
      <c r="V306" s="113">
        <v>30.167999999999999</v>
      </c>
      <c r="W306" s="113">
        <v>74.45920000000001</v>
      </c>
      <c r="X306" s="126">
        <v>66.312600000000003</v>
      </c>
      <c r="Y306" s="126">
        <v>36.651899999999998</v>
      </c>
      <c r="Z306" s="104">
        <v>28.2653</v>
      </c>
      <c r="AA306" s="104">
        <v>78.669032275220886</v>
      </c>
      <c r="AB306" s="104">
        <v>67.103076148306997</v>
      </c>
      <c r="AC306" s="104">
        <v>40.055466259667796</v>
      </c>
      <c r="AD306" s="104">
        <v>28.425466529890624</v>
      </c>
    </row>
    <row r="307" spans="1:30" ht="14.7" customHeight="1">
      <c r="A307" s="26" t="s">
        <v>162</v>
      </c>
      <c r="B307" s="190"/>
      <c r="C307">
        <v>87.046959920339845</v>
      </c>
      <c r="D307">
        <v>76.558101820970734</v>
      </c>
      <c r="E307">
        <v>54.203177619178334</v>
      </c>
      <c r="F307">
        <v>43.426324341685415</v>
      </c>
      <c r="G307">
        <v>90.336394424905563</v>
      </c>
      <c r="H307">
        <v>82.902737317877921</v>
      </c>
      <c r="I307" s="147">
        <v>61.090726555952976</v>
      </c>
      <c r="J307" s="112">
        <v>49.173847934252287</v>
      </c>
      <c r="K307" s="112">
        <v>85.662843371163262</v>
      </c>
      <c r="L307" s="126">
        <v>79.521927270557384</v>
      </c>
      <c r="M307" s="112">
        <v>59.586866477500699</v>
      </c>
      <c r="N307" s="126">
        <v>46.795324212488666</v>
      </c>
      <c r="O307" s="147">
        <v>75.436602090785271</v>
      </c>
      <c r="P307" s="147">
        <v>68.521775248726129</v>
      </c>
      <c r="Q307" s="147">
        <v>37.87868958800054</v>
      </c>
      <c r="R307" s="112">
        <v>26.106156181301799</v>
      </c>
      <c r="S307" s="112">
        <v>81.052599999999998</v>
      </c>
      <c r="T307" s="112">
        <v>73.796300000000002</v>
      </c>
      <c r="U307" s="147">
        <v>42.724800000000002</v>
      </c>
      <c r="V307" s="149">
        <v>29.196499999999997</v>
      </c>
      <c r="W307" s="149">
        <v>78.837000000000003</v>
      </c>
      <c r="X307" s="126">
        <v>69.884799999999998</v>
      </c>
      <c r="Y307" s="126">
        <v>42.599499999999999</v>
      </c>
      <c r="Z307" s="104">
        <v>31.980900000000002</v>
      </c>
      <c r="AA307" s="104">
        <v>79.266523104778315</v>
      </c>
      <c r="AB307" s="104">
        <v>72.035197269187009</v>
      </c>
      <c r="AC307" s="104">
        <v>45.030597995871666</v>
      </c>
      <c r="AD307" s="104">
        <v>33.870576517025768</v>
      </c>
    </row>
    <row r="308" spans="1:30" ht="14.7" customHeight="1">
      <c r="A308" s="110" t="s">
        <v>163</v>
      </c>
      <c r="B308" s="190"/>
      <c r="C308">
        <v>84.283065208548607</v>
      </c>
      <c r="D308">
        <v>75.94903255106432</v>
      </c>
      <c r="E308">
        <v>53.031562220301389</v>
      </c>
      <c r="F308">
        <v>44.242471900705006</v>
      </c>
      <c r="G308">
        <v>85.723184865821864</v>
      </c>
      <c r="H308">
        <v>77.207042433379883</v>
      </c>
      <c r="I308" s="147">
        <v>58.951544136729325</v>
      </c>
      <c r="J308" s="112">
        <v>47.399251102954807</v>
      </c>
      <c r="K308" s="112">
        <v>84.971646099274039</v>
      </c>
      <c r="L308" s="126">
        <v>80.379028371364967</v>
      </c>
      <c r="M308" s="112">
        <v>58.458833041905812</v>
      </c>
      <c r="N308" s="126">
        <v>52.599148420914275</v>
      </c>
      <c r="O308" s="147">
        <v>79.793844534192431</v>
      </c>
      <c r="P308" s="147">
        <v>72.81547145448755</v>
      </c>
      <c r="Q308" s="147">
        <v>45.434687113715583</v>
      </c>
      <c r="R308" s="112">
        <v>30.770454924831803</v>
      </c>
      <c r="S308" s="112">
        <v>85.367999999999995</v>
      </c>
      <c r="T308" s="112">
        <v>76.2346</v>
      </c>
      <c r="U308" s="146">
        <v>47.911900000000003</v>
      </c>
      <c r="V308" s="113">
        <v>32.5854</v>
      </c>
      <c r="W308" s="113">
        <v>73.3446</v>
      </c>
      <c r="X308" s="126">
        <v>65.480999999999995</v>
      </c>
      <c r="Y308" s="126">
        <v>41.298299999999998</v>
      </c>
      <c r="Z308" s="104">
        <v>29.603200000000001</v>
      </c>
      <c r="AA308" s="104" t="s">
        <v>911</v>
      </c>
      <c r="AB308" s="104" t="s">
        <v>911</v>
      </c>
      <c r="AC308" s="104" t="s">
        <v>911</v>
      </c>
      <c r="AD308" s="104" t="s">
        <v>911</v>
      </c>
    </row>
    <row r="309" spans="1:30" ht="14.7" customHeight="1">
      <c r="A309" s="110" t="s">
        <v>164</v>
      </c>
      <c r="B309" s="190"/>
      <c r="C309">
        <v>86.598271477349996</v>
      </c>
      <c r="D309">
        <v>75.722547567422865</v>
      </c>
      <c r="E309">
        <v>50.982955769822659</v>
      </c>
      <c r="F309">
        <v>41.18414132477109</v>
      </c>
      <c r="G309">
        <v>88.256750626325712</v>
      </c>
      <c r="H309">
        <v>81.367891226525586</v>
      </c>
      <c r="I309" s="147">
        <v>63.270264209241091</v>
      </c>
      <c r="J309" s="112">
        <v>48.410467038215231</v>
      </c>
      <c r="K309" s="112">
        <v>88.842052425219748</v>
      </c>
      <c r="L309" s="126">
        <v>84.097420628551262</v>
      </c>
      <c r="M309" s="112">
        <v>63.182361721935088</v>
      </c>
      <c r="N309" s="126">
        <v>52.328777567333319</v>
      </c>
      <c r="O309" s="147">
        <v>79.27512458474169</v>
      </c>
      <c r="P309" s="147">
        <v>70.543002682592132</v>
      </c>
      <c r="Q309" s="147">
        <v>46.059351572631286</v>
      </c>
      <c r="R309" s="112">
        <v>35.959891468315</v>
      </c>
      <c r="S309" s="112">
        <v>85.393000000000001</v>
      </c>
      <c r="T309" s="112">
        <v>73.997599999999991</v>
      </c>
      <c r="U309" s="146">
        <v>47.867800000000003</v>
      </c>
      <c r="V309" s="113">
        <v>36.152299999999997</v>
      </c>
      <c r="W309" s="113">
        <v>82.087600000000009</v>
      </c>
      <c r="X309" s="126">
        <v>74.489799999999988</v>
      </c>
      <c r="Y309" s="126">
        <v>45.229599999999998</v>
      </c>
      <c r="Z309" s="104">
        <v>34.268000000000001</v>
      </c>
      <c r="AA309" s="104">
        <v>85.304403770001343</v>
      </c>
      <c r="AB309" s="104">
        <v>76.171982529404332</v>
      </c>
      <c r="AC309" s="104">
        <v>48.888408920083343</v>
      </c>
      <c r="AD309" s="104">
        <v>33.757854683286496</v>
      </c>
    </row>
    <row r="310" spans="1:30" ht="14.7" customHeight="1">
      <c r="A310" s="110" t="s">
        <v>813</v>
      </c>
      <c r="B310" s="190"/>
      <c r="C310">
        <v>83.746004315621562</v>
      </c>
      <c r="D310">
        <v>73.490171017087761</v>
      </c>
      <c r="E310">
        <v>53.215132828650347</v>
      </c>
      <c r="F310">
        <v>44.853041405892455</v>
      </c>
      <c r="G310">
        <v>82.525042555977464</v>
      </c>
      <c r="H310">
        <v>75.237849177888222</v>
      </c>
      <c r="I310" s="147">
        <v>55.34346806113907</v>
      </c>
      <c r="J310" s="112">
        <v>43.497824581709949</v>
      </c>
      <c r="K310" s="112">
        <v>83.958070499460163</v>
      </c>
      <c r="L310" s="126">
        <v>78.097333532313428</v>
      </c>
      <c r="M310" s="112">
        <v>59.359257212692249</v>
      </c>
      <c r="N310" s="126">
        <v>48.472357228422425</v>
      </c>
      <c r="O310" s="147">
        <v>70.803680733670902</v>
      </c>
      <c r="P310" s="147">
        <v>61.445113413847807</v>
      </c>
      <c r="Q310" s="147">
        <v>36.442009423655534</v>
      </c>
      <c r="R310" s="112">
        <v>25.985913185094113</v>
      </c>
      <c r="S310" s="112">
        <v>69.324600000000004</v>
      </c>
      <c r="T310" s="112">
        <v>60.0336</v>
      </c>
      <c r="U310" s="146">
        <v>37.469000000000001</v>
      </c>
      <c r="V310" s="113">
        <v>28.9312</v>
      </c>
      <c r="W310" s="113">
        <v>75.756799999999998</v>
      </c>
      <c r="X310" s="126">
        <v>66.210999999999999</v>
      </c>
      <c r="Y310" s="126">
        <v>42.123100000000001</v>
      </c>
      <c r="Z310" s="104">
        <v>31.917899999999999</v>
      </c>
      <c r="AA310" s="104">
        <v>78.401474045750348</v>
      </c>
      <c r="AB310" s="104">
        <v>70.236273405415886</v>
      </c>
      <c r="AC310" s="104">
        <v>41.057300651480155</v>
      </c>
      <c r="AD310" s="104">
        <v>32.70500954657539</v>
      </c>
    </row>
    <row r="311" spans="1:30" ht="14.7" customHeight="1">
      <c r="A311" s="110" t="s">
        <v>165</v>
      </c>
      <c r="B311" s="190"/>
      <c r="C311">
        <v>81.311162438692349</v>
      </c>
      <c r="D311">
        <v>72.553273288947167</v>
      </c>
      <c r="E311">
        <v>45.642457474839858</v>
      </c>
      <c r="F311">
        <v>35.294061576586394</v>
      </c>
      <c r="G311">
        <v>80.46329504653221</v>
      </c>
      <c r="H311">
        <v>74.015478220171843</v>
      </c>
      <c r="I311" s="147">
        <v>50.107394778190084</v>
      </c>
      <c r="J311" s="112">
        <v>42.470873867549223</v>
      </c>
      <c r="K311" s="112">
        <v>81.922154331791475</v>
      </c>
      <c r="L311" s="126">
        <v>74.599623628955797</v>
      </c>
      <c r="M311" s="112">
        <v>54.546395749889868</v>
      </c>
      <c r="N311" s="126">
        <v>45.758111567420968</v>
      </c>
      <c r="O311" s="147">
        <v>74.15076070104783</v>
      </c>
      <c r="P311" s="147">
        <v>63.499947700676849</v>
      </c>
      <c r="Q311" s="147">
        <v>39.212059688485347</v>
      </c>
      <c r="R311" s="112">
        <v>26.524756045787612</v>
      </c>
      <c r="S311" s="112">
        <v>77.364200000000011</v>
      </c>
      <c r="T311" s="112">
        <v>68.349800000000002</v>
      </c>
      <c r="U311" s="146">
        <v>44.448599999999999</v>
      </c>
      <c r="V311" s="113">
        <v>33.524700000000003</v>
      </c>
      <c r="W311" s="113">
        <v>76.061900000000009</v>
      </c>
      <c r="X311" s="126">
        <v>65.118299999999991</v>
      </c>
      <c r="Y311" s="126">
        <v>38.360499999999995</v>
      </c>
      <c r="Z311" s="104">
        <v>26.824999999999999</v>
      </c>
      <c r="AA311" s="104">
        <v>78.956322709094479</v>
      </c>
      <c r="AB311" s="104">
        <v>69.833290091203978</v>
      </c>
      <c r="AC311" s="104">
        <v>41.532487022877483</v>
      </c>
      <c r="AD311" s="104">
        <v>30.742667175147531</v>
      </c>
    </row>
    <row r="312" spans="1:30" ht="14.7" customHeight="1">
      <c r="A312" s="110" t="s">
        <v>166</v>
      </c>
      <c r="B312" s="190"/>
      <c r="C312">
        <v>88.371683731643486</v>
      </c>
      <c r="D312">
        <v>77.144177376023052</v>
      </c>
      <c r="E312">
        <v>54.476849279820016</v>
      </c>
      <c r="F312">
        <v>45.027621207773556</v>
      </c>
      <c r="G312">
        <v>84.521412053385845</v>
      </c>
      <c r="H312">
        <v>78.090075455986764</v>
      </c>
      <c r="I312" s="147">
        <v>50.735177995319646</v>
      </c>
      <c r="J312" s="112">
        <v>41.516175146492088</v>
      </c>
      <c r="K312" s="112">
        <v>91.284423794045495</v>
      </c>
      <c r="L312" s="126">
        <v>83.827449940432771</v>
      </c>
      <c r="M312" s="112">
        <v>67.653493572164734</v>
      </c>
      <c r="N312" s="126">
        <v>56.961730322225499</v>
      </c>
      <c r="O312" s="147">
        <v>77.513672691366565</v>
      </c>
      <c r="P312" s="147">
        <v>69.360536345003553</v>
      </c>
      <c r="Q312" s="147">
        <v>41.655014519457183</v>
      </c>
      <c r="R312" s="112">
        <v>29.079560315430658</v>
      </c>
      <c r="S312" s="112">
        <v>86.347399999999993</v>
      </c>
      <c r="T312" s="112">
        <v>75.976200000000006</v>
      </c>
      <c r="U312" s="146">
        <v>50.918699999999994</v>
      </c>
      <c r="V312" s="113">
        <v>39.2654</v>
      </c>
      <c r="W312" s="113">
        <v>86.168700000000001</v>
      </c>
      <c r="X312" s="126">
        <v>76.746000000000009</v>
      </c>
      <c r="Y312" s="126">
        <v>43.857399999999998</v>
      </c>
      <c r="Z312" s="104">
        <v>29.727199999999996</v>
      </c>
      <c r="AA312" s="104">
        <v>80.635663596705356</v>
      </c>
      <c r="AB312" s="104">
        <v>73.462859835952202</v>
      </c>
      <c r="AC312" s="104">
        <v>43.872671484400897</v>
      </c>
      <c r="AD312" s="104">
        <v>30.968820908801714</v>
      </c>
    </row>
    <row r="313" spans="1:30" ht="14.7" customHeight="1">
      <c r="A313" s="110" t="s">
        <v>167</v>
      </c>
      <c r="B313" s="190"/>
      <c r="C313">
        <v>86.764319655561934</v>
      </c>
      <c r="D313">
        <v>77.514825179263482</v>
      </c>
      <c r="E313">
        <v>48.347641688167393</v>
      </c>
      <c r="F313">
        <v>36.698209677352608</v>
      </c>
      <c r="G313">
        <v>85.975710168793739</v>
      </c>
      <c r="H313">
        <v>77.925425796599484</v>
      </c>
      <c r="I313" s="147">
        <v>56.302499942551677</v>
      </c>
      <c r="J313" s="112">
        <v>41.439676116743371</v>
      </c>
      <c r="K313" s="112">
        <v>87.325329977087165</v>
      </c>
      <c r="L313" s="126">
        <v>79.965426775945176</v>
      </c>
      <c r="M313" s="112">
        <v>61.554168107217677</v>
      </c>
      <c r="N313" s="126">
        <v>46.415976896951463</v>
      </c>
      <c r="O313" s="147">
        <v>78.940213287375414</v>
      </c>
      <c r="P313" s="147">
        <v>71.733949859924621</v>
      </c>
      <c r="Q313" s="147">
        <v>42.902022098631306</v>
      </c>
      <c r="R313" s="112">
        <v>30.730658862835149</v>
      </c>
      <c r="S313" s="112">
        <v>77.831199999999995</v>
      </c>
      <c r="T313" s="112">
        <v>68.013500000000008</v>
      </c>
      <c r="U313" s="146">
        <v>41.572299999999998</v>
      </c>
      <c r="V313" s="113">
        <v>30.608800000000002</v>
      </c>
      <c r="W313" s="113">
        <v>78.106699999999989</v>
      </c>
      <c r="X313" s="126">
        <v>70.431100000000001</v>
      </c>
      <c r="Y313" s="126">
        <v>37.527500000000003</v>
      </c>
      <c r="Z313" s="104">
        <v>27.142800000000001</v>
      </c>
      <c r="AA313" s="104">
        <v>83.251610631426161</v>
      </c>
      <c r="AB313" s="104">
        <v>74.008945157661074</v>
      </c>
      <c r="AC313" s="104">
        <v>45.231941141879972</v>
      </c>
      <c r="AD313" s="104">
        <v>33.589588471285289</v>
      </c>
    </row>
    <row r="314" spans="1:30" ht="14.7" customHeight="1">
      <c r="A314" s="110" t="s">
        <v>168</v>
      </c>
      <c r="B314" s="189"/>
      <c r="C314">
        <v>83.679691876923059</v>
      </c>
      <c r="D314">
        <v>74.276401585949742</v>
      </c>
      <c r="E314">
        <v>50.035683764905315</v>
      </c>
      <c r="F314">
        <v>38.666286687572914</v>
      </c>
      <c r="G314">
        <v>79.897301165447303</v>
      </c>
      <c r="H314">
        <v>72.723485726832649</v>
      </c>
      <c r="I314" s="147">
        <v>55.365853158031911</v>
      </c>
      <c r="J314" s="112">
        <v>44.689142296634813</v>
      </c>
      <c r="K314" s="112">
        <v>85.647640440621103</v>
      </c>
      <c r="L314" s="126">
        <v>78.702659627452931</v>
      </c>
      <c r="M314" s="112">
        <v>60.820400438290669</v>
      </c>
      <c r="N314" s="126">
        <v>50.84749477039545</v>
      </c>
      <c r="O314" s="147">
        <v>76.670307758858542</v>
      </c>
      <c r="P314" s="147">
        <v>68.589792133817468</v>
      </c>
      <c r="Q314" s="147">
        <v>42.125416557358982</v>
      </c>
      <c r="R314" s="112">
        <v>32.423671020179157</v>
      </c>
      <c r="S314" s="112">
        <v>79.441199999999995</v>
      </c>
      <c r="T314" s="112">
        <v>71.650499999999994</v>
      </c>
      <c r="U314" s="146">
        <v>48.174399999999999</v>
      </c>
      <c r="V314" s="113">
        <v>35.696399999999997</v>
      </c>
      <c r="W314" s="113">
        <v>77.9602</v>
      </c>
      <c r="X314" s="126">
        <v>71.062399999999997</v>
      </c>
      <c r="Y314" s="126">
        <v>46.383699999999997</v>
      </c>
      <c r="Z314" s="104">
        <v>34.3508</v>
      </c>
      <c r="AA314" s="104">
        <v>82.007260096217237</v>
      </c>
      <c r="AB314" s="104">
        <v>73.216685180144438</v>
      </c>
      <c r="AC314" s="104">
        <v>47.954604359681831</v>
      </c>
      <c r="AD314" s="104">
        <v>37.337982198420143</v>
      </c>
    </row>
    <row r="315" spans="1:30" ht="14.7" customHeight="1">
      <c r="A315" s="110" t="s">
        <v>169</v>
      </c>
      <c r="B315" s="190"/>
      <c r="C315">
        <v>86.349527368095664</v>
      </c>
      <c r="D315">
        <v>77.521520720485313</v>
      </c>
      <c r="E315">
        <v>50.708247188522812</v>
      </c>
      <c r="F315">
        <v>35.175364133029504</v>
      </c>
      <c r="G315">
        <v>87.297782736362024</v>
      </c>
      <c r="H315">
        <v>77.575120297215761</v>
      </c>
      <c r="I315" s="147">
        <v>53.866454174102898</v>
      </c>
      <c r="J315" s="112">
        <v>43.634978302345971</v>
      </c>
      <c r="K315" s="112">
        <v>85.944870016285662</v>
      </c>
      <c r="L315" s="126">
        <v>80.529669495264571</v>
      </c>
      <c r="M315" s="112">
        <v>61.485988692448977</v>
      </c>
      <c r="N315" s="126">
        <v>50.448915932154691</v>
      </c>
      <c r="O315" s="147">
        <v>80.784189076177299</v>
      </c>
      <c r="P315" s="147">
        <v>69.019052037883029</v>
      </c>
      <c r="Q315" s="147">
        <v>46.043804414860709</v>
      </c>
      <c r="R315" s="112">
        <v>28.922706532302495</v>
      </c>
      <c r="S315" s="112">
        <v>82.587299999999999</v>
      </c>
      <c r="T315" s="112">
        <v>73.964700000000008</v>
      </c>
      <c r="U315" s="146">
        <v>40.854800000000004</v>
      </c>
      <c r="V315" s="113">
        <v>31.575700000000001</v>
      </c>
      <c r="W315" s="113">
        <v>82.684299999999993</v>
      </c>
      <c r="X315" s="126">
        <v>70.207999999999998</v>
      </c>
      <c r="Y315" s="126">
        <v>42.021300000000004</v>
      </c>
      <c r="Z315" s="104">
        <v>29.3371</v>
      </c>
      <c r="AA315" s="104">
        <v>82.620404052100412</v>
      </c>
      <c r="AB315" s="104">
        <v>71.820925577572382</v>
      </c>
      <c r="AC315" s="104">
        <v>46.772262596618681</v>
      </c>
      <c r="AD315" s="104">
        <v>37.110541235835747</v>
      </c>
    </row>
    <row r="316" spans="1:30" ht="14.7" customHeight="1">
      <c r="A316" s="110" t="s">
        <v>293</v>
      </c>
      <c r="B316" s="190"/>
      <c r="C316">
        <v>84.550320688912677</v>
      </c>
      <c r="D316">
        <v>74.548688463543897</v>
      </c>
      <c r="E316">
        <v>53.296666367000448</v>
      </c>
      <c r="F316">
        <v>44.1598573318714</v>
      </c>
      <c r="G316">
        <v>85.156504184155381</v>
      </c>
      <c r="H316">
        <v>74.647321693839373</v>
      </c>
      <c r="I316" s="147">
        <v>52.893857404246688</v>
      </c>
      <c r="J316" s="112">
        <v>45.287070408625333</v>
      </c>
      <c r="K316" s="112">
        <v>82.827410867380124</v>
      </c>
      <c r="L316" s="126">
        <v>77.528214821815737</v>
      </c>
      <c r="M316" s="112">
        <v>58.010150187834064</v>
      </c>
      <c r="N316" s="126">
        <v>48.840829487963525</v>
      </c>
      <c r="O316" s="147">
        <v>70.871666387133629</v>
      </c>
      <c r="P316" s="147">
        <v>61.586495082061752</v>
      </c>
      <c r="Q316" s="147">
        <v>37.144894253890911</v>
      </c>
      <c r="R316" s="112">
        <v>27.955873469887848</v>
      </c>
      <c r="S316" s="112">
        <v>71.408199999999994</v>
      </c>
      <c r="T316" s="112">
        <v>65.03609999999999</v>
      </c>
      <c r="U316" s="146">
        <v>36.709000000000003</v>
      </c>
      <c r="V316" s="113">
        <v>25.994400000000002</v>
      </c>
      <c r="W316" s="113">
        <v>70.016300000000001</v>
      </c>
      <c r="X316" s="126">
        <v>60.484000000000002</v>
      </c>
      <c r="Y316" s="126">
        <v>38.236699999999999</v>
      </c>
      <c r="Z316" s="104">
        <v>26.8</v>
      </c>
      <c r="AA316" s="104">
        <v>73.962523221062611</v>
      </c>
      <c r="AB316" s="104">
        <v>64.067430816830083</v>
      </c>
      <c r="AC316" s="104">
        <v>36.834297943040077</v>
      </c>
      <c r="AD316" s="104">
        <v>26.565617139750429</v>
      </c>
    </row>
    <row r="317" spans="1:30" ht="14.7" customHeight="1">
      <c r="A317" s="110" t="s">
        <v>349</v>
      </c>
      <c r="B317" s="190"/>
      <c r="C317">
        <v>88.175170113662745</v>
      </c>
      <c r="D317">
        <v>76.476490027576872</v>
      </c>
      <c r="E317">
        <v>52.024293906682729</v>
      </c>
      <c r="F317">
        <v>39.974674768897515</v>
      </c>
      <c r="G317">
        <v>87.702499308876085</v>
      </c>
      <c r="H317">
        <v>81.364502463479454</v>
      </c>
      <c r="I317" s="147">
        <v>55.242165066484141</v>
      </c>
      <c r="J317" s="112">
        <v>43.650553846090602</v>
      </c>
      <c r="K317" s="112">
        <v>89.524950872988001</v>
      </c>
      <c r="L317" s="126">
        <v>85.647220073496669</v>
      </c>
      <c r="M317" s="112">
        <v>64.549653342744392</v>
      </c>
      <c r="N317" s="126">
        <v>49.291809696554353</v>
      </c>
      <c r="O317" s="147">
        <v>82.181813502157539</v>
      </c>
      <c r="P317" s="147">
        <v>71.166702861618191</v>
      </c>
      <c r="Q317" s="147">
        <v>44.204191945350964</v>
      </c>
      <c r="R317" s="112">
        <v>33.840388027832013</v>
      </c>
      <c r="S317" s="112">
        <v>82.249700000000004</v>
      </c>
      <c r="T317" s="112">
        <v>73.000600000000006</v>
      </c>
      <c r="U317" s="146">
        <v>47.187400000000004</v>
      </c>
      <c r="V317" s="113">
        <v>32.308799999999998</v>
      </c>
      <c r="W317" s="113">
        <v>83.748199999999997</v>
      </c>
      <c r="X317" s="126">
        <v>73.691099999999992</v>
      </c>
      <c r="Y317" s="126">
        <v>44.664099999999998</v>
      </c>
      <c r="Z317" s="104">
        <v>32.741100000000003</v>
      </c>
      <c r="AA317" s="104">
        <v>84.42401847183821</v>
      </c>
      <c r="AB317" s="104">
        <v>74.698351672353709</v>
      </c>
      <c r="AC317" s="104">
        <v>46.968328681041321</v>
      </c>
      <c r="AD317" s="104">
        <v>33.093835114276757</v>
      </c>
    </row>
    <row r="318" spans="1:30" ht="14.7" customHeight="1">
      <c r="A318" s="110" t="s">
        <v>294</v>
      </c>
      <c r="B318" s="190"/>
      <c r="C318">
        <v>86.963737037054031</v>
      </c>
      <c r="D318">
        <v>78.676362965965239</v>
      </c>
      <c r="E318">
        <v>58.3369819116608</v>
      </c>
      <c r="F318">
        <v>45.99324539125638</v>
      </c>
      <c r="G318">
        <v>86.302141017090193</v>
      </c>
      <c r="H318">
        <v>78.115099157428475</v>
      </c>
      <c r="I318" s="147">
        <v>60.093186860987203</v>
      </c>
      <c r="J318" s="112">
        <v>49.39259147725015</v>
      </c>
      <c r="K318" s="112">
        <v>84.648130929492226</v>
      </c>
      <c r="L318" s="126">
        <v>78.012120436847411</v>
      </c>
      <c r="M318" s="112">
        <v>59.692951598202725</v>
      </c>
      <c r="N318" s="126">
        <v>48.30605702041926</v>
      </c>
      <c r="O318" s="147">
        <v>80.504380042788753</v>
      </c>
      <c r="P318" s="147">
        <v>74.056537616461398</v>
      </c>
      <c r="Q318" s="147">
        <v>42.545118322021395</v>
      </c>
      <c r="R318" s="112">
        <v>30.309989308231565</v>
      </c>
      <c r="S318" s="112">
        <v>83.253999999999991</v>
      </c>
      <c r="T318" s="112">
        <v>70.787800000000004</v>
      </c>
      <c r="U318" s="146">
        <v>45.097700000000003</v>
      </c>
      <c r="V318" s="113">
        <v>37.076599999999999</v>
      </c>
      <c r="W318" s="113">
        <v>77.041700000000006</v>
      </c>
      <c r="X318" s="126">
        <v>70.343199999999996</v>
      </c>
      <c r="Y318" s="126">
        <v>48.465499999999999</v>
      </c>
      <c r="Z318" s="104">
        <v>36.467799999999997</v>
      </c>
      <c r="AA318" s="104">
        <v>80.880498742739405</v>
      </c>
      <c r="AB318" s="104">
        <v>73.935879392573838</v>
      </c>
      <c r="AC318" s="104">
        <v>48.210189328794733</v>
      </c>
      <c r="AD318" s="104">
        <v>35.180253634781003</v>
      </c>
    </row>
    <row r="319" spans="1:30" ht="14.7" customHeight="1">
      <c r="A319" s="26" t="s">
        <v>170</v>
      </c>
      <c r="B319" s="190"/>
      <c r="C319">
        <v>87.206412523138283</v>
      </c>
      <c r="D319">
        <v>81.311279681823919</v>
      </c>
      <c r="E319">
        <v>58.427571273039781</v>
      </c>
      <c r="F319">
        <v>45.720951058169767</v>
      </c>
      <c r="G319">
        <v>87.690846155990968</v>
      </c>
      <c r="H319">
        <v>80.784121084981336</v>
      </c>
      <c r="I319" s="147">
        <v>57.312833067248626</v>
      </c>
      <c r="J319" s="112">
        <v>47.726133410105319</v>
      </c>
      <c r="K319" s="112">
        <v>83.955033417874972</v>
      </c>
      <c r="L319" s="126">
        <v>78.308556724864047</v>
      </c>
      <c r="M319" s="112">
        <v>61.691242247886699</v>
      </c>
      <c r="N319" s="126">
        <v>49.067334077134149</v>
      </c>
      <c r="O319" s="147">
        <v>77.466412788520174</v>
      </c>
      <c r="P319" s="147">
        <v>62.284496126739732</v>
      </c>
      <c r="Q319" s="147">
        <v>38.777254000876312</v>
      </c>
      <c r="R319" s="112">
        <v>29.546512985165919</v>
      </c>
      <c r="S319" s="112">
        <v>79.791699999999992</v>
      </c>
      <c r="T319" s="112">
        <v>70.097799999999992</v>
      </c>
      <c r="U319" s="146">
        <v>42.021099999999997</v>
      </c>
      <c r="V319" s="113">
        <v>32.000900000000001</v>
      </c>
      <c r="W319" s="113">
        <v>81.510899999999992</v>
      </c>
      <c r="X319" s="126">
        <v>73.772099999999995</v>
      </c>
      <c r="Y319" s="126">
        <v>48.239900000000006</v>
      </c>
      <c r="Z319" s="104">
        <v>36.596299999999999</v>
      </c>
      <c r="AA319" s="104">
        <v>78.572724688355649</v>
      </c>
      <c r="AB319" s="104">
        <v>71.129366689618536</v>
      </c>
      <c r="AC319" s="104">
        <v>44.030752791752391</v>
      </c>
      <c r="AD319" s="104">
        <v>32.20283339515094</v>
      </c>
    </row>
    <row r="320" spans="1:30" ht="14.7" customHeight="1">
      <c r="A320" s="26" t="s">
        <v>219</v>
      </c>
      <c r="B320" s="190"/>
      <c r="C320">
        <v>92.399438482173423</v>
      </c>
      <c r="D320">
        <v>84.06845755711953</v>
      </c>
      <c r="E320">
        <v>66.993886729400515</v>
      </c>
      <c r="F320">
        <v>52.047863835703382</v>
      </c>
      <c r="G320">
        <v>88.888350279336379</v>
      </c>
      <c r="H320">
        <v>80.416546376871381</v>
      </c>
      <c r="I320" s="147">
        <v>65.460263125335089</v>
      </c>
      <c r="J320" s="112">
        <v>56.577308533014403</v>
      </c>
      <c r="K320" s="112">
        <v>92.09438649920429</v>
      </c>
      <c r="L320" s="126">
        <v>87.654542479343391</v>
      </c>
      <c r="M320" s="112">
        <v>74.013402389087247</v>
      </c>
      <c r="N320" s="126">
        <v>68.125459610467189</v>
      </c>
      <c r="O320" s="147">
        <v>81.185932833365669</v>
      </c>
      <c r="P320" s="147">
        <v>76.223509795261407</v>
      </c>
      <c r="Q320" s="147">
        <v>52.996432757260628</v>
      </c>
      <c r="R320" s="112">
        <v>40.107188747536895</v>
      </c>
      <c r="S320" s="112">
        <v>82.356499999999997</v>
      </c>
      <c r="T320" s="112">
        <v>76.731300000000005</v>
      </c>
      <c r="U320" s="146">
        <v>53.283899999999996</v>
      </c>
      <c r="V320" s="113">
        <v>39.293099999999995</v>
      </c>
      <c r="W320" s="113">
        <v>83.145099999999999</v>
      </c>
      <c r="X320" s="126">
        <v>75.393299999999996</v>
      </c>
      <c r="Y320" s="126">
        <v>53.502700000000004</v>
      </c>
      <c r="Z320" s="104">
        <v>38.228699999999996</v>
      </c>
      <c r="AA320" s="104">
        <v>83.979639021221899</v>
      </c>
      <c r="AB320" s="104">
        <v>76.984399159819631</v>
      </c>
      <c r="AC320" s="104">
        <v>50.370402341744693</v>
      </c>
      <c r="AD320" s="104">
        <v>39.585324909755293</v>
      </c>
    </row>
    <row r="321" spans="1:30" ht="14.7" customHeight="1">
      <c r="A321" s="26" t="s">
        <v>252</v>
      </c>
      <c r="B321" s="190"/>
      <c r="C321">
        <v>89.553859961470963</v>
      </c>
      <c r="D321">
        <v>82.288560590262676</v>
      </c>
      <c r="E321">
        <v>54.586749467330606</v>
      </c>
      <c r="F321">
        <v>45.264182899238122</v>
      </c>
      <c r="G321">
        <v>86.720994085453242</v>
      </c>
      <c r="H321">
        <v>77.613663401160693</v>
      </c>
      <c r="I321" s="147">
        <v>53.887055561877382</v>
      </c>
      <c r="J321" s="112">
        <v>41.767511146513293</v>
      </c>
      <c r="K321" s="112">
        <v>83.056095953811635</v>
      </c>
      <c r="L321" s="126">
        <v>77.728925122922774</v>
      </c>
      <c r="M321" s="112">
        <v>57.053176213701683</v>
      </c>
      <c r="N321" s="126">
        <v>43.025146261288526</v>
      </c>
      <c r="O321" s="147">
        <v>79.526192136854164</v>
      </c>
      <c r="P321" s="147">
        <v>65.528977779201668</v>
      </c>
      <c r="Q321" s="147">
        <v>41.883431303781201</v>
      </c>
      <c r="R321" s="112">
        <v>29.141636163464302</v>
      </c>
      <c r="S321" s="112">
        <v>79.011099999999999</v>
      </c>
      <c r="T321" s="112">
        <v>69.50739999999999</v>
      </c>
      <c r="U321" s="146">
        <v>42.3386</v>
      </c>
      <c r="V321" s="113">
        <v>30.598399999999998</v>
      </c>
      <c r="W321" s="113">
        <v>79.359800000000007</v>
      </c>
      <c r="X321" s="126">
        <v>69.660200000000003</v>
      </c>
      <c r="Y321" s="126">
        <v>43.476599999999998</v>
      </c>
      <c r="Z321" s="104">
        <v>29.824200000000001</v>
      </c>
      <c r="AA321" s="104">
        <v>82.297244021194885</v>
      </c>
      <c r="AB321" s="104">
        <v>72.911263378706977</v>
      </c>
      <c r="AC321" s="104">
        <v>43.328655287552763</v>
      </c>
      <c r="AD321" s="104">
        <v>30.68763601368547</v>
      </c>
    </row>
    <row r="322" spans="1:30" ht="14.7" customHeight="1">
      <c r="A322" s="110" t="s">
        <v>171</v>
      </c>
      <c r="B322" s="190"/>
      <c r="C322">
        <v>89.073101022397438</v>
      </c>
      <c r="D322">
        <v>79.184280296394434</v>
      </c>
      <c r="E322">
        <v>55.836334220120122</v>
      </c>
      <c r="F322">
        <v>44.195324257286529</v>
      </c>
      <c r="G322">
        <v>88.448729470033058</v>
      </c>
      <c r="H322">
        <v>77.979574496032711</v>
      </c>
      <c r="I322" s="147">
        <v>55.26235853819724</v>
      </c>
      <c r="J322" s="112">
        <v>46.527130701059448</v>
      </c>
      <c r="K322" s="112">
        <v>87.143994720721778</v>
      </c>
      <c r="L322" s="126">
        <v>82.81200266798038</v>
      </c>
      <c r="M322" s="112">
        <v>60.270001236677842</v>
      </c>
      <c r="N322" s="126">
        <v>49.69113464177903</v>
      </c>
      <c r="O322" s="147">
        <v>82.23326523027032</v>
      </c>
      <c r="P322" s="147">
        <v>67.122149892325055</v>
      </c>
      <c r="Q322" s="147">
        <v>45.540522219305153</v>
      </c>
      <c r="R322" s="112">
        <v>33.914953897759169</v>
      </c>
      <c r="S322" s="112">
        <v>84.248599999999996</v>
      </c>
      <c r="T322" s="112">
        <v>76.593500000000006</v>
      </c>
      <c r="U322" s="147">
        <v>46.125799999999998</v>
      </c>
      <c r="V322" s="149">
        <v>34.868500000000004</v>
      </c>
      <c r="W322" s="149">
        <v>83.391499999999994</v>
      </c>
      <c r="X322" s="126">
        <v>76.409099999999995</v>
      </c>
      <c r="Y322" s="126">
        <v>48.751600000000003</v>
      </c>
      <c r="Z322" s="104">
        <v>34.440199999999997</v>
      </c>
      <c r="AA322" s="104">
        <v>87.387814475626797</v>
      </c>
      <c r="AB322" s="104">
        <v>76.642891557137617</v>
      </c>
      <c r="AC322" s="104">
        <v>48.395162445682239</v>
      </c>
      <c r="AD322" s="104">
        <v>33.331275872708183</v>
      </c>
    </row>
    <row r="323" spans="1:30" ht="14.7" customHeight="1">
      <c r="A323" s="110" t="s">
        <v>172</v>
      </c>
      <c r="B323" s="190"/>
      <c r="C323">
        <v>89.266430887613581</v>
      </c>
      <c r="D323">
        <v>83.480065760721104</v>
      </c>
      <c r="E323">
        <v>58.713946666806336</v>
      </c>
      <c r="F323">
        <v>44.558707471726336</v>
      </c>
      <c r="G323">
        <v>85.895234489321865</v>
      </c>
      <c r="H323">
        <v>79.012544492067818</v>
      </c>
      <c r="I323" s="147">
        <v>58.073194096903933</v>
      </c>
      <c r="J323" s="112">
        <v>50.203569275491574</v>
      </c>
      <c r="K323" s="112">
        <v>89.550182985913693</v>
      </c>
      <c r="L323" s="126">
        <v>82.396661699442859</v>
      </c>
      <c r="M323" s="112">
        <v>56.074520588157341</v>
      </c>
      <c r="N323" s="126">
        <v>42.532957971578782</v>
      </c>
      <c r="O323" s="147">
        <v>81.860979886204149</v>
      </c>
      <c r="P323" s="147">
        <v>72.134043044777556</v>
      </c>
      <c r="Q323" s="147">
        <v>43.439092004909313</v>
      </c>
      <c r="R323" s="112">
        <v>33.68253809484515</v>
      </c>
      <c r="S323" s="112">
        <v>79.490200000000002</v>
      </c>
      <c r="T323" s="112">
        <v>68.587600000000009</v>
      </c>
      <c r="U323" s="147">
        <v>45.132600000000004</v>
      </c>
      <c r="V323" s="149">
        <v>33.403100000000002</v>
      </c>
      <c r="W323" s="149">
        <v>82.650700000000001</v>
      </c>
      <c r="X323" s="126">
        <v>74.092299999999994</v>
      </c>
      <c r="Y323" s="126">
        <v>47.910799999999995</v>
      </c>
      <c r="Z323" s="104">
        <v>33.354299999999995</v>
      </c>
      <c r="AA323" s="104">
        <v>82.360675429974577</v>
      </c>
      <c r="AB323" s="104">
        <v>76.529604817703515</v>
      </c>
      <c r="AC323" s="104">
        <v>49.522012362515476</v>
      </c>
      <c r="AD323" s="104">
        <v>38.061857097765191</v>
      </c>
    </row>
    <row r="324" spans="1:30" ht="14.7" customHeight="1">
      <c r="A324" s="26" t="s">
        <v>173</v>
      </c>
      <c r="B324" s="190"/>
      <c r="C324">
        <v>90.058715820253155</v>
      </c>
      <c r="D324">
        <v>81.184418051439508</v>
      </c>
      <c r="E324">
        <v>56.769714933729453</v>
      </c>
      <c r="F324">
        <v>46.428190473605326</v>
      </c>
      <c r="G324">
        <v>88.841023975314144</v>
      </c>
      <c r="H324">
        <v>79.84018804282293</v>
      </c>
      <c r="I324" s="147">
        <v>56.988055858821227</v>
      </c>
      <c r="J324" s="112">
        <v>45.448231191643991</v>
      </c>
      <c r="K324" s="112">
        <v>87.208289864376852</v>
      </c>
      <c r="L324" s="126">
        <v>84.955926785523786</v>
      </c>
      <c r="M324" s="112">
        <v>66.148067481637014</v>
      </c>
      <c r="N324" s="126">
        <v>52.731251019048408</v>
      </c>
      <c r="O324" s="147">
        <v>82.842912526337358</v>
      </c>
      <c r="P324" s="147">
        <v>71.158085980997043</v>
      </c>
      <c r="Q324" s="147">
        <v>46.146108009867575</v>
      </c>
      <c r="R324" s="112">
        <v>33.503061184972537</v>
      </c>
      <c r="S324" s="112">
        <v>84.920500000000004</v>
      </c>
      <c r="T324" s="112">
        <v>72.5244</v>
      </c>
      <c r="U324" s="146">
        <v>41.138200000000005</v>
      </c>
      <c r="V324" s="113">
        <v>28.664000000000001</v>
      </c>
      <c r="W324" s="113">
        <v>86.662300000000002</v>
      </c>
      <c r="X324" s="126">
        <v>77.798400000000001</v>
      </c>
      <c r="Y324" s="126">
        <v>44.383099999999999</v>
      </c>
      <c r="Z324" s="104">
        <v>33.150600000000004</v>
      </c>
      <c r="AA324" s="104">
        <v>87.849849296209598</v>
      </c>
      <c r="AB324" s="104">
        <v>76.591134740777562</v>
      </c>
      <c r="AC324" s="104">
        <v>48.416246308806464</v>
      </c>
      <c r="AD324" s="104">
        <v>33.712414176612562</v>
      </c>
    </row>
    <row r="325" spans="1:30" ht="14.7" customHeight="1">
      <c r="A325" s="110" t="s">
        <v>253</v>
      </c>
      <c r="B325" s="190"/>
      <c r="C325">
        <v>80.99309118499545</v>
      </c>
      <c r="D325">
        <v>74.863276503785073</v>
      </c>
      <c r="E325">
        <v>50.635913672996288</v>
      </c>
      <c r="F325">
        <v>39.446329286303069</v>
      </c>
      <c r="G325">
        <v>83.642542941998968</v>
      </c>
      <c r="H325">
        <v>76.072134273229139</v>
      </c>
      <c r="I325" s="147">
        <v>56.743794398842553</v>
      </c>
      <c r="J325" s="112">
        <v>44.606413381966007</v>
      </c>
      <c r="K325" s="112">
        <v>78.967130346775036</v>
      </c>
      <c r="L325" s="126">
        <v>74.360455817672914</v>
      </c>
      <c r="M325" s="112">
        <v>57.483406637345055</v>
      </c>
      <c r="N325" s="126">
        <v>47.081767293082763</v>
      </c>
      <c r="O325" s="147">
        <v>75.723844273960935</v>
      </c>
      <c r="P325" s="147">
        <v>64.650159733611829</v>
      </c>
      <c r="Q325" s="147">
        <v>36.43452166370448</v>
      </c>
      <c r="R325" s="112">
        <v>26.275408951134537</v>
      </c>
      <c r="S325" s="112">
        <v>74.920299999999997</v>
      </c>
      <c r="T325" s="112">
        <v>63.859100000000005</v>
      </c>
      <c r="U325" s="146">
        <v>37.454500000000003</v>
      </c>
      <c r="V325" s="113">
        <v>27.717399999999998</v>
      </c>
      <c r="W325" s="113">
        <v>71.261399999999995</v>
      </c>
      <c r="X325" s="126">
        <v>60.957700000000003</v>
      </c>
      <c r="Y325" s="126">
        <v>36.337199999999996</v>
      </c>
      <c r="Z325" s="104">
        <v>26.947300000000002</v>
      </c>
      <c r="AA325" s="104">
        <v>77.164211429739183</v>
      </c>
      <c r="AB325" s="104">
        <v>66.162649200598764</v>
      </c>
      <c r="AC325" s="104">
        <v>37.363671279703034</v>
      </c>
      <c r="AD325" s="104">
        <v>25.921529896685065</v>
      </c>
    </row>
    <row r="326" spans="1:30" ht="14.7" customHeight="1">
      <c r="A326" s="110" t="s">
        <v>254</v>
      </c>
      <c r="B326" s="190"/>
      <c r="C326">
        <v>84.677655890802512</v>
      </c>
      <c r="D326">
        <v>73.558085572024694</v>
      </c>
      <c r="E326">
        <v>51.891202260144894</v>
      </c>
      <c r="F326">
        <v>42.184237101459004</v>
      </c>
      <c r="G326">
        <v>80.082326140992677</v>
      </c>
      <c r="H326">
        <v>72.31138578267398</v>
      </c>
      <c r="I326" s="147">
        <v>52.668590824267326</v>
      </c>
      <c r="J326" s="112">
        <v>40.566062858090987</v>
      </c>
      <c r="K326" s="112">
        <v>82.887334484169344</v>
      </c>
      <c r="L326" s="126">
        <v>74.832801454417279</v>
      </c>
      <c r="M326" s="112">
        <v>49.625020240093626</v>
      </c>
      <c r="N326" s="126">
        <v>40.332818876270004</v>
      </c>
      <c r="O326" s="147">
        <v>68.924889119786911</v>
      </c>
      <c r="P326" s="147">
        <v>59.838306506517632</v>
      </c>
      <c r="Q326" s="147">
        <v>34.067775677011483</v>
      </c>
      <c r="R326" s="112">
        <v>25.217425424314843</v>
      </c>
      <c r="S326" s="112">
        <v>69.631299999999996</v>
      </c>
      <c r="T326" s="112">
        <v>59.612400000000001</v>
      </c>
      <c r="U326" s="146">
        <v>36.012999999999998</v>
      </c>
      <c r="V326" s="113">
        <v>27.872700000000002</v>
      </c>
      <c r="W326" s="113">
        <v>74.504400000000004</v>
      </c>
      <c r="X326" s="126">
        <v>64.970799999999997</v>
      </c>
      <c r="Y326" s="126">
        <v>36.6083</v>
      </c>
      <c r="Z326" s="104">
        <v>28.026499999999999</v>
      </c>
      <c r="AA326" s="104">
        <v>70.868483474737857</v>
      </c>
      <c r="AB326" s="104">
        <v>62.248438231381172</v>
      </c>
      <c r="AC326" s="104">
        <v>37.968904466984107</v>
      </c>
      <c r="AD326" s="104">
        <v>27.291634511737232</v>
      </c>
    </row>
    <row r="327" spans="1:30" ht="14.7" customHeight="1">
      <c r="A327" s="110" t="s">
        <v>220</v>
      </c>
      <c r="B327" s="190"/>
      <c r="C327">
        <v>84.18257129601507</v>
      </c>
      <c r="D327">
        <v>74.239406921431211</v>
      </c>
      <c r="E327">
        <v>56.103284593024185</v>
      </c>
      <c r="F327">
        <v>46.145646690085016</v>
      </c>
      <c r="G327">
        <v>91.09321091326801</v>
      </c>
      <c r="H327">
        <v>85.86792049407488</v>
      </c>
      <c r="I327" s="147">
        <v>62.994136561376969</v>
      </c>
      <c r="J327" s="112">
        <v>48.278385868537264</v>
      </c>
      <c r="K327" s="112">
        <v>90.763502593126518</v>
      </c>
      <c r="L327" s="126">
        <v>84.665927833628487</v>
      </c>
      <c r="M327" s="112">
        <v>64.932381001210786</v>
      </c>
      <c r="N327" s="126">
        <v>53.380752742030268</v>
      </c>
      <c r="O327" s="147">
        <v>79.32585772061141</v>
      </c>
      <c r="P327" s="147">
        <v>71.717233215425921</v>
      </c>
      <c r="Q327" s="147">
        <v>50.347537595446582</v>
      </c>
      <c r="R327" s="112">
        <v>38.391224877133304</v>
      </c>
      <c r="S327" s="112">
        <v>83.799599999999998</v>
      </c>
      <c r="T327" s="112">
        <v>78.784900000000007</v>
      </c>
      <c r="U327" s="147">
        <v>53.461599999999997</v>
      </c>
      <c r="V327" s="113">
        <v>43.240499999999997</v>
      </c>
      <c r="W327" s="113">
        <v>78.844200000000001</v>
      </c>
      <c r="X327" s="126">
        <v>73.787800000000004</v>
      </c>
      <c r="Y327" s="126">
        <v>50.696300000000008</v>
      </c>
      <c r="Z327" s="104">
        <v>37.073599999999999</v>
      </c>
      <c r="AA327" s="104">
        <v>79.725100868296252</v>
      </c>
      <c r="AB327" s="104">
        <v>74.134099421443167</v>
      </c>
      <c r="AC327" s="104">
        <v>50.198610081967232</v>
      </c>
      <c r="AD327" s="104">
        <v>38.034865497245882</v>
      </c>
    </row>
    <row r="328" spans="1:30" ht="14.7" customHeight="1">
      <c r="A328" s="26" t="s">
        <v>221</v>
      </c>
      <c r="B328" s="190"/>
      <c r="C328">
        <v>92.567803054065664</v>
      </c>
      <c r="D328">
        <v>87.66116515288104</v>
      </c>
      <c r="E328">
        <v>64.765791544069529</v>
      </c>
      <c r="F328">
        <v>54.952312270243134</v>
      </c>
      <c r="G328">
        <v>94.981335461816315</v>
      </c>
      <c r="H328">
        <v>90.950387331966283</v>
      </c>
      <c r="I328" s="147">
        <v>74.018040230446246</v>
      </c>
      <c r="J328" s="112">
        <v>65.056513035836346</v>
      </c>
      <c r="K328" s="112">
        <v>95.345821460270002</v>
      </c>
      <c r="L328" s="126">
        <v>91.340698659921486</v>
      </c>
      <c r="M328" s="112">
        <v>79.018591216857459</v>
      </c>
      <c r="N328" s="126">
        <v>64.234505283453586</v>
      </c>
      <c r="O328" s="147">
        <v>85.02524729928848</v>
      </c>
      <c r="P328" s="147">
        <v>80.060092756753036</v>
      </c>
      <c r="Q328" s="147">
        <v>53.116655452675488</v>
      </c>
      <c r="R328" s="112">
        <v>40.40919073816783</v>
      </c>
      <c r="S328" s="112">
        <v>87.275800000000004</v>
      </c>
      <c r="T328" s="112">
        <v>82.857199999999992</v>
      </c>
      <c r="U328" s="146">
        <v>54.044699999999999</v>
      </c>
      <c r="V328" s="113">
        <v>40.652899999999995</v>
      </c>
      <c r="W328" s="113">
        <v>86.950199999999995</v>
      </c>
      <c r="X328" s="126">
        <v>81.318799999999996</v>
      </c>
      <c r="Y328" s="126">
        <v>60.119500000000002</v>
      </c>
      <c r="Z328" s="104">
        <v>49.252099999999999</v>
      </c>
      <c r="AA328" s="104">
        <v>89.508977226935258</v>
      </c>
      <c r="AB328" s="104">
        <v>85.780872825695283</v>
      </c>
      <c r="AC328" s="104">
        <v>61.754726056800877</v>
      </c>
      <c r="AD328" s="104">
        <v>48.553627796439152</v>
      </c>
    </row>
    <row r="329" spans="1:30" ht="14.7" customHeight="1">
      <c r="A329" s="110" t="s">
        <v>295</v>
      </c>
      <c r="B329" s="190"/>
      <c r="C329">
        <v>85.511157173424479</v>
      </c>
      <c r="D329">
        <v>72.195194040099182</v>
      </c>
      <c r="E329">
        <v>46.993081596602408</v>
      </c>
      <c r="F329">
        <v>33.560163041599608</v>
      </c>
      <c r="G329">
        <v>78.290592379852086</v>
      </c>
      <c r="H329">
        <v>72.497506368035332</v>
      </c>
      <c r="I329" s="147">
        <v>51.127080430965556</v>
      </c>
      <c r="J329" s="112">
        <v>40.897831158446614</v>
      </c>
      <c r="K329" s="112">
        <v>85.647674962167116</v>
      </c>
      <c r="L329" s="126">
        <v>78.242176616181851</v>
      </c>
      <c r="M329" s="112">
        <v>58.557572824024447</v>
      </c>
      <c r="N329" s="126">
        <v>44.246785126673025</v>
      </c>
      <c r="O329" s="147">
        <v>77.767011612929466</v>
      </c>
      <c r="P329" s="147">
        <v>65.797897150180233</v>
      </c>
      <c r="Q329" s="147">
        <v>39.670438282011169</v>
      </c>
      <c r="R329" s="112">
        <v>25.488110491325283</v>
      </c>
      <c r="S329" s="112">
        <v>75.10860000000001</v>
      </c>
      <c r="T329" s="112">
        <v>63.942600000000006</v>
      </c>
      <c r="U329" s="147">
        <v>40.093600000000002</v>
      </c>
      <c r="V329" s="149">
        <v>30.600899999999996</v>
      </c>
      <c r="W329" s="149">
        <v>77.070499999999996</v>
      </c>
      <c r="X329" s="126">
        <v>69.018299999999996</v>
      </c>
      <c r="Y329" s="126">
        <v>38.736599999999996</v>
      </c>
      <c r="Z329" s="104">
        <v>26.415600000000001</v>
      </c>
      <c r="AA329" s="104">
        <v>78.582427462898067</v>
      </c>
      <c r="AB329" s="104">
        <v>68.178218215063737</v>
      </c>
      <c r="AC329" s="104">
        <v>42.987906183892683</v>
      </c>
      <c r="AD329" s="104">
        <v>30.990461061128617</v>
      </c>
    </row>
    <row r="330" spans="1:30" ht="14.7" customHeight="1">
      <c r="A330" s="110" t="s">
        <v>174</v>
      </c>
      <c r="B330" s="190"/>
      <c r="C330">
        <v>91.154660276174738</v>
      </c>
      <c r="D330">
        <v>80.82724536571483</v>
      </c>
      <c r="E330">
        <v>58.352878211504866</v>
      </c>
      <c r="F330">
        <v>46.58472689294895</v>
      </c>
      <c r="G330">
        <v>89.9422834613665</v>
      </c>
      <c r="H330">
        <v>82.820112655676709</v>
      </c>
      <c r="I330" s="147">
        <v>63.171722391607673</v>
      </c>
      <c r="J330" s="112">
        <v>51.952870652679437</v>
      </c>
      <c r="K330" s="112">
        <v>91.944620484570748</v>
      </c>
      <c r="L330" s="126">
        <v>85.102947033449112</v>
      </c>
      <c r="M330" s="112">
        <v>67.168703943314227</v>
      </c>
      <c r="N330" s="126">
        <v>55.292593084289557</v>
      </c>
      <c r="O330" s="147">
        <v>87.360574523409795</v>
      </c>
      <c r="P330" s="147">
        <v>77.811691259270532</v>
      </c>
      <c r="Q330" s="147">
        <v>45.203039636863494</v>
      </c>
      <c r="R330" s="112">
        <v>26.735257102346853</v>
      </c>
      <c r="S330" s="112">
        <v>80.341899999999995</v>
      </c>
      <c r="T330" s="112">
        <v>72.713200000000001</v>
      </c>
      <c r="U330" s="147">
        <v>44.8523</v>
      </c>
      <c r="V330" s="149">
        <v>32.968800000000002</v>
      </c>
      <c r="W330" s="149">
        <v>79.846299999999999</v>
      </c>
      <c r="X330" s="126">
        <v>68.851399999999998</v>
      </c>
      <c r="Y330" s="126">
        <v>41.275800000000004</v>
      </c>
      <c r="Z330" s="104">
        <v>28.503299999999999</v>
      </c>
      <c r="AA330" s="104">
        <v>78.278033490637441</v>
      </c>
      <c r="AB330" s="104">
        <v>66.62732613531638</v>
      </c>
      <c r="AC330" s="104">
        <v>42.430255403859732</v>
      </c>
      <c r="AD330" s="104">
        <v>32.153479976493635</v>
      </c>
    </row>
    <row r="331" spans="1:30" ht="14.7" customHeight="1">
      <c r="A331" s="110" t="s">
        <v>330</v>
      </c>
      <c r="B331" s="190"/>
      <c r="C331">
        <v>87.261077291478671</v>
      </c>
      <c r="D331">
        <v>77.300878991344263</v>
      </c>
      <c r="E331">
        <v>54.209781172139202</v>
      </c>
      <c r="F331">
        <v>42.4570236582788</v>
      </c>
      <c r="G331">
        <v>86.403386172532933</v>
      </c>
      <c r="H331">
        <v>78.171308334431387</v>
      </c>
      <c r="I331" s="147">
        <v>56.14277635936228</v>
      </c>
      <c r="J331" s="112">
        <v>45.148585276833352</v>
      </c>
      <c r="K331" s="112">
        <v>87.564312146558791</v>
      </c>
      <c r="L331" s="126">
        <v>81.295536142394369</v>
      </c>
      <c r="M331" s="112">
        <v>63.980923968075963</v>
      </c>
      <c r="N331" s="126">
        <v>52.592366764377694</v>
      </c>
      <c r="O331" s="147">
        <v>77.243253993947121</v>
      </c>
      <c r="P331" s="147">
        <v>66.526889694780749</v>
      </c>
      <c r="Q331" s="147">
        <v>39.241266259955196</v>
      </c>
      <c r="R331" s="112">
        <v>27.244137475874471</v>
      </c>
      <c r="S331" s="112">
        <v>77.522300000000001</v>
      </c>
      <c r="T331" s="112">
        <v>67.9422</v>
      </c>
      <c r="U331" s="147">
        <v>40.982100000000003</v>
      </c>
      <c r="V331" s="149">
        <v>29.494199999999999</v>
      </c>
      <c r="W331" s="149">
        <v>78.380200000000002</v>
      </c>
      <c r="X331" s="126">
        <v>67.191100000000006</v>
      </c>
      <c r="Y331" s="126">
        <v>41.375799999999998</v>
      </c>
      <c r="Z331" s="104">
        <v>29.271200000000004</v>
      </c>
      <c r="AA331" s="104">
        <v>76.543581719686102</v>
      </c>
      <c r="AB331" s="104">
        <v>67.812097450910414</v>
      </c>
      <c r="AC331" s="104">
        <v>42.090191989886797</v>
      </c>
      <c r="AD331" s="104">
        <v>30.031779712510904</v>
      </c>
    </row>
    <row r="332" spans="1:30" ht="14.7" customHeight="1">
      <c r="A332" s="26" t="s">
        <v>175</v>
      </c>
      <c r="B332" s="190"/>
      <c r="C332">
        <v>85.234061694190416</v>
      </c>
      <c r="D332">
        <v>75.336112022184679</v>
      </c>
      <c r="E332">
        <v>54.441167212694907</v>
      </c>
      <c r="F332">
        <v>43.902897165198432</v>
      </c>
      <c r="G332">
        <v>85.114252501686764</v>
      </c>
      <c r="H332">
        <v>78.493705294450962</v>
      </c>
      <c r="I332" s="147">
        <v>57.098276244364321</v>
      </c>
      <c r="J332" s="112">
        <v>47.55849189859488</v>
      </c>
      <c r="K332" s="112">
        <v>86.862213114263895</v>
      </c>
      <c r="L332" s="126">
        <v>80.435823315752913</v>
      </c>
      <c r="M332" s="112">
        <v>61.571400342645056</v>
      </c>
      <c r="N332" s="126">
        <v>52.353392939719335</v>
      </c>
      <c r="O332" s="147">
        <v>80.871407364830432</v>
      </c>
      <c r="P332" s="147">
        <v>71.661784369810249</v>
      </c>
      <c r="Q332" s="147">
        <v>43.227021069783873</v>
      </c>
      <c r="R332" s="112">
        <v>30.108858843893056</v>
      </c>
      <c r="S332" s="112">
        <v>81.407200000000003</v>
      </c>
      <c r="T332" s="112">
        <v>72.750599999999991</v>
      </c>
      <c r="U332" s="146">
        <v>41.725899999999996</v>
      </c>
      <c r="V332" s="113">
        <v>32.021699999999996</v>
      </c>
      <c r="W332" s="113">
        <v>73.49799999999999</v>
      </c>
      <c r="X332" s="126">
        <v>66.473200000000006</v>
      </c>
      <c r="Y332" s="126">
        <v>37.941299999999998</v>
      </c>
      <c r="Z332" s="104">
        <v>26.311699999999998</v>
      </c>
      <c r="AA332" s="104">
        <v>79.921381954611164</v>
      </c>
      <c r="AB332" s="104">
        <v>71.770986473826042</v>
      </c>
      <c r="AC332" s="104">
        <v>42.925648218766817</v>
      </c>
      <c r="AD332" s="104">
        <v>30.232760734085577</v>
      </c>
    </row>
    <row r="333" spans="1:30" ht="14.7" customHeight="1">
      <c r="A333" s="110" t="s">
        <v>176</v>
      </c>
      <c r="B333" s="190"/>
      <c r="C333">
        <v>82.971755684675585</v>
      </c>
      <c r="D333">
        <v>72.23955760938216</v>
      </c>
      <c r="E333">
        <v>50.400806175574139</v>
      </c>
      <c r="F333">
        <v>40.671137505903801</v>
      </c>
      <c r="G333">
        <v>87.46313313075585</v>
      </c>
      <c r="H333">
        <v>82.527353281243805</v>
      </c>
      <c r="I333" s="147">
        <v>60.864265418301869</v>
      </c>
      <c r="J333" s="112">
        <v>50.117191011940733</v>
      </c>
      <c r="K333" s="112">
        <v>86.570115042618994</v>
      </c>
      <c r="L333" s="126">
        <v>79.957680577769395</v>
      </c>
      <c r="M333" s="112">
        <v>66.15062138024895</v>
      </c>
      <c r="N333" s="126">
        <v>52.084479898274438</v>
      </c>
      <c r="O333" s="147">
        <v>80.016718580970959</v>
      </c>
      <c r="P333" s="147">
        <v>69.536084591020156</v>
      </c>
      <c r="Q333" s="147">
        <v>42.423207660770686</v>
      </c>
      <c r="R333" s="112">
        <v>30.912762773992831</v>
      </c>
      <c r="S333" s="112">
        <v>78.892700000000005</v>
      </c>
      <c r="T333" s="112">
        <v>72.947599999999994</v>
      </c>
      <c r="U333" s="146">
        <v>46.669400000000003</v>
      </c>
      <c r="V333" s="113">
        <v>35.847099999999998</v>
      </c>
      <c r="W333" s="113">
        <v>77.857399999999998</v>
      </c>
      <c r="X333" s="126">
        <v>68.258700000000005</v>
      </c>
      <c r="Y333" s="126">
        <v>46.599800000000002</v>
      </c>
      <c r="Z333" s="104">
        <v>37.3277</v>
      </c>
      <c r="AA333" s="104" t="s">
        <v>911</v>
      </c>
      <c r="AB333" s="104" t="s">
        <v>911</v>
      </c>
      <c r="AC333" s="104" t="s">
        <v>911</v>
      </c>
      <c r="AD333" s="104" t="s">
        <v>911</v>
      </c>
    </row>
    <row r="334" spans="1:30" ht="14.7" customHeight="1">
      <c r="A334" s="110" t="s">
        <v>177</v>
      </c>
      <c r="B334" s="147"/>
      <c r="C334" s="155">
        <v>90.735090614765241</v>
      </c>
      <c r="D334" s="155">
        <v>79.360384339652953</v>
      </c>
      <c r="E334" s="155">
        <v>53.658966686387913</v>
      </c>
      <c r="F334" s="155">
        <v>44.681211351094461</v>
      </c>
      <c r="G334" s="147">
        <v>90.789588424372084</v>
      </c>
      <c r="H334" s="147">
        <v>83.068813824630311</v>
      </c>
      <c r="I334" s="147">
        <v>58.903114237135426</v>
      </c>
      <c r="J334" s="112">
        <v>47.957923232943941</v>
      </c>
      <c r="K334" s="112">
        <v>91.608347256658917</v>
      </c>
      <c r="L334" s="126">
        <v>83.672229624893703</v>
      </c>
      <c r="M334" s="112">
        <v>60.662535776812433</v>
      </c>
      <c r="N334" s="126">
        <v>47.620754833479722</v>
      </c>
      <c r="O334" s="147">
        <v>83.155601085179114</v>
      </c>
      <c r="P334" s="147">
        <v>70.187752136153833</v>
      </c>
      <c r="Q334" s="147">
        <v>41.065964091431582</v>
      </c>
      <c r="R334" s="112">
        <v>26.121876324468179</v>
      </c>
      <c r="S334" s="112">
        <v>83.205600000000004</v>
      </c>
      <c r="T334" s="112">
        <v>71.300300000000007</v>
      </c>
      <c r="U334" s="147">
        <v>44.104500000000002</v>
      </c>
      <c r="V334" s="149">
        <v>32.626399999999997</v>
      </c>
      <c r="W334" s="149">
        <v>81.218100000000007</v>
      </c>
      <c r="X334" s="126">
        <v>74.176500000000004</v>
      </c>
      <c r="Y334" s="126">
        <v>43.289299999999997</v>
      </c>
      <c r="Z334" s="104">
        <v>29.736899999999999</v>
      </c>
      <c r="AA334" s="104">
        <v>87.271203980687972</v>
      </c>
      <c r="AB334" s="104">
        <v>78.92419591618048</v>
      </c>
      <c r="AC334" s="104">
        <v>49.324951136784371</v>
      </c>
      <c r="AD334" s="104">
        <v>37.3278479614061</v>
      </c>
    </row>
    <row r="335" spans="1:30" ht="14.7" customHeight="1">
      <c r="A335" s="110" t="s">
        <v>178</v>
      </c>
      <c r="B335" s="147"/>
      <c r="C335" s="155">
        <v>87.966027097350121</v>
      </c>
      <c r="D335" s="155">
        <v>79.257466830565988</v>
      </c>
      <c r="E335" s="155">
        <v>56.772654717677405</v>
      </c>
      <c r="F335" s="155">
        <v>46.093323104821664</v>
      </c>
      <c r="G335" s="147">
        <v>84.118068321625387</v>
      </c>
      <c r="H335" s="147">
        <v>76.890682900461798</v>
      </c>
      <c r="I335" s="147">
        <v>58.975824004176289</v>
      </c>
      <c r="J335" s="112">
        <v>49.695308052293981</v>
      </c>
      <c r="K335" s="112">
        <v>88.922238411096245</v>
      </c>
      <c r="L335" s="126">
        <v>85.201320636043391</v>
      </c>
      <c r="M335" s="112">
        <v>65.161693516786258</v>
      </c>
      <c r="N335" s="126">
        <v>52.704470509747026</v>
      </c>
      <c r="O335" s="147">
        <v>81.724851451130164</v>
      </c>
      <c r="P335" s="147">
        <v>72.81653611361763</v>
      </c>
      <c r="Q335" s="147">
        <v>39.93773577759098</v>
      </c>
      <c r="R335" s="112">
        <v>29.972748143831634</v>
      </c>
      <c r="S335" s="112">
        <v>79.135400000000004</v>
      </c>
      <c r="T335" s="112">
        <v>67.593999999999994</v>
      </c>
      <c r="U335" s="147">
        <v>41.998899999999999</v>
      </c>
      <c r="V335" s="149">
        <v>30.662400000000002</v>
      </c>
      <c r="W335" s="149">
        <v>79.675700000000006</v>
      </c>
      <c r="X335" s="126">
        <v>70.283900000000003</v>
      </c>
      <c r="Y335" s="126">
        <v>42.8247</v>
      </c>
      <c r="Z335" s="104">
        <v>33.325200000000002</v>
      </c>
      <c r="AA335" s="104">
        <v>80.817995230448389</v>
      </c>
      <c r="AB335" s="104">
        <v>74.357147128035464</v>
      </c>
      <c r="AC335" s="104">
        <v>45.828954342936314</v>
      </c>
      <c r="AD335" s="104">
        <v>32.550213006500265</v>
      </c>
    </row>
    <row r="336" spans="1:30" ht="14.7" customHeight="1">
      <c r="A336" s="110" t="s">
        <v>179</v>
      </c>
      <c r="B336" s="147"/>
      <c r="C336" s="155">
        <v>86.397279465758146</v>
      </c>
      <c r="D336" s="155">
        <v>77.99929580746749</v>
      </c>
      <c r="E336" s="155">
        <v>57.762609972649472</v>
      </c>
      <c r="F336" s="155">
        <v>46.217499982395196</v>
      </c>
      <c r="G336" s="147">
        <v>84.925694742033812</v>
      </c>
      <c r="H336" s="147">
        <v>74.279623247579579</v>
      </c>
      <c r="I336" s="147">
        <v>52.949077630222362</v>
      </c>
      <c r="J336" s="112">
        <v>41.624118398514682</v>
      </c>
      <c r="K336" s="112">
        <v>81.953323841062272</v>
      </c>
      <c r="L336" s="126">
        <v>78.231717525613234</v>
      </c>
      <c r="M336" s="112">
        <v>57.979811591184713</v>
      </c>
      <c r="N336" s="126">
        <v>48.910544605194914</v>
      </c>
      <c r="O336" s="147">
        <v>78.108012416467758</v>
      </c>
      <c r="P336" s="147">
        <v>68.946758963327255</v>
      </c>
      <c r="Q336" s="147">
        <v>40.751469695597947</v>
      </c>
      <c r="R336" s="112">
        <v>32.712530169493697</v>
      </c>
      <c r="S336" s="112">
        <v>71.716999999999999</v>
      </c>
      <c r="T336" s="144">
        <v>58.1905</v>
      </c>
      <c r="U336" s="146">
        <v>35.011099999999999</v>
      </c>
      <c r="V336" s="113">
        <v>26.210599999999999</v>
      </c>
      <c r="W336" s="113">
        <v>68.265299999999996</v>
      </c>
      <c r="X336" s="126">
        <v>61.620899999999999</v>
      </c>
      <c r="Y336" s="126">
        <v>39.7986</v>
      </c>
      <c r="Z336" s="104">
        <v>28.956700000000001</v>
      </c>
      <c r="AA336" s="104">
        <v>80.166102948644138</v>
      </c>
      <c r="AB336" s="104">
        <v>69.418649615781973</v>
      </c>
      <c r="AC336" s="104">
        <v>43.148367888584929</v>
      </c>
      <c r="AD336" s="104">
        <v>29.094812985433133</v>
      </c>
    </row>
    <row r="337" spans="1:30" ht="14.7" customHeight="1">
      <c r="A337" s="26" t="s">
        <v>180</v>
      </c>
      <c r="B337" s="147"/>
      <c r="C337" s="155">
        <v>84.106541415301166</v>
      </c>
      <c r="D337" s="155">
        <v>73.776621833390266</v>
      </c>
      <c r="E337" s="155">
        <v>51.832369676124721</v>
      </c>
      <c r="F337" s="155">
        <v>38.758541099457226</v>
      </c>
      <c r="G337" s="146">
        <v>89.94466903507697</v>
      </c>
      <c r="H337" s="147">
        <v>78.855135146241494</v>
      </c>
      <c r="I337" s="147">
        <v>57.448710177832119</v>
      </c>
      <c r="J337" s="112">
        <v>44.095788943794375</v>
      </c>
      <c r="K337" s="112">
        <v>87.827818412863593</v>
      </c>
      <c r="L337" s="126">
        <v>82.495141795076478</v>
      </c>
      <c r="M337" s="112">
        <v>63.968447874081782</v>
      </c>
      <c r="N337" s="126">
        <v>51.689687704105083</v>
      </c>
      <c r="O337" s="147">
        <v>74.555087649027868</v>
      </c>
      <c r="P337" s="147">
        <v>61.894788615360937</v>
      </c>
      <c r="Q337" s="147">
        <v>41.587520399778363</v>
      </c>
      <c r="R337" s="112">
        <v>30.026585905854652</v>
      </c>
      <c r="S337" s="112">
        <v>78.132999999999996</v>
      </c>
      <c r="T337" s="112">
        <v>67.113</v>
      </c>
      <c r="U337" s="146">
        <v>41.419499999999999</v>
      </c>
      <c r="V337" s="113">
        <v>32.033999999999999</v>
      </c>
      <c r="W337" s="113">
        <v>78.75</v>
      </c>
      <c r="X337" s="126">
        <v>69.268500000000003</v>
      </c>
      <c r="Y337" s="126">
        <v>44.823399999999999</v>
      </c>
      <c r="Z337" s="104">
        <v>31.706499999999998</v>
      </c>
      <c r="AA337" s="104">
        <v>79.473990455873462</v>
      </c>
      <c r="AB337" s="104">
        <v>69.236716308474655</v>
      </c>
      <c r="AC337" s="104">
        <v>38.856631872873216</v>
      </c>
      <c r="AD337" s="104">
        <v>28.641465747904331</v>
      </c>
    </row>
    <row r="338" spans="1:30" ht="14.7" customHeight="1">
      <c r="A338" s="26" t="s">
        <v>296</v>
      </c>
      <c r="B338" s="147"/>
      <c r="C338" s="155">
        <v>88.296561718261373</v>
      </c>
      <c r="D338" s="155">
        <v>77.179774971761276</v>
      </c>
      <c r="E338" s="155">
        <v>52.917041748911195</v>
      </c>
      <c r="F338" s="155">
        <v>42.431422018658196</v>
      </c>
      <c r="G338" s="147">
        <v>87.30888532915948</v>
      </c>
      <c r="H338" s="147">
        <v>78.030429519555881</v>
      </c>
      <c r="I338" s="147">
        <v>55.947948407563544</v>
      </c>
      <c r="J338" s="112">
        <v>44.461743957924618</v>
      </c>
      <c r="K338" s="112">
        <v>87.112095035746961</v>
      </c>
      <c r="L338" s="126">
        <v>82.459455792212282</v>
      </c>
      <c r="M338" s="112">
        <v>60.000904587635851</v>
      </c>
      <c r="N338" s="126">
        <v>49.702371002853376</v>
      </c>
      <c r="O338" s="147">
        <v>79.641958786623618</v>
      </c>
      <c r="P338" s="147">
        <v>67.575386563735023</v>
      </c>
      <c r="Q338" s="147">
        <v>40.880030366545782</v>
      </c>
      <c r="R338" s="112">
        <v>31.017016130988491</v>
      </c>
      <c r="S338" s="112">
        <v>82.997200000000007</v>
      </c>
      <c r="T338" s="112">
        <v>75.220299999999995</v>
      </c>
      <c r="U338" s="147">
        <v>47.510799999999996</v>
      </c>
      <c r="V338" s="149">
        <v>34.072200000000002</v>
      </c>
      <c r="W338" s="149">
        <v>80.308300000000003</v>
      </c>
      <c r="X338" s="126">
        <v>71.645499999999998</v>
      </c>
      <c r="Y338" s="126">
        <v>48.217399999999998</v>
      </c>
      <c r="Z338" s="104">
        <v>35.431600000000003</v>
      </c>
      <c r="AA338" s="104">
        <v>81.870590387599051</v>
      </c>
      <c r="AB338" s="104">
        <v>74.248295154589599</v>
      </c>
      <c r="AC338" s="104">
        <v>43.661986298336537</v>
      </c>
      <c r="AD338" s="104">
        <v>31.861286583475291</v>
      </c>
    </row>
    <row r="339" spans="1:30" ht="14.7" customHeight="1">
      <c r="A339" s="110" t="s">
        <v>181</v>
      </c>
      <c r="B339" s="146"/>
      <c r="C339" s="155">
        <v>88.865271944287755</v>
      </c>
      <c r="D339" s="155">
        <v>85.313445777411772</v>
      </c>
      <c r="E339" s="155">
        <v>63.940213223775601</v>
      </c>
      <c r="F339" s="155">
        <v>51.086367925809597</v>
      </c>
      <c r="G339" s="146">
        <v>89.906016035682043</v>
      </c>
      <c r="H339" s="146">
        <v>81.886311254356343</v>
      </c>
      <c r="I339" s="146">
        <v>64.536077368928218</v>
      </c>
      <c r="J339" s="144">
        <v>51.197901943508462</v>
      </c>
      <c r="K339" s="144">
        <v>88.386245354615625</v>
      </c>
      <c r="L339" s="126">
        <v>83.72342871641176</v>
      </c>
      <c r="M339" s="144">
        <v>61.627736416038317</v>
      </c>
      <c r="N339" s="126">
        <v>49.941327117179256</v>
      </c>
      <c r="O339" s="146">
        <v>82.973577309323559</v>
      </c>
      <c r="P339" s="146">
        <v>71.728665499654596</v>
      </c>
      <c r="Q339" s="146">
        <v>47.471406107662602</v>
      </c>
      <c r="R339" s="144">
        <v>33.401668700482197</v>
      </c>
      <c r="S339" s="144">
        <v>83.675200000000004</v>
      </c>
      <c r="T339" s="144">
        <v>74.183500000000009</v>
      </c>
      <c r="U339" s="146">
        <v>48.016100000000002</v>
      </c>
      <c r="V339" s="113">
        <v>37.231299999999997</v>
      </c>
      <c r="W339" s="113">
        <v>82.585399999999993</v>
      </c>
      <c r="X339" s="126">
        <v>72.310600000000008</v>
      </c>
      <c r="Y339" s="126">
        <v>45.708399999999997</v>
      </c>
      <c r="Z339" s="104">
        <v>35.286000000000001</v>
      </c>
      <c r="AA339" s="104">
        <v>84.247914936955652</v>
      </c>
      <c r="AB339" s="104">
        <v>76.859485766679299</v>
      </c>
      <c r="AC339" s="104">
        <v>48.621990397850304</v>
      </c>
      <c r="AD339" s="104">
        <v>36.038443494368579</v>
      </c>
    </row>
    <row r="340" spans="1:30" ht="14.7" customHeight="1">
      <c r="A340" s="108" t="s">
        <v>182</v>
      </c>
      <c r="B340" s="148"/>
      <c r="C340" s="155">
        <v>89.476406648329416</v>
      </c>
      <c r="D340" s="155">
        <v>80.265713864544864</v>
      </c>
      <c r="E340" s="155">
        <v>60.447707451214882</v>
      </c>
      <c r="F340" s="155">
        <v>48.254173469847011</v>
      </c>
      <c r="G340" s="148">
        <v>90.978657680426849</v>
      </c>
      <c r="H340" s="148">
        <v>85.420930313226279</v>
      </c>
      <c r="I340" s="148">
        <v>68.909778348191082</v>
      </c>
      <c r="J340" s="109">
        <v>57.393800768425592</v>
      </c>
      <c r="K340" s="109">
        <v>87.149446772588874</v>
      </c>
      <c r="L340" s="126">
        <v>82.263563410791662</v>
      </c>
      <c r="M340" s="109">
        <v>63.091604306157265</v>
      </c>
      <c r="N340" s="126">
        <v>50.013949061310228</v>
      </c>
      <c r="O340" s="148">
        <v>82.741978339279015</v>
      </c>
      <c r="P340" s="148">
        <v>71.595192271339641</v>
      </c>
      <c r="Q340" s="148">
        <v>40.308524554816707</v>
      </c>
      <c r="R340" s="109">
        <v>29.115730555733116</v>
      </c>
      <c r="S340" s="109">
        <v>81.322699999999998</v>
      </c>
      <c r="T340" s="109">
        <v>71.088700000000003</v>
      </c>
      <c r="U340" s="148">
        <v>45.555700000000002</v>
      </c>
      <c r="V340" s="150">
        <v>34.752000000000002</v>
      </c>
      <c r="W340" s="150">
        <v>82.242199999999997</v>
      </c>
      <c r="X340" s="126">
        <v>75.854600000000005</v>
      </c>
      <c r="Y340" s="126">
        <v>51.765700000000002</v>
      </c>
      <c r="Z340" s="104">
        <v>41.040399999999998</v>
      </c>
      <c r="AA340" s="104" t="s">
        <v>911</v>
      </c>
      <c r="AB340" s="104" t="s">
        <v>911</v>
      </c>
      <c r="AC340" s="104" t="s">
        <v>911</v>
      </c>
      <c r="AD340" s="104" t="s">
        <v>911</v>
      </c>
    </row>
    <row r="341" spans="1:30" ht="14.7" customHeight="1">
      <c r="A341" s="110" t="s">
        <v>183</v>
      </c>
      <c r="B341" s="146"/>
      <c r="C341" s="155">
        <v>80.013897840474101</v>
      </c>
      <c r="D341" s="155">
        <v>71.234607005524623</v>
      </c>
      <c r="E341" s="155">
        <v>45.005337935963951</v>
      </c>
      <c r="F341" s="155">
        <v>36.8362806630847</v>
      </c>
      <c r="G341" s="146">
        <v>85.772669691406918</v>
      </c>
      <c r="H341" s="146">
        <v>77.682023279805733</v>
      </c>
      <c r="I341" s="146">
        <v>56.3206652564009</v>
      </c>
      <c r="J341" s="144">
        <v>44.485270364619701</v>
      </c>
      <c r="K341" s="144">
        <v>83.345056925283828</v>
      </c>
      <c r="L341" s="126">
        <v>76.485506219716086</v>
      </c>
      <c r="M341" s="144">
        <v>58.385585964855466</v>
      </c>
      <c r="N341" s="126">
        <v>44.587652861717075</v>
      </c>
      <c r="O341" s="146">
        <v>76.018950812012548</v>
      </c>
      <c r="P341" s="146">
        <v>66.301389895391935</v>
      </c>
      <c r="Q341" s="146">
        <v>37.654688889865398</v>
      </c>
      <c r="R341" s="144">
        <v>27.749952814679308</v>
      </c>
      <c r="S341" s="144">
        <v>75.113900000000001</v>
      </c>
      <c r="T341" s="144">
        <v>66.301299999999998</v>
      </c>
      <c r="U341" s="146">
        <v>36.684600000000003</v>
      </c>
      <c r="V341" s="113">
        <v>27.5275</v>
      </c>
      <c r="W341" s="113">
        <v>76.728300000000004</v>
      </c>
      <c r="X341" s="126">
        <v>67.931600000000003</v>
      </c>
      <c r="Y341" s="126">
        <v>39.192399999999999</v>
      </c>
      <c r="Z341" s="104">
        <v>30.650100000000002</v>
      </c>
      <c r="AA341" s="104">
        <v>74.741479084428349</v>
      </c>
      <c r="AB341" s="104">
        <v>65.873043838386351</v>
      </c>
      <c r="AC341" s="104">
        <v>40.895756998594599</v>
      </c>
      <c r="AD341" s="104">
        <v>29.434148733603653</v>
      </c>
    </row>
    <row r="342" spans="1:30" ht="14.7" customHeight="1">
      <c r="A342" s="110" t="s">
        <v>184</v>
      </c>
      <c r="B342" s="147"/>
      <c r="C342" s="155">
        <v>86.243960813431059</v>
      </c>
      <c r="D342" s="155">
        <v>79.242517135357133</v>
      </c>
      <c r="E342" s="155">
        <v>57.01753286780108</v>
      </c>
      <c r="F342" s="155">
        <v>45.701980669078679</v>
      </c>
      <c r="G342" s="146">
        <v>84.158641529529945</v>
      </c>
      <c r="H342" s="147">
        <v>76.03224741115045</v>
      </c>
      <c r="I342" s="147">
        <v>54.791625722557988</v>
      </c>
      <c r="J342" s="112">
        <v>43.663675467370666</v>
      </c>
      <c r="K342" s="112">
        <v>85.693223725098463</v>
      </c>
      <c r="L342" s="126">
        <v>79.261723099187847</v>
      </c>
      <c r="M342" s="112">
        <v>59.493516539969185</v>
      </c>
      <c r="N342" s="126">
        <v>47.619799589424176</v>
      </c>
      <c r="O342" s="147">
        <v>75.769628176232445</v>
      </c>
      <c r="P342" s="147">
        <v>65.384287818766509</v>
      </c>
      <c r="Q342" s="147">
        <v>38.177617175816749</v>
      </c>
      <c r="R342" s="112">
        <v>29.623068873385449</v>
      </c>
      <c r="S342" s="112">
        <v>83.77409999999999</v>
      </c>
      <c r="T342" s="112">
        <v>77.351199999999992</v>
      </c>
      <c r="U342" s="146">
        <v>47.6614</v>
      </c>
      <c r="V342" s="113">
        <v>33.171900000000001</v>
      </c>
      <c r="W342" s="113">
        <v>78.111800000000002</v>
      </c>
      <c r="X342" s="126">
        <v>68.097399999999993</v>
      </c>
      <c r="Y342" s="126">
        <v>42.953000000000003</v>
      </c>
      <c r="Z342" s="104">
        <v>30.852600000000002</v>
      </c>
      <c r="AA342" s="104">
        <v>70.443513596076485</v>
      </c>
      <c r="AB342" s="104">
        <v>62.766703034221727</v>
      </c>
      <c r="AC342" s="104">
        <v>39.319425732078706</v>
      </c>
      <c r="AD342" s="104">
        <v>27.743008449338497</v>
      </c>
    </row>
    <row r="343" spans="1:30" ht="14.7" customHeight="1">
      <c r="A343" s="110" t="s">
        <v>185</v>
      </c>
      <c r="B343" s="146"/>
      <c r="C343" s="155">
        <v>89.316234296571778</v>
      </c>
      <c r="D343" s="155">
        <v>79.230020605298719</v>
      </c>
      <c r="E343" s="155">
        <v>55.676974309456583</v>
      </c>
      <c r="F343" s="155">
        <v>46.966603390725638</v>
      </c>
      <c r="G343" s="146">
        <v>90.160754272721931</v>
      </c>
      <c r="H343" s="147">
        <v>78.865452994467532</v>
      </c>
      <c r="I343" s="147">
        <v>59.355788593012427</v>
      </c>
      <c r="J343" s="112">
        <v>50.473889916459214</v>
      </c>
      <c r="K343" s="112">
        <v>89.308518813485904</v>
      </c>
      <c r="L343" s="126">
        <v>84.001314656606468</v>
      </c>
      <c r="M343" s="112">
        <v>61.466850288438081</v>
      </c>
      <c r="N343" s="126">
        <v>51.593416231976406</v>
      </c>
      <c r="O343" s="147">
        <v>81.318027943789545</v>
      </c>
      <c r="P343" s="147">
        <v>70.530548204977364</v>
      </c>
      <c r="Q343" s="147">
        <v>48.442267442349625</v>
      </c>
      <c r="R343" s="112">
        <v>36.854894020005752</v>
      </c>
      <c r="S343" s="112">
        <v>80.544600000000003</v>
      </c>
      <c r="T343" s="112">
        <v>74.130399999999995</v>
      </c>
      <c r="U343" s="146">
        <v>48.680500000000002</v>
      </c>
      <c r="V343" s="113">
        <v>37.307000000000002</v>
      </c>
      <c r="W343" s="113">
        <v>85.245800000000003</v>
      </c>
      <c r="X343" s="126">
        <v>77.604500000000002</v>
      </c>
      <c r="Y343" s="126">
        <v>50.498200000000004</v>
      </c>
      <c r="Z343" s="104">
        <v>39.288000000000004</v>
      </c>
      <c r="AA343" s="104">
        <v>84.701153180655609</v>
      </c>
      <c r="AB343" s="104">
        <v>77.148210626351258</v>
      </c>
      <c r="AC343" s="104">
        <v>49.535868138279902</v>
      </c>
      <c r="AD343" s="104">
        <v>37.332817241797997</v>
      </c>
    </row>
    <row r="344" spans="1:30" ht="14.7" customHeight="1">
      <c r="A344" s="110" t="s">
        <v>186</v>
      </c>
      <c r="B344" s="147"/>
      <c r="C344" s="154">
        <v>90.726113622820932</v>
      </c>
      <c r="D344" s="154">
        <v>85.707112686611495</v>
      </c>
      <c r="E344" s="154">
        <v>65.93463178987659</v>
      </c>
      <c r="F344" s="154">
        <v>53.59104898666002</v>
      </c>
      <c r="G344" s="146">
        <v>84.742532400027727</v>
      </c>
      <c r="H344" s="147">
        <v>78.224769945263191</v>
      </c>
      <c r="I344" s="147">
        <v>60.394655256663476</v>
      </c>
      <c r="J344" s="112">
        <v>50.967030620583174</v>
      </c>
      <c r="K344" s="112">
        <v>86.361362950731163</v>
      </c>
      <c r="L344" s="126">
        <v>82.220981515251324</v>
      </c>
      <c r="M344" s="112">
        <v>69.407981941019102</v>
      </c>
      <c r="N344" s="126">
        <v>62.220740514616693</v>
      </c>
      <c r="O344" s="147">
        <v>76.748461823804519</v>
      </c>
      <c r="P344" s="147">
        <v>67.245928964298656</v>
      </c>
      <c r="Q344" s="147">
        <v>46.017778455754843</v>
      </c>
      <c r="R344" s="112">
        <v>35.345476511472356</v>
      </c>
      <c r="S344" s="112">
        <v>84.515300000000011</v>
      </c>
      <c r="T344" s="112">
        <v>77.823399999999992</v>
      </c>
      <c r="U344" s="146">
        <v>53.432000000000002</v>
      </c>
      <c r="V344" s="113">
        <v>43.102200000000003</v>
      </c>
      <c r="W344" s="113">
        <v>80.087600000000009</v>
      </c>
      <c r="X344" s="126">
        <v>72.865300000000005</v>
      </c>
      <c r="Y344" s="126">
        <v>47.429900000000004</v>
      </c>
      <c r="Z344" s="104">
        <v>35.589500000000001</v>
      </c>
      <c r="AA344" s="104" t="s">
        <v>911</v>
      </c>
      <c r="AB344" s="104" t="s">
        <v>911</v>
      </c>
      <c r="AC344" s="104" t="s">
        <v>911</v>
      </c>
      <c r="AD344" s="104" t="s">
        <v>911</v>
      </c>
    </row>
    <row r="345" spans="1:30" ht="14.7" customHeight="1">
      <c r="A345" s="110" t="s">
        <v>910</v>
      </c>
      <c r="B345" s="147"/>
      <c r="C345" s="153" t="s">
        <v>911</v>
      </c>
      <c r="D345" s="153" t="s">
        <v>911</v>
      </c>
      <c r="E345" s="153" t="s">
        <v>911</v>
      </c>
      <c r="F345" s="153" t="s">
        <v>911</v>
      </c>
      <c r="G345" s="147" t="s">
        <v>911</v>
      </c>
      <c r="H345" s="147" t="s">
        <v>911</v>
      </c>
      <c r="I345" s="147" t="s">
        <v>911</v>
      </c>
      <c r="J345" s="112" t="s">
        <v>911</v>
      </c>
      <c r="K345" s="112" t="s">
        <v>911</v>
      </c>
      <c r="L345" s="126" t="s">
        <v>911</v>
      </c>
      <c r="M345" s="112" t="s">
        <v>911</v>
      </c>
      <c r="N345" s="126" t="s">
        <v>911</v>
      </c>
      <c r="O345" s="147" t="s">
        <v>911</v>
      </c>
      <c r="P345" s="147" t="s">
        <v>911</v>
      </c>
      <c r="Q345" s="147" t="s">
        <v>911</v>
      </c>
      <c r="R345" s="112" t="s">
        <v>911</v>
      </c>
      <c r="S345" s="112" t="s">
        <v>911</v>
      </c>
      <c r="T345" s="112" t="s">
        <v>911</v>
      </c>
      <c r="U345" s="147" t="s">
        <v>911</v>
      </c>
      <c r="V345" s="149" t="s">
        <v>911</v>
      </c>
      <c r="W345" s="149" t="s">
        <v>911</v>
      </c>
      <c r="X345" s="126" t="s">
        <v>911</v>
      </c>
      <c r="Y345" s="126" t="s">
        <v>911</v>
      </c>
      <c r="Z345" s="104" t="s">
        <v>911</v>
      </c>
      <c r="AA345" s="104">
        <v>82.281951366995557</v>
      </c>
      <c r="AB345" s="104">
        <v>70.434291234716099</v>
      </c>
      <c r="AC345" s="104">
        <v>41.247815733017994</v>
      </c>
      <c r="AD345" s="104">
        <v>31.799949785736597</v>
      </c>
    </row>
    <row r="346" spans="1:30" ht="14.7" customHeight="1">
      <c r="A346" s="110" t="s">
        <v>331</v>
      </c>
      <c r="B346" s="147"/>
      <c r="C346" s="154">
        <v>89.04452214141736</v>
      </c>
      <c r="D346" s="154">
        <v>80.523080634638092</v>
      </c>
      <c r="E346" s="154">
        <v>58.011406964500367</v>
      </c>
      <c r="F346" s="154">
        <v>46.875301727563489</v>
      </c>
      <c r="G346" s="146">
        <v>86.654658212497907</v>
      </c>
      <c r="H346" s="147">
        <v>78.397789271548334</v>
      </c>
      <c r="I346" s="147">
        <v>56.461019982493376</v>
      </c>
      <c r="J346" s="112">
        <v>45.23219327502126</v>
      </c>
      <c r="K346" s="112">
        <v>87.727574036889393</v>
      </c>
      <c r="L346" s="126">
        <v>81.003488214507769</v>
      </c>
      <c r="M346" s="112">
        <v>61.823430109250189</v>
      </c>
      <c r="N346" s="126">
        <v>49.839112831640051</v>
      </c>
      <c r="O346" s="147">
        <v>81.993760939700181</v>
      </c>
      <c r="P346" s="147">
        <v>71.608778438362904</v>
      </c>
      <c r="Q346" s="147">
        <v>44.603792306335507</v>
      </c>
      <c r="R346" s="112">
        <v>32.461349859164905</v>
      </c>
      <c r="S346" s="112">
        <v>82.484099999999998</v>
      </c>
      <c r="T346" s="112">
        <v>72.950099999999992</v>
      </c>
      <c r="U346" s="146">
        <v>45.341700000000003</v>
      </c>
      <c r="V346" s="113">
        <v>33.371699999999997</v>
      </c>
      <c r="W346" s="113">
        <v>81.878</v>
      </c>
      <c r="X346" s="126">
        <v>73.671099999999996</v>
      </c>
      <c r="Y346" s="126">
        <v>47.208099999999995</v>
      </c>
      <c r="Z346" s="104">
        <v>34.783999999999999</v>
      </c>
      <c r="AA346" s="104">
        <v>83.163723407627913</v>
      </c>
      <c r="AB346" s="104">
        <v>74.535301150936661</v>
      </c>
      <c r="AC346" s="104">
        <v>48.197586070390251</v>
      </c>
      <c r="AD346" s="104">
        <v>36.276208322653972</v>
      </c>
    </row>
    <row r="347" spans="1:30" ht="14.7" customHeight="1">
      <c r="A347" s="110" t="s">
        <v>187</v>
      </c>
      <c r="B347" s="147"/>
      <c r="C347" s="155">
        <v>91.389230140874147</v>
      </c>
      <c r="D347" s="155">
        <v>84.72961133231874</v>
      </c>
      <c r="E347" s="155">
        <v>68.671445315114809</v>
      </c>
      <c r="F347" s="155">
        <v>57.185376274976207</v>
      </c>
      <c r="G347" s="146">
        <v>94.19230286161114</v>
      </c>
      <c r="H347" s="147">
        <v>89.782732744709449</v>
      </c>
      <c r="I347" s="147">
        <v>76.77880790367675</v>
      </c>
      <c r="J347" s="112">
        <v>67.972356356749444</v>
      </c>
      <c r="K347" s="112">
        <v>91.72240059273895</v>
      </c>
      <c r="L347" s="126">
        <v>86.205978230398955</v>
      </c>
      <c r="M347" s="112">
        <v>73.445772228140299</v>
      </c>
      <c r="N347" s="126">
        <v>62.518321546138253</v>
      </c>
      <c r="O347" s="147">
        <v>79.517003536119702</v>
      </c>
      <c r="P347" s="147">
        <v>71.597810467537855</v>
      </c>
      <c r="Q347" s="147">
        <v>50.34769861327981</v>
      </c>
      <c r="R347" s="112">
        <v>41.17129814832014</v>
      </c>
      <c r="S347" s="112">
        <v>81.671099999999996</v>
      </c>
      <c r="T347" s="112">
        <v>77.009500000000003</v>
      </c>
      <c r="U347" s="146">
        <v>51.794799999999995</v>
      </c>
      <c r="V347" s="113">
        <v>42.223399999999998</v>
      </c>
      <c r="W347" s="113">
        <v>83.753699999999995</v>
      </c>
      <c r="X347" s="126">
        <v>78.9452</v>
      </c>
      <c r="Y347" s="126">
        <v>60.569399999999995</v>
      </c>
      <c r="Z347" s="104">
        <v>50.373400000000004</v>
      </c>
      <c r="AA347" s="104">
        <v>88.187621304019942</v>
      </c>
      <c r="AB347" s="104">
        <v>82.05261757463029</v>
      </c>
      <c r="AC347" s="104">
        <v>58.971078722936376</v>
      </c>
      <c r="AD347" s="104">
        <v>47.390338881808596</v>
      </c>
    </row>
    <row r="348" spans="1:30" ht="14.7" customHeight="1">
      <c r="A348" s="110" t="s">
        <v>350</v>
      </c>
      <c r="B348" s="146"/>
      <c r="C348" s="154">
        <v>87.857806805974263</v>
      </c>
      <c r="D348" s="155">
        <v>79.087858896101238</v>
      </c>
      <c r="E348" s="155">
        <v>56.723766349712726</v>
      </c>
      <c r="F348" s="154">
        <v>46.229191094577189</v>
      </c>
      <c r="G348" s="146">
        <v>82.790327866862498</v>
      </c>
      <c r="H348" s="147">
        <v>78.996710726438707</v>
      </c>
      <c r="I348" s="147">
        <v>58.623290977007535</v>
      </c>
      <c r="J348" s="112">
        <v>46.354827850534761</v>
      </c>
      <c r="K348" s="112">
        <v>88.242570547574275</v>
      </c>
      <c r="L348" s="126">
        <v>82.706586003024881</v>
      </c>
      <c r="M348" s="112">
        <v>61.520652534353502</v>
      </c>
      <c r="N348" s="126">
        <v>51.097330173647904</v>
      </c>
      <c r="O348" s="147">
        <v>78.946465657249959</v>
      </c>
      <c r="P348" s="147">
        <v>71.291946871133959</v>
      </c>
      <c r="Q348" s="147">
        <v>46.534974278478991</v>
      </c>
      <c r="R348" s="112">
        <v>33.871969817987505</v>
      </c>
      <c r="S348" s="112">
        <v>84.201000000000008</v>
      </c>
      <c r="T348" s="112">
        <v>77.991799999999998</v>
      </c>
      <c r="U348" s="146">
        <v>51.806799999999996</v>
      </c>
      <c r="V348" s="113">
        <v>39.933500000000002</v>
      </c>
      <c r="W348" s="113">
        <v>81.557400000000001</v>
      </c>
      <c r="X348" s="126">
        <v>75.059299999999993</v>
      </c>
      <c r="Y348" s="126">
        <v>52.072099999999999</v>
      </c>
      <c r="Z348" s="104">
        <v>37.748799999999996</v>
      </c>
      <c r="AA348" s="104" t="s">
        <v>911</v>
      </c>
      <c r="AB348" s="104" t="s">
        <v>911</v>
      </c>
      <c r="AC348" s="104" t="s">
        <v>911</v>
      </c>
      <c r="AD348" s="104" t="s">
        <v>911</v>
      </c>
    </row>
    <row r="349" spans="1:30" ht="14.7" customHeight="1">
      <c r="A349" s="110" t="s">
        <v>255</v>
      </c>
      <c r="B349" s="147"/>
      <c r="C349" s="154">
        <v>85.772529621110905</v>
      </c>
      <c r="D349" s="155">
        <v>75.080273944728177</v>
      </c>
      <c r="E349" s="155">
        <v>52.016645553754458</v>
      </c>
      <c r="F349" s="154">
        <v>40.93126597942603</v>
      </c>
      <c r="G349" s="146">
        <v>79.84586188761196</v>
      </c>
      <c r="H349" s="147">
        <v>72.910946238825147</v>
      </c>
      <c r="I349" s="147">
        <v>48.927400410321248</v>
      </c>
      <c r="J349" s="112">
        <v>39.105102983196659</v>
      </c>
      <c r="K349" s="112">
        <v>80.150460050863003</v>
      </c>
      <c r="L349" s="126">
        <v>73.57592606772414</v>
      </c>
      <c r="M349" s="112">
        <v>58.778476079406126</v>
      </c>
      <c r="N349" s="126">
        <v>48.854477736481783</v>
      </c>
      <c r="O349" s="147">
        <v>70.803185838873134</v>
      </c>
      <c r="P349" s="147">
        <v>60.607991789481105</v>
      </c>
      <c r="Q349" s="147">
        <v>34.281129759976672</v>
      </c>
      <c r="R349" s="112">
        <v>26.051534712597292</v>
      </c>
      <c r="S349" s="112">
        <v>74.347499999999997</v>
      </c>
      <c r="T349" s="112">
        <v>62.522999999999996</v>
      </c>
      <c r="U349" s="146">
        <v>38.014900000000004</v>
      </c>
      <c r="V349" s="113">
        <v>29.548999999999996</v>
      </c>
      <c r="W349" s="113">
        <v>72.82889999999999</v>
      </c>
      <c r="X349" s="126">
        <v>64.187899999999999</v>
      </c>
      <c r="Y349" s="126">
        <v>36.387900000000002</v>
      </c>
      <c r="Z349" s="104">
        <v>27.499600000000001</v>
      </c>
      <c r="AA349" s="104">
        <v>77.173816903465536</v>
      </c>
      <c r="AB349" s="104">
        <v>65.604038467587642</v>
      </c>
      <c r="AC349" s="104">
        <v>38.860075160478836</v>
      </c>
      <c r="AD349" s="104">
        <v>27.533384987333768</v>
      </c>
    </row>
    <row r="350" spans="1:30" ht="14.7" customHeight="1">
      <c r="A350" s="110" t="s">
        <v>297</v>
      </c>
      <c r="B350" s="147"/>
      <c r="C350" s="155">
        <v>87.793842052600482</v>
      </c>
      <c r="D350" s="155">
        <v>78.288177217891459</v>
      </c>
      <c r="E350" s="155">
        <v>54.028896319653619</v>
      </c>
      <c r="F350" s="155">
        <v>43.54123176422037</v>
      </c>
      <c r="G350" s="146">
        <v>87.122119957996176</v>
      </c>
      <c r="H350" s="147">
        <v>80.046056825567561</v>
      </c>
      <c r="I350" s="147">
        <v>59.505709343638323</v>
      </c>
      <c r="J350" s="112">
        <v>51.568693817629082</v>
      </c>
      <c r="K350" s="112">
        <v>92.409654468934491</v>
      </c>
      <c r="L350" s="126">
        <v>86.58848315916066</v>
      </c>
      <c r="M350" s="112">
        <v>63.378795364923704</v>
      </c>
      <c r="N350" s="126">
        <v>52.298240871081127</v>
      </c>
      <c r="O350" s="147">
        <v>78.568536747423636</v>
      </c>
      <c r="P350" s="147">
        <v>72.450396418469836</v>
      </c>
      <c r="Q350" s="147">
        <v>43.28511168343001</v>
      </c>
      <c r="R350" s="112">
        <v>32.214154887645243</v>
      </c>
      <c r="S350" s="112">
        <v>80.605099999999993</v>
      </c>
      <c r="T350" s="112">
        <v>72.029399999999995</v>
      </c>
      <c r="U350" s="146">
        <v>44.131399999999999</v>
      </c>
      <c r="V350" s="113">
        <v>34.0991</v>
      </c>
      <c r="W350" s="113">
        <v>81.408899999999988</v>
      </c>
      <c r="X350" s="126">
        <v>69.875799999999998</v>
      </c>
      <c r="Y350" s="126">
        <v>44.854300000000002</v>
      </c>
      <c r="Z350" s="104">
        <v>31.903300000000002</v>
      </c>
      <c r="AA350" s="104">
        <v>85.738323629749004</v>
      </c>
      <c r="AB350" s="104">
        <v>75.721714549943172</v>
      </c>
      <c r="AC350" s="104">
        <v>46.384118337805106</v>
      </c>
      <c r="AD350" s="104">
        <v>37.462252172431974</v>
      </c>
    </row>
    <row r="351" spans="1:30">
      <c r="A351" s="113" t="s">
        <v>188</v>
      </c>
      <c r="B351" s="146"/>
      <c r="C351" s="155">
        <v>90.50563500834437</v>
      </c>
      <c r="D351" s="155">
        <v>82.233050630559902</v>
      </c>
      <c r="E351" s="155">
        <v>59.946911412599903</v>
      </c>
      <c r="F351" s="155">
        <v>49.407573130679353</v>
      </c>
      <c r="G351" s="146">
        <v>89.032356281661706</v>
      </c>
      <c r="H351" s="146">
        <v>82.237714797967271</v>
      </c>
      <c r="I351" s="146">
        <v>60.273253501476908</v>
      </c>
      <c r="J351" s="146">
        <v>48.733572788522302</v>
      </c>
      <c r="K351" s="146">
        <v>93.866347447075952</v>
      </c>
      <c r="L351" s="144">
        <v>88.178949195087796</v>
      </c>
      <c r="M351" s="144">
        <v>64.521915646653838</v>
      </c>
      <c r="N351" s="144">
        <v>54.995137030804194</v>
      </c>
      <c r="O351" s="144">
        <v>83.219956453091569</v>
      </c>
      <c r="P351" s="144">
        <v>71.055391676947394</v>
      </c>
      <c r="Q351" s="144">
        <v>47.437603514689179</v>
      </c>
      <c r="R351" s="146">
        <v>31.069225389441595</v>
      </c>
      <c r="S351" s="146">
        <v>88.249099999999999</v>
      </c>
      <c r="T351" s="144">
        <v>78.616399999999999</v>
      </c>
      <c r="U351" s="144">
        <v>44.302599999999998</v>
      </c>
      <c r="V351" s="144">
        <v>31.113400000000002</v>
      </c>
      <c r="W351" s="146">
        <v>84.132800000000003</v>
      </c>
      <c r="X351" s="146">
        <v>76.592800000000011</v>
      </c>
      <c r="Y351" s="126">
        <v>50.931699999999999</v>
      </c>
      <c r="Z351" s="104">
        <v>37.426700000000004</v>
      </c>
      <c r="AA351" s="104">
        <v>86.887516701888018</v>
      </c>
      <c r="AB351" s="104">
        <v>79.457155234944622</v>
      </c>
      <c r="AC351" s="104">
        <v>50.08273151045691</v>
      </c>
      <c r="AD351" s="104">
        <v>38.383668237355309</v>
      </c>
    </row>
    <row r="352" spans="1:30">
      <c r="A352" s="113" t="s">
        <v>814</v>
      </c>
      <c r="B352" s="146"/>
      <c r="C352" s="155">
        <v>88.525379609661329</v>
      </c>
      <c r="D352" s="155">
        <v>78.69742388837912</v>
      </c>
      <c r="E352" s="155">
        <v>54.566769571265048</v>
      </c>
      <c r="F352" s="155">
        <v>46.258778391770782</v>
      </c>
      <c r="G352" s="146">
        <v>88.994320700069068</v>
      </c>
      <c r="H352" s="146">
        <v>82.740549666421884</v>
      </c>
      <c r="I352" s="146">
        <v>60.041129793158554</v>
      </c>
      <c r="J352" s="146">
        <v>49.077508530352567</v>
      </c>
      <c r="K352" s="146">
        <v>90.840001023023945</v>
      </c>
      <c r="L352" s="144">
        <v>86.085965816663219</v>
      </c>
      <c r="M352" s="144">
        <v>57.541816518803643</v>
      </c>
      <c r="N352" s="144">
        <v>46.127045193331824</v>
      </c>
      <c r="O352" s="144">
        <v>82.693391232869146</v>
      </c>
      <c r="P352" s="144">
        <v>72.013824044990798</v>
      </c>
      <c r="Q352" s="144">
        <v>47.456288980980212</v>
      </c>
      <c r="R352" s="146">
        <v>34.552310378350832</v>
      </c>
      <c r="S352" s="146">
        <v>81.812100000000001</v>
      </c>
      <c r="T352" s="144">
        <v>69.414400000000001</v>
      </c>
      <c r="U352" s="144">
        <v>42.488799999999998</v>
      </c>
      <c r="V352" s="144">
        <v>29.252499999999998</v>
      </c>
      <c r="W352" s="146">
        <v>83.015900000000002</v>
      </c>
      <c r="X352" s="146">
        <v>72.54549999999999</v>
      </c>
      <c r="Y352" s="126">
        <v>44.826700000000002</v>
      </c>
      <c r="Z352" s="104">
        <v>33.522100000000002</v>
      </c>
      <c r="AA352" s="104">
        <v>86.655867467218172</v>
      </c>
      <c r="AB352" s="104">
        <v>75.711722779803964</v>
      </c>
      <c r="AC352" s="104">
        <v>50.320524231012875</v>
      </c>
      <c r="AD352" s="104">
        <v>32.231177781983142</v>
      </c>
    </row>
    <row r="353" spans="1:30" ht="12.75" customHeight="1">
      <c r="A353" s="151" t="s">
        <v>256</v>
      </c>
      <c r="B353" s="151"/>
      <c r="C353" s="154">
        <v>84.657821679156882</v>
      </c>
      <c r="D353" s="155">
        <v>77.805741376611252</v>
      </c>
      <c r="E353" s="155">
        <v>57.834401570816674</v>
      </c>
      <c r="F353" s="154">
        <v>42.220624013726578</v>
      </c>
      <c r="G353" s="151">
        <v>78.797595272814775</v>
      </c>
      <c r="H353" s="151">
        <v>71.27319637939155</v>
      </c>
      <c r="I353" s="151">
        <v>49.466371880450318</v>
      </c>
      <c r="J353" s="151">
        <v>37.933002618278721</v>
      </c>
      <c r="K353" s="151">
        <v>85.739773716275025</v>
      </c>
      <c r="L353" s="151">
        <v>81.731692098680156</v>
      </c>
      <c r="M353" s="151">
        <v>62.060918529147436</v>
      </c>
      <c r="N353" s="151">
        <v>50.195295729444332</v>
      </c>
      <c r="O353" s="151">
        <v>77.85937186199493</v>
      </c>
      <c r="P353" s="151">
        <v>69.873993878691579</v>
      </c>
      <c r="Q353" s="151">
        <v>43.475600277147763</v>
      </c>
      <c r="R353" s="151">
        <v>33.961567012461217</v>
      </c>
      <c r="S353" s="151">
        <v>82.010999999999996</v>
      </c>
      <c r="T353" s="151">
        <v>72.536000000000001</v>
      </c>
      <c r="U353" s="151">
        <v>45.189</v>
      </c>
      <c r="V353" s="151">
        <v>33.2395</v>
      </c>
      <c r="W353" s="126">
        <v>75.737499999999997</v>
      </c>
      <c r="X353" s="126">
        <v>68.430700000000002</v>
      </c>
      <c r="Y353" s="126">
        <v>41.6663</v>
      </c>
      <c r="Z353" s="104">
        <v>29.399799999999999</v>
      </c>
      <c r="AA353" s="104">
        <v>79.406448974889969</v>
      </c>
      <c r="AB353" s="104">
        <v>70.359529672877912</v>
      </c>
      <c r="AC353" s="104">
        <v>38.49793287246753</v>
      </c>
      <c r="AD353" s="104">
        <v>27.546932780103983</v>
      </c>
    </row>
    <row r="354" spans="1:30" ht="12.75" customHeight="1">
      <c r="A354" s="152" t="s">
        <v>189</v>
      </c>
      <c r="B354" s="152"/>
      <c r="C354" s="155">
        <v>89.076530702710272</v>
      </c>
      <c r="D354" s="155">
        <v>77.238859429464142</v>
      </c>
      <c r="E354" s="155">
        <v>53.538645426389287</v>
      </c>
      <c r="F354" s="155">
        <v>42.643156119340617</v>
      </c>
      <c r="G354" s="152">
        <v>92.182299468532619</v>
      </c>
      <c r="H354" s="152">
        <v>83.188211513651396</v>
      </c>
      <c r="I354" s="152">
        <v>60.970285046709336</v>
      </c>
      <c r="J354" s="152">
        <v>49.038708023583702</v>
      </c>
      <c r="K354" s="152">
        <v>87.819816061895622</v>
      </c>
      <c r="L354" s="152">
        <v>83.56163246502885</v>
      </c>
      <c r="M354" s="152">
        <v>60.744515944278554</v>
      </c>
      <c r="N354" s="152">
        <v>50.985584056344003</v>
      </c>
      <c r="O354" s="152">
        <v>82.389491793341136</v>
      </c>
      <c r="P354" s="152">
        <v>73.560372933046438</v>
      </c>
      <c r="Q354" s="152">
        <v>44.384427277504024</v>
      </c>
      <c r="R354" s="152">
        <v>37.058674020828811</v>
      </c>
      <c r="S354" s="152">
        <v>80.560400000000001</v>
      </c>
      <c r="T354" s="152">
        <v>68.150100000000009</v>
      </c>
      <c r="U354" s="152">
        <v>43.668500000000002</v>
      </c>
      <c r="V354" s="152">
        <v>26.9389</v>
      </c>
      <c r="W354" s="152">
        <v>82.779200000000003</v>
      </c>
      <c r="X354" s="152">
        <v>75.944400000000002</v>
      </c>
      <c r="Y354" s="126">
        <v>49.194400000000002</v>
      </c>
      <c r="Z354" s="104">
        <v>30.893799999999999</v>
      </c>
      <c r="AA354" s="104">
        <v>80.450599677789896</v>
      </c>
      <c r="AB354" s="104">
        <v>68.67508330377305</v>
      </c>
      <c r="AC354" s="104">
        <v>44.732226842818768</v>
      </c>
      <c r="AD354" s="104">
        <v>33.111804096105438</v>
      </c>
    </row>
    <row r="355" spans="1:30">
      <c r="A355" s="105" t="s">
        <v>298</v>
      </c>
      <c r="B355" s="107"/>
      <c r="C355" s="155">
        <v>89.370581763164353</v>
      </c>
      <c r="D355" s="155">
        <v>79.947856383179214</v>
      </c>
      <c r="E355" s="155">
        <v>50.071435416536858</v>
      </c>
      <c r="F355" s="155">
        <v>37.383210500164324</v>
      </c>
      <c r="G355" s="107">
        <v>91.201696078330968</v>
      </c>
      <c r="H355" s="107">
        <v>78.646116600393185</v>
      </c>
      <c r="I355" s="107">
        <v>50.87834391804239</v>
      </c>
      <c r="J355" s="107">
        <v>38.331601546545556</v>
      </c>
      <c r="K355" s="107">
        <v>91.893191286488189</v>
      </c>
      <c r="L355" s="107">
        <v>82.177297619704177</v>
      </c>
      <c r="M355" s="107">
        <v>60.07137006420038</v>
      </c>
      <c r="N355" s="107">
        <v>46.493491107339018</v>
      </c>
      <c r="O355" s="107">
        <v>82.982134587823552</v>
      </c>
      <c r="P355" s="107">
        <v>71.052787414096528</v>
      </c>
      <c r="Q355" s="107">
        <v>41.684374162364897</v>
      </c>
      <c r="R355" s="107">
        <v>31.768898205183977</v>
      </c>
      <c r="S355" s="107">
        <v>79.694200000000009</v>
      </c>
      <c r="T355" s="107">
        <v>70.419699999999992</v>
      </c>
      <c r="U355" s="107">
        <v>42.237200000000001</v>
      </c>
      <c r="V355" s="107">
        <v>29.267599999999998</v>
      </c>
      <c r="W355" s="107">
        <v>83.847499999999997</v>
      </c>
      <c r="X355" s="107">
        <v>74.9452</v>
      </c>
      <c r="Y355" s="126">
        <v>43.597000000000001</v>
      </c>
      <c r="Z355" s="104">
        <v>28.6495</v>
      </c>
      <c r="AA355" s="104">
        <v>87.281768333812224</v>
      </c>
      <c r="AB355" s="104">
        <v>77.189847322360137</v>
      </c>
      <c r="AC355" s="104">
        <v>45.004016655186653</v>
      </c>
      <c r="AD355" s="104">
        <v>29.766020392074751</v>
      </c>
    </row>
    <row r="356" spans="1:30">
      <c r="A356" s="107" t="s">
        <v>257</v>
      </c>
      <c r="B356" s="107"/>
      <c r="C356" s="156">
        <v>83.129055862803511</v>
      </c>
      <c r="D356" s="163">
        <v>73.905937855845679</v>
      </c>
      <c r="E356" s="163">
        <v>55.77186335898817</v>
      </c>
      <c r="F356" s="156">
        <v>42.135447525978037</v>
      </c>
      <c r="G356" s="107">
        <v>82.278905992448003</v>
      </c>
      <c r="H356" s="107">
        <v>73.763835154906829</v>
      </c>
      <c r="I356" s="107">
        <v>50.567274492328593</v>
      </c>
      <c r="J356" s="107">
        <v>40.867217183634594</v>
      </c>
      <c r="K356" s="107">
        <v>82.769574496072423</v>
      </c>
      <c r="L356" s="107">
        <v>73.420977478409029</v>
      </c>
      <c r="M356" s="107">
        <v>54.971983416546031</v>
      </c>
      <c r="N356" s="107">
        <v>42.598205756940139</v>
      </c>
      <c r="O356" s="107">
        <v>68.377220150085705</v>
      </c>
      <c r="P356" s="107">
        <v>59.013880150948651</v>
      </c>
      <c r="Q356" s="107">
        <v>35.159813755362862</v>
      </c>
      <c r="R356" s="107">
        <v>24.925152021049186</v>
      </c>
      <c r="S356" s="107">
        <v>69.073999999999998</v>
      </c>
      <c r="T356" s="107">
        <v>59.889600000000002</v>
      </c>
      <c r="U356" s="107">
        <v>35.145099999999999</v>
      </c>
      <c r="V356" s="107">
        <v>24.7438</v>
      </c>
      <c r="W356" s="126">
        <v>67.527900000000002</v>
      </c>
      <c r="X356" s="126">
        <v>59.862200000000001</v>
      </c>
      <c r="Y356" s="126">
        <v>39.541699999999999</v>
      </c>
      <c r="Z356" s="104">
        <v>27.535799999999998</v>
      </c>
      <c r="AA356" s="104">
        <v>64.612523320906917</v>
      </c>
      <c r="AB356" s="104">
        <v>57.796704961500048</v>
      </c>
      <c r="AC356" s="104">
        <v>35.199395084351082</v>
      </c>
      <c r="AD356" s="104">
        <v>27.4618814703949</v>
      </c>
    </row>
    <row r="357" spans="1:30">
      <c r="A357" s="126" t="s">
        <v>190</v>
      </c>
      <c r="B357" s="126"/>
      <c r="C357" s="157">
        <v>90.056659400083134</v>
      </c>
      <c r="D357" s="126">
        <v>81.52291214401113</v>
      </c>
      <c r="E357" s="164">
        <v>58.873149172055385</v>
      </c>
      <c r="F357" s="157">
        <v>42.427310680028924</v>
      </c>
      <c r="G357" s="126">
        <v>91.232284410281054</v>
      </c>
      <c r="H357" s="126">
        <v>83.176782470667149</v>
      </c>
      <c r="I357" s="126">
        <v>55.961683221784028</v>
      </c>
      <c r="J357" s="126">
        <v>44.849367523605366</v>
      </c>
      <c r="K357" s="126">
        <v>89.042116282815272</v>
      </c>
      <c r="L357" s="126">
        <v>83.405053831434927</v>
      </c>
      <c r="M357" s="126">
        <v>63.782859348438436</v>
      </c>
      <c r="N357" s="126">
        <v>49.570292931698539</v>
      </c>
      <c r="O357" s="126">
        <v>80.064558256738678</v>
      </c>
      <c r="P357" s="126">
        <v>70.076576191273844</v>
      </c>
      <c r="Q357" s="126">
        <v>40.571462666221251</v>
      </c>
      <c r="R357" s="126">
        <v>27.780574496709342</v>
      </c>
      <c r="S357" s="126">
        <v>80.031399999999991</v>
      </c>
      <c r="T357" s="126">
        <v>69.438800000000001</v>
      </c>
      <c r="U357" s="126">
        <v>46.732600000000005</v>
      </c>
      <c r="V357" s="126">
        <v>35.0976</v>
      </c>
      <c r="W357" s="126">
        <v>77.492799999999988</v>
      </c>
      <c r="X357" s="126">
        <v>69.824200000000005</v>
      </c>
      <c r="Y357" s="126">
        <v>48.342500000000001</v>
      </c>
      <c r="Z357" s="104">
        <v>34.507399999999997</v>
      </c>
      <c r="AA357" s="104">
        <v>82.624085134057736</v>
      </c>
      <c r="AB357" s="104">
        <v>74.292533741315083</v>
      </c>
      <c r="AC357" s="104">
        <v>46.741887907869163</v>
      </c>
      <c r="AD357" s="104">
        <v>33.853563894004104</v>
      </c>
    </row>
    <row r="358" spans="1:30">
      <c r="A358" s="145" t="s">
        <v>332</v>
      </c>
      <c r="B358" s="126"/>
      <c r="C358" s="151">
        <v>87.214358984025694</v>
      </c>
      <c r="D358" s="126">
        <v>77.258348347438414</v>
      </c>
      <c r="E358" s="151">
        <v>53.370302123049093</v>
      </c>
      <c r="F358" s="151">
        <v>41.678293370227301</v>
      </c>
      <c r="G358" s="126">
        <v>85.820172800785883</v>
      </c>
      <c r="H358" s="126">
        <v>78.963253344757973</v>
      </c>
      <c r="I358" s="126">
        <v>54.393577188644414</v>
      </c>
      <c r="J358" s="126">
        <v>43.380975617434558</v>
      </c>
      <c r="K358" s="126">
        <v>85.973072084692191</v>
      </c>
      <c r="L358" s="126">
        <v>80.416008555752512</v>
      </c>
      <c r="M358" s="126">
        <v>61.238388246413002</v>
      </c>
      <c r="N358" s="126">
        <v>49.462266481463722</v>
      </c>
      <c r="O358" s="126">
        <v>78.267785206218107</v>
      </c>
      <c r="P358" s="126">
        <v>67.640646687458599</v>
      </c>
      <c r="Q358" s="126">
        <v>40.387838549252173</v>
      </c>
      <c r="R358" s="126">
        <v>29.281591867784957</v>
      </c>
      <c r="S358" s="126">
        <v>78.354599999999991</v>
      </c>
      <c r="T358" s="126">
        <v>67.029499999999999</v>
      </c>
      <c r="U358" s="126">
        <v>40.893000000000001</v>
      </c>
      <c r="V358" s="126">
        <v>30.4361</v>
      </c>
      <c r="W358" s="126">
        <v>77.093900000000005</v>
      </c>
      <c r="X358" s="126">
        <v>67.191100000000006</v>
      </c>
      <c r="Y358" s="126">
        <v>40.256900000000002</v>
      </c>
      <c r="Z358" s="104">
        <v>28.897099999999998</v>
      </c>
      <c r="AA358" s="104">
        <v>81.914708378764203</v>
      </c>
      <c r="AB358" s="104">
        <v>73.183583794728364</v>
      </c>
      <c r="AC358" s="104">
        <v>43.987205413603839</v>
      </c>
      <c r="AD358" s="104">
        <v>32.293847556126586</v>
      </c>
    </row>
    <row r="359" spans="1:30" ht="12.75" customHeight="1">
      <c r="A359" s="145" t="s">
        <v>191</v>
      </c>
      <c r="B359" s="145"/>
      <c r="C359" s="158">
        <v>89.243735087305211</v>
      </c>
      <c r="D359" s="114">
        <v>80.945336682704266</v>
      </c>
      <c r="E359" s="158">
        <v>56.822525585059402</v>
      </c>
      <c r="F359" s="158">
        <v>46.456146187714417</v>
      </c>
      <c r="G359" s="114">
        <v>90.7877145546436</v>
      </c>
      <c r="H359" s="114">
        <v>83.598954864490992</v>
      </c>
      <c r="I359" s="114">
        <v>63.779291971924778</v>
      </c>
      <c r="J359" s="114">
        <v>51.213279368820118</v>
      </c>
      <c r="K359" s="114">
        <v>85.661302756414543</v>
      </c>
      <c r="L359" s="114">
        <v>78.958429527727816</v>
      </c>
      <c r="M359" s="114">
        <v>58.539059927986202</v>
      </c>
      <c r="N359" s="114">
        <v>48.759842886515109</v>
      </c>
      <c r="O359" s="114">
        <v>84.378343633798721</v>
      </c>
      <c r="P359" s="114">
        <v>73.537106691593181</v>
      </c>
      <c r="Q359" s="114">
        <v>46.618839951397817</v>
      </c>
      <c r="R359" s="114">
        <v>36.052383108055572</v>
      </c>
      <c r="S359" s="114">
        <v>86.2637</v>
      </c>
      <c r="T359" s="114">
        <v>76.920500000000004</v>
      </c>
      <c r="U359" s="114">
        <v>49.803599999999996</v>
      </c>
      <c r="V359" s="114">
        <v>36.579899999999995</v>
      </c>
      <c r="W359" s="114">
        <v>84.9619</v>
      </c>
      <c r="X359" s="114">
        <v>76.148499999999999</v>
      </c>
      <c r="Y359" s="126">
        <v>49.765500000000003</v>
      </c>
      <c r="Z359" s="104">
        <v>34.422999999999995</v>
      </c>
      <c r="AA359" s="104">
        <v>83.467095515138581</v>
      </c>
      <c r="AB359" s="104">
        <v>77.444809683903031</v>
      </c>
      <c r="AC359" s="104">
        <v>50.899041320633629</v>
      </c>
      <c r="AD359" s="104">
        <v>37.895638193493618</v>
      </c>
    </row>
    <row r="360" spans="1:30">
      <c r="A360" s="145" t="s">
        <v>192</v>
      </c>
      <c r="B360" s="114"/>
      <c r="C360" s="159">
        <v>84.512528601475651</v>
      </c>
      <c r="D360" s="114">
        <v>75.246611884597371</v>
      </c>
      <c r="E360" s="159">
        <v>52.399891361284112</v>
      </c>
      <c r="F360" s="159">
        <v>36.762737597887714</v>
      </c>
      <c r="G360" s="114">
        <v>84.22575569724286</v>
      </c>
      <c r="H360" s="114">
        <v>77.581138958099245</v>
      </c>
      <c r="I360" s="114">
        <v>52.760882309834379</v>
      </c>
      <c r="J360" s="114">
        <v>43.408935463383649</v>
      </c>
      <c r="K360" s="114">
        <v>86.84610702541346</v>
      </c>
      <c r="L360" s="114">
        <v>81.392436713838066</v>
      </c>
      <c r="M360" s="114">
        <v>62.431390420267704</v>
      </c>
      <c r="N360" s="114">
        <v>53.311206197748838</v>
      </c>
      <c r="O360" s="114">
        <v>78.330414273707078</v>
      </c>
      <c r="P360" s="114">
        <v>65.654437773543364</v>
      </c>
      <c r="Q360" s="114">
        <v>36.600699001665596</v>
      </c>
      <c r="R360" s="114">
        <v>25.382857550095338</v>
      </c>
      <c r="S360" s="114">
        <v>76.552199999999999</v>
      </c>
      <c r="T360" s="114">
        <v>66.503100000000003</v>
      </c>
      <c r="U360" s="114">
        <v>39.1297</v>
      </c>
      <c r="V360" s="114">
        <v>30.7867</v>
      </c>
      <c r="W360" s="114">
        <v>77.575499999999991</v>
      </c>
      <c r="X360" s="114">
        <v>66.612200000000001</v>
      </c>
      <c r="Y360" s="126">
        <v>35.299300000000002</v>
      </c>
      <c r="Z360" s="104">
        <v>25.660800000000002</v>
      </c>
      <c r="AA360" s="104">
        <v>81.876495715951663</v>
      </c>
      <c r="AB360" s="104">
        <v>73.411886837213572</v>
      </c>
      <c r="AC360" s="104">
        <v>41.700841061421812</v>
      </c>
      <c r="AD360" s="104">
        <v>29.917074906080888</v>
      </c>
    </row>
    <row r="361" spans="1:30" ht="12.75" customHeight="1">
      <c r="A361" s="145" t="s">
        <v>193</v>
      </c>
      <c r="B361" s="145"/>
      <c r="C361" s="159">
        <v>89.73531265218385</v>
      </c>
      <c r="D361" s="114">
        <v>77.959183912998995</v>
      </c>
      <c r="E361" s="159">
        <v>50.049903982108525</v>
      </c>
      <c r="F361" s="159">
        <v>39.816361426466948</v>
      </c>
      <c r="G361" s="114">
        <v>88.255369345916051</v>
      </c>
      <c r="H361" s="114">
        <v>77.14168732892584</v>
      </c>
      <c r="I361" s="114">
        <v>55.294907419915994</v>
      </c>
      <c r="J361" s="114">
        <v>39.985991923533362</v>
      </c>
      <c r="K361" s="114">
        <v>89.686311317492468</v>
      </c>
      <c r="L361" s="114">
        <v>85.112208458200385</v>
      </c>
      <c r="M361" s="114">
        <v>63.614046581979508</v>
      </c>
      <c r="N361" s="114">
        <v>50.506343448069458</v>
      </c>
      <c r="O361" s="114">
        <v>79.812797122246977</v>
      </c>
      <c r="P361" s="114">
        <v>71.16728686785423</v>
      </c>
      <c r="Q361" s="114">
        <v>45.983196083899514</v>
      </c>
      <c r="R361" s="114">
        <v>34.749812123024668</v>
      </c>
      <c r="S361" s="114">
        <v>80.159700000000001</v>
      </c>
      <c r="T361" s="114">
        <v>69.212099999999992</v>
      </c>
      <c r="U361" s="114">
        <v>39.591100000000004</v>
      </c>
      <c r="V361" s="114">
        <v>28.034799999999997</v>
      </c>
      <c r="W361" s="114">
        <v>76.301600000000008</v>
      </c>
      <c r="X361" s="114">
        <v>66.463999999999999</v>
      </c>
      <c r="Y361" s="126">
        <v>42.191699999999997</v>
      </c>
      <c r="Z361" s="104">
        <v>25.0565</v>
      </c>
      <c r="AA361" s="104">
        <v>84.115691474297307</v>
      </c>
      <c r="AB361" s="104">
        <v>73.535190587086589</v>
      </c>
      <c r="AC361" s="104">
        <v>47.906119982305356</v>
      </c>
      <c r="AD361" s="104">
        <v>36.504190570958038</v>
      </c>
    </row>
    <row r="362" spans="1:30">
      <c r="A362" s="126" t="s">
        <v>194</v>
      </c>
      <c r="B362" s="126"/>
      <c r="C362" s="160">
        <v>84.844008355704332</v>
      </c>
      <c r="D362" s="126">
        <v>76.273604479670624</v>
      </c>
      <c r="E362" s="160">
        <v>49.661806375516981</v>
      </c>
      <c r="F362" s="160">
        <v>41.644520440209334</v>
      </c>
      <c r="G362" s="126">
        <v>88.92926955758567</v>
      </c>
      <c r="H362" s="126">
        <v>80.883718765618468</v>
      </c>
      <c r="I362" s="126">
        <v>54.675267651004546</v>
      </c>
      <c r="J362" s="126">
        <v>43.682303164463477</v>
      </c>
      <c r="K362" s="126">
        <v>85.356529738213354</v>
      </c>
      <c r="L362" s="126">
        <v>78.976625060920028</v>
      </c>
      <c r="M362" s="126">
        <v>61.594381694830922</v>
      </c>
      <c r="N362" s="126">
        <v>49.225219567003876</v>
      </c>
      <c r="O362" s="126">
        <v>72.995246196314739</v>
      </c>
      <c r="P362" s="126">
        <v>63.089839011632641</v>
      </c>
      <c r="Q362" s="126">
        <v>38.397457827765308</v>
      </c>
      <c r="R362" s="126">
        <v>25.908426544316299</v>
      </c>
      <c r="S362" s="126">
        <v>74.207900000000009</v>
      </c>
      <c r="T362" s="126">
        <v>67.209000000000003</v>
      </c>
      <c r="U362" s="126">
        <v>41.287199999999999</v>
      </c>
      <c r="V362" s="126">
        <v>28.984500000000001</v>
      </c>
      <c r="W362" s="126">
        <v>78.167200000000008</v>
      </c>
      <c r="X362" s="126">
        <v>72.9529</v>
      </c>
      <c r="Y362" s="126">
        <v>43.462400000000002</v>
      </c>
      <c r="Z362" s="104">
        <v>35.228999999999999</v>
      </c>
      <c r="AA362" s="104">
        <v>77.140040482717126</v>
      </c>
      <c r="AB362" s="104">
        <v>68.952256559347731</v>
      </c>
      <c r="AC362" s="104">
        <v>38.824843652098572</v>
      </c>
      <c r="AD362" s="104">
        <v>30.961522658789047</v>
      </c>
    </row>
    <row r="363" spans="1:30">
      <c r="A363" s="16" t="s">
        <v>195</v>
      </c>
      <c r="B363" s="114"/>
      <c r="C363" s="160">
        <v>87.573062354341303</v>
      </c>
      <c r="D363" s="114">
        <v>76.953995892772255</v>
      </c>
      <c r="E363" s="160">
        <v>55.694564632458452</v>
      </c>
      <c r="F363" s="160">
        <v>45.607724066511125</v>
      </c>
      <c r="G363" s="114">
        <v>85.095530370764166</v>
      </c>
      <c r="H363" s="114">
        <v>77.798399778098215</v>
      </c>
      <c r="I363" s="114">
        <v>52.553196262749665</v>
      </c>
      <c r="J363" s="114">
        <v>44.871478481849124</v>
      </c>
      <c r="K363" s="114">
        <v>85.359064048278469</v>
      </c>
      <c r="L363" s="114">
        <v>77.90541391477052</v>
      </c>
      <c r="M363" s="114">
        <v>58.253623831712986</v>
      </c>
      <c r="N363" s="114">
        <v>46.258487952217656</v>
      </c>
      <c r="O363" s="114">
        <v>78.491824726965092</v>
      </c>
      <c r="P363" s="114">
        <v>67.994271593524743</v>
      </c>
      <c r="Q363" s="114">
        <v>40.641008412049544</v>
      </c>
      <c r="R363" s="114">
        <v>29.467005820749399</v>
      </c>
      <c r="S363" s="114">
        <v>78.915700000000001</v>
      </c>
      <c r="T363" s="115">
        <v>68.24860000000001</v>
      </c>
      <c r="U363" s="116">
        <v>39.3521</v>
      </c>
      <c r="V363" s="126">
        <v>30.308200000000003</v>
      </c>
      <c r="W363" s="126">
        <v>76.061700000000002</v>
      </c>
      <c r="X363" s="126">
        <v>67.178400000000011</v>
      </c>
      <c r="Y363" s="126">
        <v>41.456700000000005</v>
      </c>
      <c r="Z363" s="104">
        <v>29.403099999999998</v>
      </c>
      <c r="AA363" s="104">
        <v>81.719020609499452</v>
      </c>
      <c r="AB363" s="104">
        <v>73.016462685744415</v>
      </c>
      <c r="AC363" s="104">
        <v>42.190055145743415</v>
      </c>
      <c r="AD363" s="104">
        <v>31.372706134667201</v>
      </c>
    </row>
    <row r="364" spans="1:30">
      <c r="A364" s="16" t="s">
        <v>299</v>
      </c>
      <c r="B364" s="114"/>
      <c r="C364" s="161">
        <v>86.420549467471915</v>
      </c>
      <c r="D364" s="114">
        <v>79.44593771292746</v>
      </c>
      <c r="E364" s="161">
        <v>61.453912871013131</v>
      </c>
      <c r="F364" s="161">
        <v>47.443442575753146</v>
      </c>
      <c r="G364" s="114">
        <v>89.352903642711127</v>
      </c>
      <c r="H364" s="114">
        <v>84.622161674912604</v>
      </c>
      <c r="I364" s="114">
        <v>62.021813346602983</v>
      </c>
      <c r="J364" s="114">
        <v>49.663092290686905</v>
      </c>
      <c r="K364" s="114">
        <v>88.978072292400199</v>
      </c>
      <c r="L364" s="114">
        <v>85.543987102037633</v>
      </c>
      <c r="M364" s="114">
        <v>65.454245255531163</v>
      </c>
      <c r="N364" s="114">
        <v>53.271498222645242</v>
      </c>
      <c r="O364" s="114">
        <v>84.774152512088037</v>
      </c>
      <c r="P364" s="114">
        <v>73.695717418009295</v>
      </c>
      <c r="Q364" s="114">
        <v>47.398949903380327</v>
      </c>
      <c r="R364" s="114">
        <v>37.930744337521261</v>
      </c>
      <c r="S364" s="114">
        <v>85.961500000000001</v>
      </c>
      <c r="T364" s="115">
        <v>74.561700000000002</v>
      </c>
      <c r="U364" s="116">
        <v>50.2455</v>
      </c>
      <c r="V364" s="126">
        <v>39.740400000000001</v>
      </c>
      <c r="W364" s="126">
        <v>85.177899999999994</v>
      </c>
      <c r="X364" s="126">
        <v>78.677799999999991</v>
      </c>
      <c r="Y364" s="126">
        <v>49.042000000000002</v>
      </c>
      <c r="Z364" s="104">
        <v>35.728400000000001</v>
      </c>
      <c r="AA364" s="104">
        <v>82.958640528843603</v>
      </c>
      <c r="AB364" s="104">
        <v>76.376228110785334</v>
      </c>
      <c r="AC364" s="104">
        <v>53.434727087330756</v>
      </c>
      <c r="AD364" s="104">
        <v>41.70654963736677</v>
      </c>
    </row>
    <row r="365" spans="1:30">
      <c r="A365" s="16"/>
      <c r="B365" s="126"/>
      <c r="C365" s="161"/>
      <c r="D365" s="126"/>
      <c r="E365" s="161"/>
      <c r="F365" s="161"/>
      <c r="G365" s="126"/>
      <c r="H365" s="126"/>
      <c r="I365" s="126"/>
      <c r="J365" s="126"/>
      <c r="K365" s="126"/>
      <c r="L365" s="126"/>
      <c r="M365" s="126"/>
      <c r="N365" s="126"/>
      <c r="O365" s="126"/>
      <c r="P365" s="126"/>
      <c r="Q365" s="126"/>
      <c r="R365" s="126"/>
      <c r="S365" s="126"/>
      <c r="T365" s="126"/>
      <c r="U365" s="126"/>
      <c r="V365" s="126"/>
      <c r="W365" s="126"/>
      <c r="X365" s="126"/>
      <c r="Y365" s="126"/>
    </row>
    <row r="366" spans="1:30">
      <c r="A366" s="16"/>
      <c r="B366" s="126"/>
      <c r="C366" s="161"/>
      <c r="D366" s="126"/>
      <c r="E366" s="161"/>
      <c r="F366" s="161"/>
      <c r="G366" s="126"/>
      <c r="H366" s="126"/>
      <c r="I366" s="126"/>
      <c r="J366" s="126"/>
      <c r="K366" s="126"/>
      <c r="L366" s="126"/>
      <c r="M366" s="126"/>
      <c r="N366" s="126"/>
      <c r="O366" s="126"/>
      <c r="P366" s="126"/>
      <c r="Q366" s="126"/>
      <c r="R366" s="126"/>
      <c r="S366" s="126"/>
      <c r="T366" s="126"/>
      <c r="U366" s="126"/>
      <c r="V366" s="126"/>
      <c r="W366" s="126"/>
      <c r="X366" s="126"/>
      <c r="Y366" s="126"/>
    </row>
    <row r="367" spans="1:30">
      <c r="A367" s="16"/>
      <c r="B367" s="126"/>
      <c r="C367" s="160"/>
      <c r="D367" s="126"/>
      <c r="E367" s="160"/>
      <c r="F367" s="160"/>
      <c r="G367" s="126"/>
      <c r="H367" s="126"/>
      <c r="I367" s="126"/>
      <c r="J367" s="126"/>
      <c r="K367" s="126"/>
      <c r="L367" s="126"/>
      <c r="M367" s="126"/>
      <c r="N367" s="126"/>
      <c r="O367" s="126"/>
      <c r="P367" s="126"/>
      <c r="Q367" s="126"/>
      <c r="R367" s="126"/>
      <c r="S367" s="126"/>
      <c r="T367" s="126"/>
      <c r="U367" s="126"/>
      <c r="V367" s="126"/>
      <c r="W367" s="126"/>
      <c r="X367" s="126"/>
      <c r="Y367" s="126"/>
    </row>
    <row r="368" spans="1:30">
      <c r="A368" s="16"/>
      <c r="B368" s="126"/>
      <c r="C368" s="161"/>
      <c r="D368" s="126"/>
      <c r="E368" s="161"/>
      <c r="F368" s="161"/>
      <c r="G368" s="126"/>
      <c r="H368" s="126"/>
      <c r="I368" s="126"/>
      <c r="J368" s="126"/>
      <c r="K368" s="126"/>
      <c r="L368" s="126"/>
      <c r="M368" s="126"/>
      <c r="N368" s="126"/>
      <c r="O368" s="126"/>
      <c r="P368" s="126"/>
      <c r="Q368" s="126"/>
      <c r="R368" s="126"/>
      <c r="S368" s="126"/>
      <c r="T368" s="126"/>
      <c r="U368" s="126"/>
      <c r="V368" s="126"/>
      <c r="W368" s="126"/>
      <c r="X368" s="126"/>
      <c r="Y368" s="126"/>
    </row>
    <row r="369" spans="1:25">
      <c r="A369" s="16"/>
      <c r="B369" s="126"/>
      <c r="C369" s="161"/>
      <c r="D369" s="126"/>
      <c r="E369" s="161"/>
      <c r="F369" s="161"/>
      <c r="G369" s="126"/>
      <c r="H369" s="126"/>
      <c r="I369" s="126"/>
      <c r="J369" s="126"/>
      <c r="K369" s="126"/>
      <c r="L369" s="126"/>
      <c r="M369" s="126"/>
      <c r="N369" s="126"/>
      <c r="O369" s="126"/>
      <c r="P369" s="126"/>
      <c r="Q369" s="126"/>
      <c r="R369" s="126"/>
      <c r="S369" s="126"/>
      <c r="T369" s="126"/>
      <c r="U369" s="126"/>
      <c r="V369" s="126"/>
      <c r="W369" s="126"/>
      <c r="X369" s="126"/>
      <c r="Y369" s="126"/>
    </row>
    <row r="370" spans="1:25" ht="14.4">
      <c r="A370" s="106"/>
      <c r="B370" s="126"/>
      <c r="C370" s="160"/>
      <c r="D370" s="126"/>
      <c r="E370" s="160"/>
      <c r="F370" s="160"/>
      <c r="G370" s="126"/>
      <c r="H370" s="126"/>
      <c r="I370" s="126"/>
      <c r="J370" s="126"/>
      <c r="K370" s="126"/>
      <c r="L370" s="126"/>
      <c r="M370" s="126"/>
      <c r="N370" s="126"/>
      <c r="O370" s="126"/>
      <c r="P370" s="126"/>
      <c r="Q370" s="126"/>
      <c r="R370" s="126"/>
      <c r="S370" s="126"/>
      <c r="T370" s="126"/>
      <c r="U370" s="126"/>
      <c r="V370" s="126"/>
      <c r="W370" s="126"/>
      <c r="X370" s="126"/>
      <c r="Y370" s="126"/>
    </row>
    <row r="371" spans="1:25" ht="14.4">
      <c r="A371" s="106"/>
      <c r="B371" s="126"/>
      <c r="C371" s="160"/>
      <c r="D371" s="126"/>
      <c r="E371" s="160"/>
      <c r="F371" s="160"/>
      <c r="G371" s="126"/>
      <c r="H371" s="126"/>
      <c r="I371" s="126"/>
      <c r="J371" s="126"/>
      <c r="K371" s="126"/>
      <c r="L371" s="126"/>
      <c r="M371" s="126"/>
      <c r="N371" s="126"/>
      <c r="O371" s="126"/>
      <c r="P371" s="126"/>
      <c r="Q371" s="126"/>
      <c r="R371" s="126"/>
      <c r="S371" s="126"/>
      <c r="T371" s="126"/>
      <c r="U371" s="126"/>
      <c r="V371" s="126"/>
      <c r="W371" s="126"/>
      <c r="X371" s="126"/>
      <c r="Y371" s="126"/>
    </row>
    <row r="372" spans="1:25" ht="14.4">
      <c r="A372" s="106"/>
      <c r="B372" s="126"/>
      <c r="C372" s="160"/>
      <c r="D372" s="126"/>
      <c r="E372" s="160"/>
      <c r="F372" s="160"/>
      <c r="G372" s="126"/>
      <c r="H372" s="126"/>
      <c r="I372" s="126"/>
      <c r="J372" s="126"/>
      <c r="K372" s="126"/>
      <c r="L372" s="126"/>
      <c r="M372" s="126"/>
      <c r="N372" s="126"/>
      <c r="O372" s="126"/>
      <c r="P372" s="126"/>
      <c r="Q372" s="126"/>
      <c r="R372" s="126"/>
      <c r="S372" s="126"/>
      <c r="T372" s="126"/>
      <c r="U372" s="126"/>
      <c r="V372" s="126"/>
      <c r="W372" s="126"/>
      <c r="X372" s="126"/>
      <c r="Y372" s="126"/>
    </row>
    <row r="373" spans="1:25" ht="14.4">
      <c r="A373" s="106"/>
      <c r="B373" s="126"/>
      <c r="C373" s="160"/>
      <c r="D373" s="126"/>
      <c r="E373" s="160"/>
      <c r="F373" s="160"/>
      <c r="G373" s="126"/>
      <c r="H373" s="126"/>
      <c r="I373" s="126"/>
      <c r="J373" s="126"/>
      <c r="K373" s="126"/>
      <c r="L373" s="126"/>
      <c r="M373" s="126"/>
      <c r="N373" s="126"/>
      <c r="O373" s="126"/>
      <c r="P373" s="126"/>
      <c r="Q373" s="126"/>
      <c r="R373" s="126"/>
      <c r="S373" s="126"/>
      <c r="T373" s="126"/>
      <c r="U373" s="126"/>
      <c r="V373" s="126"/>
      <c r="W373" s="126"/>
      <c r="X373" s="126"/>
      <c r="Y373" s="126"/>
    </row>
    <row r="374" spans="1:25" ht="14.4">
      <c r="A374" s="106"/>
      <c r="B374" s="126"/>
      <c r="C374" s="160"/>
      <c r="D374" s="126"/>
      <c r="E374" s="160"/>
      <c r="F374" s="160"/>
      <c r="G374" s="126"/>
      <c r="H374" s="126"/>
      <c r="I374" s="126"/>
      <c r="J374" s="126"/>
      <c r="K374" s="126"/>
      <c r="L374" s="126"/>
      <c r="M374" s="126"/>
      <c r="N374" s="126"/>
      <c r="O374" s="126"/>
      <c r="P374" s="126"/>
      <c r="Q374" s="126"/>
      <c r="R374" s="126"/>
      <c r="S374" s="126"/>
      <c r="T374" s="126"/>
      <c r="U374" s="126"/>
      <c r="V374" s="126"/>
      <c r="W374" s="126"/>
      <c r="X374" s="126"/>
      <c r="Y374" s="126"/>
    </row>
    <row r="375" spans="1:25" ht="14.4">
      <c r="A375" s="106"/>
      <c r="B375" s="126"/>
      <c r="C375" s="160"/>
      <c r="D375" s="126"/>
      <c r="E375" s="160"/>
      <c r="F375" s="160"/>
      <c r="G375" s="126"/>
      <c r="H375" s="126"/>
      <c r="I375" s="126"/>
      <c r="J375" s="126"/>
      <c r="K375" s="126"/>
      <c r="L375" s="126"/>
      <c r="M375" s="126"/>
      <c r="N375" s="126"/>
      <c r="O375" s="126"/>
      <c r="P375" s="126"/>
      <c r="Q375" s="126"/>
      <c r="R375" s="126"/>
      <c r="S375" s="126"/>
      <c r="T375" s="126"/>
      <c r="U375" s="126"/>
      <c r="V375" s="126"/>
      <c r="W375" s="126"/>
      <c r="X375" s="126"/>
      <c r="Y375" s="126"/>
    </row>
    <row r="376" spans="1:25" ht="14.4">
      <c r="A376" s="106"/>
      <c r="B376" s="126"/>
      <c r="C376" s="160"/>
      <c r="D376" s="126"/>
      <c r="E376" s="160"/>
      <c r="F376" s="160"/>
      <c r="G376" s="126"/>
      <c r="H376" s="126"/>
      <c r="I376" s="126"/>
      <c r="J376" s="126"/>
      <c r="K376" s="126"/>
      <c r="L376" s="126"/>
      <c r="M376" s="126"/>
      <c r="N376" s="126"/>
      <c r="O376" s="126"/>
      <c r="P376" s="126"/>
      <c r="Q376" s="126"/>
      <c r="R376" s="126"/>
      <c r="S376" s="126"/>
      <c r="T376" s="126"/>
      <c r="U376" s="126"/>
      <c r="V376" s="126"/>
      <c r="W376" s="126"/>
      <c r="X376" s="126"/>
      <c r="Y376" s="126"/>
    </row>
    <row r="377" spans="1:25" ht="14.4">
      <c r="A377" s="106"/>
      <c r="B377" s="126"/>
      <c r="C377" s="160"/>
      <c r="D377" s="126"/>
      <c r="E377" s="160"/>
      <c r="F377" s="160"/>
      <c r="G377" s="126"/>
      <c r="H377" s="126"/>
      <c r="I377" s="126"/>
      <c r="J377" s="126"/>
      <c r="K377" s="126"/>
      <c r="L377" s="126"/>
      <c r="M377" s="126"/>
      <c r="N377" s="126"/>
      <c r="O377" s="126"/>
      <c r="P377" s="126"/>
      <c r="Q377" s="126"/>
      <c r="R377" s="126"/>
      <c r="S377" s="126"/>
      <c r="T377" s="126"/>
      <c r="U377" s="126"/>
      <c r="V377" s="126"/>
      <c r="W377" s="126"/>
      <c r="X377" s="126"/>
      <c r="Y377" s="126"/>
    </row>
    <row r="378" spans="1:25" ht="14.4">
      <c r="A378" s="117"/>
      <c r="B378" s="126"/>
      <c r="C378" s="160"/>
      <c r="D378" s="126"/>
      <c r="E378" s="160"/>
      <c r="F378" s="160"/>
      <c r="G378" s="126"/>
      <c r="H378" s="126"/>
      <c r="I378" s="126"/>
      <c r="J378" s="126"/>
      <c r="K378" s="126"/>
      <c r="L378" s="126"/>
      <c r="M378" s="126"/>
      <c r="N378" s="126"/>
      <c r="O378" s="126"/>
      <c r="P378" s="126"/>
      <c r="Q378" s="126"/>
      <c r="R378" s="126"/>
      <c r="S378" s="126"/>
      <c r="T378" s="126"/>
      <c r="U378" s="126"/>
      <c r="V378" s="126"/>
      <c r="W378" s="126"/>
      <c r="X378" s="126"/>
      <c r="Y378" s="126"/>
    </row>
    <row r="379" spans="1:25" ht="14.4">
      <c r="A379" s="106"/>
      <c r="B379" s="126"/>
      <c r="C379" s="160"/>
      <c r="D379" s="126"/>
      <c r="E379" s="160"/>
      <c r="F379" s="160"/>
      <c r="G379" s="126"/>
      <c r="H379" s="126"/>
      <c r="I379" s="126"/>
      <c r="J379" s="126"/>
      <c r="K379" s="126"/>
      <c r="L379" s="126"/>
      <c r="M379" s="126"/>
      <c r="N379" s="126"/>
      <c r="O379" s="126"/>
      <c r="P379" s="126"/>
      <c r="Q379" s="126"/>
      <c r="R379" s="126"/>
      <c r="S379" s="126"/>
      <c r="T379" s="126"/>
      <c r="U379" s="126"/>
      <c r="V379" s="126"/>
      <c r="W379" s="126"/>
      <c r="X379" s="126"/>
      <c r="Y379" s="126"/>
    </row>
    <row r="380" spans="1:25" ht="14.4">
      <c r="A380" s="106"/>
      <c r="B380" s="126"/>
      <c r="C380" s="160"/>
      <c r="D380" s="126"/>
      <c r="E380" s="160"/>
      <c r="F380" s="160"/>
      <c r="G380" s="126"/>
      <c r="H380" s="126"/>
      <c r="I380" s="126"/>
      <c r="J380" s="126"/>
      <c r="K380" s="126"/>
      <c r="L380" s="126"/>
      <c r="M380" s="126"/>
      <c r="N380" s="126"/>
      <c r="O380" s="126"/>
      <c r="P380" s="126"/>
      <c r="Q380" s="126"/>
      <c r="R380" s="126"/>
      <c r="S380" s="126"/>
      <c r="T380" s="126"/>
      <c r="U380" s="126"/>
      <c r="V380" s="126"/>
      <c r="W380" s="126"/>
      <c r="X380" s="126"/>
      <c r="Y380" s="126"/>
    </row>
    <row r="381" spans="1:25" ht="14.4">
      <c r="A381" s="106"/>
      <c r="B381" s="126"/>
      <c r="C381" s="160"/>
      <c r="D381" s="126"/>
      <c r="E381" s="160"/>
      <c r="F381" s="160"/>
      <c r="G381" s="126"/>
      <c r="H381" s="126"/>
      <c r="I381" s="126"/>
      <c r="J381" s="126"/>
      <c r="K381" s="126"/>
      <c r="L381" s="126"/>
      <c r="M381" s="126"/>
      <c r="N381" s="126"/>
      <c r="O381" s="126"/>
      <c r="P381" s="126"/>
      <c r="Q381" s="126"/>
      <c r="R381" s="126"/>
      <c r="S381" s="126"/>
      <c r="T381" s="126"/>
      <c r="U381" s="126"/>
      <c r="V381" s="126"/>
      <c r="W381" s="126"/>
      <c r="X381" s="126"/>
      <c r="Y381" s="126"/>
    </row>
    <row r="382" spans="1:25" ht="14.4">
      <c r="A382" s="106"/>
      <c r="B382" s="126"/>
      <c r="C382" s="160"/>
      <c r="D382" s="126"/>
      <c r="E382" s="160"/>
      <c r="F382" s="160"/>
      <c r="G382" s="126"/>
      <c r="H382" s="126"/>
      <c r="I382" s="126"/>
      <c r="J382" s="126"/>
      <c r="K382" s="126"/>
      <c r="L382" s="126"/>
      <c r="M382" s="126"/>
      <c r="N382" s="126"/>
      <c r="O382" s="126"/>
      <c r="P382" s="126"/>
      <c r="Q382" s="126"/>
      <c r="R382" s="126"/>
      <c r="S382" s="126"/>
      <c r="T382" s="126"/>
      <c r="U382" s="126"/>
      <c r="V382" s="126"/>
      <c r="W382" s="126"/>
      <c r="X382" s="126"/>
      <c r="Y382" s="126"/>
    </row>
    <row r="383" spans="1:25" ht="14.4">
      <c r="A383" s="106"/>
      <c r="B383" s="126"/>
      <c r="C383" s="160"/>
      <c r="D383" s="126"/>
      <c r="E383" s="160"/>
      <c r="F383" s="160"/>
      <c r="G383" s="126"/>
      <c r="H383" s="126"/>
      <c r="I383" s="126"/>
      <c r="J383" s="126"/>
      <c r="K383" s="126"/>
      <c r="L383" s="126"/>
      <c r="M383" s="126"/>
      <c r="N383" s="126"/>
      <c r="O383" s="126"/>
      <c r="P383" s="126"/>
      <c r="Q383" s="126"/>
      <c r="R383" s="126"/>
      <c r="S383" s="126"/>
      <c r="T383" s="126"/>
      <c r="U383" s="126"/>
      <c r="V383" s="126"/>
      <c r="W383" s="126"/>
      <c r="X383" s="126"/>
      <c r="Y383" s="126"/>
    </row>
    <row r="384" spans="1:25" ht="14.4">
      <c r="A384" s="106"/>
      <c r="B384" s="126"/>
      <c r="C384" s="160"/>
      <c r="D384" s="126"/>
      <c r="E384" s="160"/>
      <c r="F384" s="160"/>
      <c r="G384" s="126"/>
      <c r="H384" s="126"/>
      <c r="I384" s="126"/>
      <c r="J384" s="126"/>
      <c r="K384" s="126"/>
      <c r="L384" s="126"/>
      <c r="M384" s="126"/>
      <c r="N384" s="126"/>
      <c r="O384" s="126"/>
      <c r="P384" s="126"/>
      <c r="Q384" s="126"/>
      <c r="R384" s="126"/>
      <c r="S384" s="126"/>
      <c r="T384" s="126"/>
      <c r="U384" s="126"/>
      <c r="V384" s="126"/>
      <c r="W384" s="126"/>
      <c r="X384" s="126"/>
      <c r="Y384" s="126"/>
    </row>
    <row r="385" spans="1:25" ht="14.4">
      <c r="A385" s="106"/>
      <c r="B385" s="126"/>
      <c r="C385" s="160"/>
      <c r="D385" s="126"/>
      <c r="E385" s="160"/>
      <c r="F385" s="160"/>
      <c r="G385" s="126"/>
      <c r="H385" s="126"/>
      <c r="I385" s="126"/>
      <c r="J385" s="126"/>
      <c r="K385" s="126"/>
      <c r="L385" s="126"/>
      <c r="M385" s="126"/>
      <c r="N385" s="126"/>
      <c r="O385" s="126"/>
      <c r="P385" s="126"/>
      <c r="Q385" s="126"/>
      <c r="R385" s="126"/>
      <c r="S385" s="126"/>
      <c r="T385" s="126"/>
      <c r="U385" s="126"/>
      <c r="V385" s="126"/>
      <c r="W385" s="126"/>
      <c r="X385" s="126"/>
      <c r="Y385" s="126"/>
    </row>
    <row r="386" spans="1:25" ht="14.4">
      <c r="A386" s="106"/>
      <c r="B386" s="126"/>
      <c r="C386" s="160"/>
      <c r="D386" s="126"/>
      <c r="E386" s="160"/>
      <c r="F386" s="160"/>
      <c r="G386" s="126"/>
      <c r="H386" s="126"/>
      <c r="I386" s="126"/>
      <c r="J386" s="126"/>
      <c r="K386" s="126"/>
      <c r="L386" s="126"/>
      <c r="M386" s="126"/>
      <c r="N386" s="126"/>
      <c r="O386" s="126"/>
      <c r="P386" s="126"/>
      <c r="Q386" s="126"/>
      <c r="R386" s="126"/>
      <c r="S386" s="126"/>
      <c r="T386" s="126"/>
      <c r="U386" s="126"/>
      <c r="V386" s="126"/>
      <c r="W386" s="126"/>
      <c r="X386" s="126"/>
      <c r="Y386" s="126"/>
    </row>
    <row r="387" spans="1:25" ht="14.4">
      <c r="A387" s="106"/>
      <c r="B387" s="126"/>
      <c r="C387" s="160"/>
      <c r="D387" s="126"/>
      <c r="E387" s="160"/>
      <c r="F387" s="160"/>
      <c r="G387" s="126"/>
      <c r="H387" s="126"/>
      <c r="I387" s="126"/>
      <c r="J387" s="126"/>
      <c r="K387" s="126"/>
      <c r="L387" s="126"/>
      <c r="M387" s="126"/>
      <c r="N387" s="126"/>
      <c r="O387" s="126"/>
      <c r="P387" s="126"/>
      <c r="Q387" s="126"/>
      <c r="R387" s="126"/>
      <c r="S387" s="126"/>
      <c r="T387" s="126"/>
      <c r="U387" s="126"/>
      <c r="V387" s="126"/>
      <c r="W387" s="126"/>
      <c r="X387" s="126"/>
      <c r="Y387" s="126"/>
    </row>
    <row r="388" spans="1:25" ht="14.4">
      <c r="A388" s="106"/>
      <c r="B388" s="126"/>
      <c r="C388" s="160"/>
      <c r="D388" s="126"/>
      <c r="E388" s="160"/>
      <c r="F388" s="160"/>
      <c r="G388" s="126"/>
      <c r="H388" s="126"/>
      <c r="I388" s="126"/>
      <c r="J388" s="126"/>
      <c r="K388" s="126"/>
      <c r="L388" s="126"/>
      <c r="M388" s="126"/>
      <c r="N388" s="126"/>
      <c r="O388" s="126"/>
      <c r="P388" s="126"/>
      <c r="Q388" s="126"/>
      <c r="R388" s="126"/>
      <c r="S388" s="126"/>
      <c r="T388" s="126"/>
      <c r="U388" s="126"/>
      <c r="V388" s="126"/>
      <c r="W388" s="126"/>
      <c r="X388" s="126"/>
      <c r="Y388" s="126"/>
    </row>
    <row r="389" spans="1:25" ht="14.4">
      <c r="A389" s="106"/>
      <c r="B389" s="126"/>
      <c r="C389" s="160"/>
      <c r="D389" s="126"/>
      <c r="E389" s="160"/>
      <c r="F389" s="160"/>
      <c r="G389" s="126"/>
      <c r="H389" s="126"/>
      <c r="I389" s="126"/>
      <c r="J389" s="126"/>
      <c r="K389" s="126"/>
      <c r="L389" s="126"/>
      <c r="M389" s="126"/>
      <c r="N389" s="126"/>
      <c r="O389" s="126"/>
      <c r="P389" s="126"/>
      <c r="Q389" s="126"/>
      <c r="R389" s="126"/>
      <c r="S389" s="126"/>
      <c r="T389" s="126"/>
      <c r="U389" s="126"/>
      <c r="V389" s="126"/>
      <c r="W389" s="126"/>
      <c r="X389" s="126"/>
      <c r="Y389" s="126"/>
    </row>
    <row r="390" spans="1:25">
      <c r="A390" s="126"/>
      <c r="B390" s="126"/>
      <c r="C390" s="160"/>
      <c r="D390" s="126"/>
      <c r="E390" s="160"/>
      <c r="F390" s="160"/>
      <c r="G390" s="126"/>
      <c r="H390" s="126"/>
      <c r="I390" s="126"/>
      <c r="J390" s="126"/>
      <c r="K390" s="126"/>
      <c r="L390" s="126"/>
      <c r="M390" s="126"/>
      <c r="N390" s="126"/>
      <c r="O390" s="126"/>
      <c r="P390" s="126"/>
      <c r="Q390" s="126"/>
      <c r="R390" s="126"/>
      <c r="S390" s="126"/>
      <c r="T390" s="126"/>
      <c r="U390" s="126"/>
      <c r="V390" s="126"/>
      <c r="W390" s="126"/>
      <c r="X390" s="126"/>
      <c r="Y390" s="126"/>
    </row>
    <row r="391" spans="1:25">
      <c r="A391" s="126"/>
      <c r="B391" s="126"/>
      <c r="C391" s="160"/>
      <c r="D391" s="126"/>
      <c r="E391" s="160"/>
      <c r="F391" s="160"/>
      <c r="G391" s="126"/>
      <c r="H391" s="126"/>
      <c r="I391" s="126"/>
      <c r="J391" s="126"/>
      <c r="K391" s="126"/>
      <c r="L391" s="126"/>
      <c r="M391" s="126"/>
      <c r="N391" s="126"/>
      <c r="O391" s="126"/>
      <c r="P391" s="126"/>
      <c r="Q391" s="126"/>
      <c r="R391" s="126"/>
      <c r="S391" s="126"/>
      <c r="T391" s="126"/>
      <c r="U391" s="126"/>
      <c r="V391" s="126"/>
      <c r="W391" s="126"/>
      <c r="X391" s="126"/>
      <c r="Y391" s="126"/>
    </row>
    <row r="392" spans="1:25">
      <c r="A392" s="126"/>
      <c r="B392" s="126"/>
      <c r="C392" s="160"/>
      <c r="D392" s="126"/>
      <c r="E392" s="160"/>
      <c r="F392" s="160"/>
      <c r="G392" s="126"/>
      <c r="H392" s="126"/>
      <c r="I392" s="126"/>
      <c r="J392" s="126"/>
      <c r="K392" s="126"/>
      <c r="L392" s="126"/>
      <c r="M392" s="126"/>
      <c r="N392" s="126"/>
      <c r="O392" s="126"/>
      <c r="P392" s="126"/>
      <c r="Q392" s="126"/>
      <c r="R392" s="126"/>
      <c r="S392" s="126"/>
      <c r="T392" s="126"/>
      <c r="U392" s="126"/>
      <c r="V392" s="126"/>
      <c r="W392" s="126"/>
      <c r="X392" s="126"/>
      <c r="Y392" s="126"/>
    </row>
    <row r="393" spans="1:25">
      <c r="A393" s="126"/>
      <c r="B393" s="126"/>
      <c r="C393" s="160"/>
      <c r="D393" s="126"/>
      <c r="E393" s="160"/>
      <c r="F393" s="160"/>
      <c r="G393" s="126"/>
      <c r="H393" s="126"/>
      <c r="I393" s="126"/>
      <c r="J393" s="126"/>
      <c r="K393" s="126"/>
      <c r="L393" s="126"/>
      <c r="M393" s="126"/>
      <c r="N393" s="126"/>
      <c r="O393" s="126"/>
      <c r="P393" s="126"/>
      <c r="Q393" s="126"/>
      <c r="R393" s="126"/>
      <c r="S393" s="126"/>
      <c r="T393" s="126"/>
      <c r="U393" s="126"/>
      <c r="V393" s="126"/>
      <c r="W393" s="126"/>
      <c r="X393" s="126"/>
      <c r="Y393" s="126"/>
    </row>
    <row r="394" spans="1:25">
      <c r="A394" s="126"/>
      <c r="B394" s="126"/>
      <c r="C394" s="160"/>
      <c r="D394" s="126"/>
      <c r="E394" s="160"/>
      <c r="F394" s="160"/>
      <c r="G394" s="126"/>
      <c r="H394" s="126"/>
      <c r="I394" s="126"/>
      <c r="J394" s="126"/>
      <c r="K394" s="126"/>
      <c r="L394" s="126"/>
      <c r="M394" s="126"/>
      <c r="N394" s="126"/>
      <c r="O394" s="126"/>
      <c r="P394" s="126"/>
      <c r="Q394" s="126"/>
      <c r="R394" s="126"/>
      <c r="S394" s="126"/>
      <c r="T394" s="126"/>
      <c r="U394" s="126"/>
      <c r="V394" s="126"/>
      <c r="W394" s="126"/>
      <c r="X394" s="126"/>
      <c r="Y394" s="126"/>
    </row>
    <row r="395" spans="1:25">
      <c r="A395" s="126"/>
      <c r="B395" s="126"/>
      <c r="C395" s="160"/>
      <c r="D395" s="126"/>
      <c r="E395" s="160"/>
      <c r="F395" s="160"/>
      <c r="G395" s="126"/>
      <c r="H395" s="126"/>
      <c r="I395" s="126"/>
      <c r="J395" s="126"/>
      <c r="K395" s="126"/>
      <c r="L395" s="126"/>
      <c r="M395" s="126"/>
      <c r="N395" s="126"/>
      <c r="O395" s="126"/>
      <c r="P395" s="126"/>
      <c r="Q395" s="126"/>
      <c r="R395" s="126"/>
      <c r="S395" s="126"/>
      <c r="T395" s="126"/>
      <c r="U395" s="126"/>
      <c r="V395" s="126"/>
      <c r="W395" s="126"/>
      <c r="X395" s="126"/>
      <c r="Y395" s="126"/>
    </row>
    <row r="396" spans="1:25">
      <c r="A396" s="126"/>
      <c r="B396" s="126"/>
      <c r="C396" s="160"/>
      <c r="D396" s="126"/>
      <c r="E396" s="160"/>
      <c r="F396" s="160"/>
      <c r="G396" s="126"/>
      <c r="H396" s="126"/>
      <c r="I396" s="126"/>
      <c r="J396" s="126"/>
      <c r="K396" s="126"/>
      <c r="L396" s="126"/>
      <c r="M396" s="126"/>
      <c r="N396" s="126"/>
      <c r="O396" s="126"/>
      <c r="P396" s="126"/>
      <c r="Q396" s="126"/>
      <c r="R396" s="126"/>
      <c r="S396" s="126"/>
      <c r="T396" s="126"/>
      <c r="U396" s="126"/>
      <c r="V396" s="126"/>
      <c r="W396" s="126"/>
      <c r="X396" s="126"/>
      <c r="Y396" s="126"/>
    </row>
    <row r="397" spans="1:25">
      <c r="A397" s="126"/>
      <c r="B397" s="126"/>
      <c r="C397" s="160"/>
      <c r="D397" s="126"/>
      <c r="E397" s="160"/>
      <c r="F397" s="160"/>
      <c r="G397" s="126"/>
      <c r="H397" s="126"/>
      <c r="I397" s="126"/>
      <c r="J397" s="126"/>
      <c r="K397" s="126"/>
      <c r="L397" s="126"/>
      <c r="M397" s="126"/>
      <c r="N397" s="126"/>
      <c r="O397" s="126"/>
      <c r="P397" s="126"/>
      <c r="Q397" s="126"/>
      <c r="R397" s="126"/>
      <c r="S397" s="126"/>
      <c r="T397" s="126"/>
      <c r="U397" s="126"/>
      <c r="V397" s="126"/>
      <c r="W397" s="126"/>
      <c r="X397" s="126"/>
      <c r="Y397" s="126"/>
    </row>
    <row r="398" spans="1:25">
      <c r="A398" s="126"/>
      <c r="B398" s="126"/>
      <c r="C398" s="160"/>
      <c r="D398" s="126"/>
      <c r="E398" s="160"/>
      <c r="F398" s="160"/>
      <c r="G398" s="126"/>
      <c r="H398" s="126"/>
      <c r="I398" s="126"/>
      <c r="J398" s="126"/>
      <c r="K398" s="126"/>
      <c r="L398" s="126"/>
      <c r="M398" s="126"/>
      <c r="N398" s="126"/>
      <c r="O398" s="126"/>
      <c r="P398" s="126"/>
      <c r="Q398" s="126"/>
      <c r="R398" s="126"/>
      <c r="S398" s="126"/>
      <c r="T398" s="126"/>
      <c r="U398" s="126"/>
      <c r="V398" s="126"/>
      <c r="W398" s="126"/>
      <c r="X398" s="126"/>
      <c r="Y398" s="126"/>
    </row>
    <row r="399" spans="1:25">
      <c r="A399" s="126"/>
      <c r="B399" s="126"/>
      <c r="C399" s="160"/>
      <c r="D399" s="126"/>
      <c r="E399" s="160"/>
      <c r="F399" s="160"/>
      <c r="G399" s="126"/>
      <c r="H399" s="126"/>
      <c r="I399" s="126"/>
      <c r="J399" s="126"/>
      <c r="K399" s="126"/>
      <c r="L399" s="126"/>
      <c r="M399" s="126"/>
      <c r="N399" s="126"/>
      <c r="O399" s="126"/>
      <c r="P399" s="126"/>
      <c r="Q399" s="126"/>
      <c r="R399" s="126"/>
      <c r="S399" s="126"/>
      <c r="T399" s="126"/>
      <c r="U399" s="126"/>
      <c r="V399" s="126"/>
      <c r="W399" s="126"/>
      <c r="X399" s="126"/>
      <c r="Y399" s="126"/>
    </row>
    <row r="400" spans="1:25">
      <c r="A400" s="126"/>
      <c r="B400" s="126"/>
      <c r="C400" s="160"/>
      <c r="D400" s="126"/>
      <c r="E400" s="160"/>
      <c r="F400" s="160"/>
      <c r="G400" s="126"/>
      <c r="H400" s="126"/>
      <c r="I400" s="126"/>
      <c r="J400" s="126"/>
      <c r="K400" s="126"/>
      <c r="L400" s="126"/>
      <c r="M400" s="126"/>
      <c r="N400" s="126"/>
      <c r="O400" s="126"/>
      <c r="P400" s="126"/>
      <c r="Q400" s="126"/>
      <c r="R400" s="126"/>
      <c r="S400" s="126"/>
      <c r="T400" s="126"/>
      <c r="U400" s="126"/>
      <c r="V400" s="126"/>
      <c r="W400" s="126"/>
      <c r="X400" s="126"/>
      <c r="Y400" s="126"/>
    </row>
    <row r="401" spans="1:25">
      <c r="A401" s="126"/>
      <c r="B401" s="126"/>
      <c r="C401" s="160"/>
      <c r="D401" s="126"/>
      <c r="E401" s="160"/>
      <c r="F401" s="160"/>
      <c r="G401" s="126"/>
      <c r="H401" s="126"/>
      <c r="I401" s="126"/>
      <c r="J401" s="126"/>
      <c r="K401" s="126"/>
      <c r="L401" s="126"/>
      <c r="M401" s="126"/>
      <c r="N401" s="126"/>
      <c r="O401" s="126"/>
      <c r="P401" s="126"/>
      <c r="Q401" s="126"/>
      <c r="R401" s="126"/>
      <c r="S401" s="126"/>
      <c r="T401" s="126"/>
      <c r="U401" s="126"/>
      <c r="V401" s="126"/>
      <c r="W401" s="126"/>
      <c r="X401" s="126"/>
      <c r="Y401" s="126"/>
    </row>
    <row r="402" spans="1:25">
      <c r="A402" s="126"/>
      <c r="B402" s="126"/>
      <c r="C402" s="160"/>
      <c r="D402" s="126"/>
      <c r="E402" s="160"/>
      <c r="F402" s="160"/>
      <c r="G402" s="126"/>
      <c r="H402" s="126"/>
      <c r="I402" s="126"/>
      <c r="J402" s="126"/>
      <c r="K402" s="126"/>
      <c r="L402" s="126"/>
      <c r="M402" s="126"/>
      <c r="N402" s="126"/>
      <c r="O402" s="126"/>
      <c r="P402" s="126"/>
      <c r="Q402" s="126"/>
      <c r="R402" s="126"/>
      <c r="S402" s="126"/>
      <c r="T402" s="126"/>
      <c r="U402" s="126"/>
      <c r="V402" s="126"/>
      <c r="W402" s="126"/>
      <c r="X402" s="126"/>
      <c r="Y402" s="126"/>
    </row>
    <row r="403" spans="1:25">
      <c r="A403" s="126"/>
      <c r="B403" s="126"/>
      <c r="C403" s="160"/>
      <c r="D403" s="126"/>
      <c r="E403" s="160"/>
      <c r="F403" s="160"/>
      <c r="G403" s="126"/>
      <c r="H403" s="126"/>
      <c r="I403" s="126"/>
      <c r="J403" s="126"/>
      <c r="K403" s="126"/>
      <c r="L403" s="126"/>
      <c r="M403" s="126"/>
      <c r="N403" s="126"/>
      <c r="O403" s="126"/>
      <c r="P403" s="126"/>
      <c r="Q403" s="126"/>
      <c r="R403" s="126"/>
      <c r="S403" s="126"/>
      <c r="T403" s="126"/>
      <c r="U403" s="126"/>
      <c r="V403" s="126"/>
      <c r="W403" s="126"/>
      <c r="X403" s="126"/>
      <c r="Y403" s="126"/>
    </row>
    <row r="404" spans="1:25">
      <c r="A404" s="126"/>
      <c r="B404" s="126"/>
      <c r="C404" s="160"/>
      <c r="D404" s="126"/>
      <c r="E404" s="160"/>
      <c r="F404" s="160"/>
      <c r="G404" s="126"/>
      <c r="H404" s="126"/>
      <c r="I404" s="126"/>
      <c r="J404" s="126"/>
      <c r="K404" s="126"/>
      <c r="L404" s="126"/>
      <c r="M404" s="126"/>
      <c r="N404" s="126"/>
      <c r="O404" s="126"/>
      <c r="P404" s="126"/>
      <c r="Q404" s="126"/>
      <c r="R404" s="126"/>
      <c r="S404" s="126"/>
      <c r="T404" s="126"/>
      <c r="U404" s="126"/>
      <c r="V404" s="126"/>
      <c r="W404" s="126"/>
      <c r="X404" s="126"/>
      <c r="Y404" s="126"/>
    </row>
    <row r="405" spans="1:25">
      <c r="A405" s="126"/>
      <c r="B405" s="126"/>
      <c r="C405" s="160"/>
      <c r="D405" s="126"/>
      <c r="E405" s="160"/>
      <c r="F405" s="160"/>
      <c r="G405" s="126"/>
      <c r="H405" s="126"/>
      <c r="I405" s="126"/>
      <c r="J405" s="126"/>
      <c r="K405" s="126"/>
      <c r="L405" s="126"/>
      <c r="M405" s="126"/>
      <c r="N405" s="126"/>
      <c r="O405" s="126"/>
      <c r="P405" s="126"/>
      <c r="Q405" s="126"/>
      <c r="R405" s="126"/>
      <c r="S405" s="126"/>
      <c r="T405" s="126"/>
      <c r="U405" s="126"/>
      <c r="V405" s="126"/>
      <c r="W405" s="126"/>
      <c r="X405" s="126"/>
      <c r="Y405" s="126"/>
    </row>
    <row r="406" spans="1:25">
      <c r="A406" s="126"/>
      <c r="B406" s="126"/>
      <c r="C406" s="160"/>
      <c r="D406" s="126"/>
      <c r="E406" s="160"/>
      <c r="F406" s="160"/>
      <c r="G406" s="126"/>
      <c r="H406" s="126"/>
      <c r="I406" s="126"/>
      <c r="J406" s="126"/>
      <c r="K406" s="126"/>
      <c r="L406" s="126"/>
      <c r="M406" s="126"/>
      <c r="N406" s="126"/>
      <c r="O406" s="126"/>
      <c r="P406" s="126"/>
      <c r="Q406" s="126"/>
      <c r="R406" s="126"/>
      <c r="S406" s="126"/>
      <c r="T406" s="126"/>
      <c r="U406" s="126"/>
      <c r="V406" s="126"/>
      <c r="W406" s="126"/>
      <c r="X406" s="126"/>
      <c r="Y406" s="126"/>
    </row>
    <row r="407" spans="1:25">
      <c r="A407" s="126"/>
      <c r="B407" s="126"/>
      <c r="C407" s="160"/>
      <c r="D407" s="126"/>
      <c r="E407" s="160"/>
      <c r="F407" s="160"/>
      <c r="G407" s="126"/>
      <c r="H407" s="126"/>
      <c r="I407" s="126"/>
      <c r="J407" s="126"/>
      <c r="K407" s="126"/>
      <c r="L407" s="126"/>
      <c r="M407" s="126"/>
      <c r="N407" s="126"/>
      <c r="O407" s="126"/>
      <c r="P407" s="126"/>
      <c r="Q407" s="126"/>
      <c r="R407" s="126"/>
      <c r="S407" s="126"/>
      <c r="T407" s="126"/>
      <c r="U407" s="126"/>
      <c r="V407" s="126"/>
      <c r="W407" s="126"/>
      <c r="X407" s="126"/>
      <c r="Y407" s="126"/>
    </row>
    <row r="408" spans="1:25">
      <c r="A408" s="126"/>
      <c r="B408" s="126"/>
      <c r="C408" s="160"/>
      <c r="D408" s="126"/>
      <c r="E408" s="160"/>
      <c r="F408" s="160"/>
      <c r="G408" s="126"/>
      <c r="H408" s="126"/>
      <c r="I408" s="126"/>
      <c r="J408" s="126"/>
      <c r="K408" s="126"/>
      <c r="L408" s="126"/>
      <c r="M408" s="126"/>
      <c r="N408" s="126"/>
      <c r="O408" s="126"/>
      <c r="P408" s="126"/>
      <c r="Q408" s="126"/>
      <c r="R408" s="126"/>
      <c r="S408" s="126"/>
      <c r="T408" s="126"/>
      <c r="U408" s="126"/>
      <c r="V408" s="126"/>
      <c r="W408" s="126"/>
      <c r="X408" s="126"/>
      <c r="Y408" s="126"/>
    </row>
    <row r="409" spans="1:25">
      <c r="A409" s="126"/>
      <c r="B409" s="126"/>
      <c r="C409" s="126"/>
      <c r="D409" s="126"/>
      <c r="E409" s="126"/>
      <c r="F409" s="126"/>
      <c r="G409" s="126"/>
      <c r="H409" s="126"/>
      <c r="I409" s="126"/>
      <c r="J409" s="126"/>
      <c r="K409" s="126"/>
      <c r="L409" s="126"/>
      <c r="M409" s="126"/>
      <c r="N409" s="126"/>
      <c r="O409" s="126"/>
      <c r="P409" s="126"/>
      <c r="Q409" s="126"/>
      <c r="R409" s="126"/>
      <c r="S409" s="126"/>
      <c r="T409" s="126"/>
      <c r="U409" s="126"/>
      <c r="V409" s="126"/>
      <c r="W409" s="126"/>
      <c r="X409" s="126"/>
      <c r="Y409" s="126"/>
    </row>
    <row r="410" spans="1:25">
      <c r="A410" s="126"/>
      <c r="B410" s="126"/>
      <c r="C410" s="126"/>
      <c r="D410" s="126"/>
      <c r="E410" s="126"/>
      <c r="F410" s="126"/>
      <c r="G410" s="126"/>
      <c r="H410" s="126"/>
      <c r="I410" s="126"/>
      <c r="J410" s="126"/>
      <c r="K410" s="126"/>
      <c r="L410" s="126"/>
      <c r="M410" s="126"/>
      <c r="N410" s="126"/>
      <c r="O410" s="126"/>
      <c r="P410" s="126"/>
      <c r="Q410" s="126"/>
      <c r="R410" s="126"/>
      <c r="S410" s="126"/>
      <c r="T410" s="126"/>
      <c r="U410" s="126"/>
      <c r="V410" s="126"/>
      <c r="W410" s="126"/>
      <c r="X410" s="126"/>
      <c r="Y410" s="126"/>
    </row>
    <row r="411" spans="1:25">
      <c r="A411" s="126"/>
      <c r="B411" s="126"/>
      <c r="C411" s="126"/>
      <c r="D411" s="126"/>
      <c r="E411" s="126"/>
      <c r="F411" s="126"/>
      <c r="G411" s="126"/>
      <c r="H411" s="126"/>
      <c r="I411" s="126"/>
      <c r="J411" s="126"/>
      <c r="K411" s="126"/>
      <c r="L411" s="126"/>
      <c r="M411" s="126"/>
      <c r="N411" s="126"/>
      <c r="O411" s="126"/>
      <c r="P411" s="126"/>
      <c r="Q411" s="126"/>
      <c r="R411" s="126"/>
      <c r="S411" s="126"/>
      <c r="T411" s="126"/>
      <c r="U411" s="126"/>
      <c r="V411" s="126"/>
      <c r="W411" s="126"/>
      <c r="X411" s="126"/>
      <c r="Y411" s="126"/>
    </row>
    <row r="412" spans="1:25">
      <c r="A412" s="126"/>
      <c r="B412" s="126"/>
      <c r="C412" s="126"/>
      <c r="D412" s="126"/>
      <c r="E412" s="126"/>
      <c r="F412" s="126"/>
      <c r="G412" s="126"/>
      <c r="H412" s="126"/>
      <c r="I412" s="126"/>
      <c r="J412" s="126"/>
      <c r="K412" s="126"/>
      <c r="L412" s="126"/>
      <c r="M412" s="126"/>
      <c r="N412" s="126"/>
      <c r="O412" s="126"/>
      <c r="P412" s="126"/>
      <c r="Q412" s="126"/>
      <c r="R412" s="126"/>
      <c r="S412" s="126"/>
      <c r="T412" s="126"/>
      <c r="U412" s="126"/>
      <c r="V412" s="126"/>
      <c r="W412" s="126"/>
      <c r="X412" s="126"/>
      <c r="Y412" s="126"/>
    </row>
    <row r="413" spans="1:25">
      <c r="A413" s="126"/>
      <c r="B413" s="126"/>
      <c r="C413" s="126"/>
      <c r="D413" s="126"/>
      <c r="E413" s="126"/>
      <c r="F413" s="126"/>
      <c r="G413" s="126"/>
      <c r="H413" s="126"/>
      <c r="I413" s="126"/>
      <c r="J413" s="126"/>
      <c r="K413" s="126"/>
      <c r="L413" s="126"/>
      <c r="M413" s="126"/>
      <c r="N413" s="126"/>
      <c r="O413" s="126"/>
      <c r="P413" s="126"/>
      <c r="Q413" s="126"/>
      <c r="R413" s="126"/>
      <c r="S413" s="126"/>
      <c r="T413" s="126"/>
      <c r="U413" s="126"/>
      <c r="V413" s="126"/>
      <c r="W413" s="126"/>
      <c r="X413" s="126"/>
      <c r="Y413" s="126"/>
    </row>
    <row r="414" spans="1:25">
      <c r="A414" s="126"/>
      <c r="B414" s="126"/>
      <c r="C414" s="126"/>
      <c r="D414" s="126"/>
      <c r="E414" s="126"/>
      <c r="F414" s="126"/>
      <c r="G414" s="126"/>
      <c r="H414" s="126"/>
      <c r="I414" s="126"/>
      <c r="J414" s="126"/>
      <c r="K414" s="126"/>
      <c r="L414" s="126"/>
      <c r="M414" s="126"/>
      <c r="N414" s="126"/>
      <c r="O414" s="126"/>
      <c r="P414" s="126"/>
      <c r="Q414" s="126"/>
      <c r="R414" s="126"/>
      <c r="S414" s="126"/>
      <c r="T414" s="126"/>
      <c r="U414" s="126"/>
      <c r="V414" s="126"/>
      <c r="W414" s="126"/>
      <c r="X414" s="126"/>
      <c r="Y414" s="126"/>
    </row>
    <row r="415" spans="1:25">
      <c r="A415" s="126"/>
      <c r="B415" s="126"/>
      <c r="C415" s="126"/>
      <c r="D415" s="126"/>
      <c r="E415" s="126"/>
      <c r="F415" s="126"/>
      <c r="G415" s="126"/>
      <c r="H415" s="126"/>
      <c r="I415" s="126"/>
      <c r="J415" s="126"/>
      <c r="K415" s="126"/>
      <c r="L415" s="126"/>
      <c r="M415" s="126"/>
      <c r="N415" s="126"/>
      <c r="O415" s="126"/>
      <c r="P415" s="126"/>
      <c r="Q415" s="126"/>
      <c r="R415" s="126"/>
      <c r="S415" s="126"/>
      <c r="T415" s="126"/>
      <c r="U415" s="126"/>
      <c r="V415" s="126"/>
      <c r="W415" s="126"/>
      <c r="X415" s="126"/>
      <c r="Y415" s="126"/>
    </row>
    <row r="416" spans="1:25">
      <c r="A416" s="126"/>
      <c r="B416" s="126"/>
      <c r="C416" s="126"/>
      <c r="D416" s="126"/>
      <c r="E416" s="126"/>
      <c r="F416" s="126"/>
      <c r="G416" s="126"/>
      <c r="H416" s="126"/>
      <c r="I416" s="126"/>
      <c r="J416" s="126"/>
      <c r="K416" s="126"/>
      <c r="L416" s="126"/>
      <c r="M416" s="126"/>
      <c r="N416" s="126"/>
      <c r="O416" s="126"/>
      <c r="P416" s="126"/>
      <c r="Q416" s="126"/>
      <c r="R416" s="126"/>
      <c r="S416" s="126"/>
      <c r="T416" s="126"/>
      <c r="U416" s="126"/>
      <c r="V416" s="126"/>
      <c r="W416" s="126"/>
      <c r="X416" s="126"/>
      <c r="Y416" s="126"/>
    </row>
    <row r="417" spans="1:25">
      <c r="A417" s="126"/>
      <c r="B417" s="126"/>
      <c r="C417" s="126"/>
      <c r="D417" s="126"/>
      <c r="E417" s="126"/>
      <c r="F417" s="126"/>
      <c r="G417" s="126"/>
      <c r="H417" s="126"/>
      <c r="I417" s="126"/>
      <c r="J417" s="126"/>
      <c r="K417" s="126"/>
      <c r="L417" s="126"/>
      <c r="M417" s="126"/>
      <c r="N417" s="126"/>
      <c r="O417" s="126"/>
      <c r="P417" s="126"/>
      <c r="Q417" s="126"/>
      <c r="R417" s="126"/>
      <c r="S417" s="126"/>
      <c r="T417" s="126"/>
      <c r="U417" s="126"/>
      <c r="V417" s="126"/>
      <c r="W417" s="126"/>
      <c r="X417" s="126"/>
      <c r="Y417" s="126"/>
    </row>
    <row r="418" spans="1:25">
      <c r="A418" s="126"/>
      <c r="B418" s="126"/>
      <c r="C418" s="126"/>
      <c r="D418" s="126"/>
      <c r="E418" s="126"/>
      <c r="F418" s="126"/>
      <c r="G418" s="126"/>
      <c r="H418" s="126"/>
      <c r="I418" s="126"/>
      <c r="J418" s="126"/>
      <c r="K418" s="126"/>
      <c r="L418" s="126"/>
      <c r="M418" s="126"/>
      <c r="N418" s="126"/>
      <c r="O418" s="126"/>
      <c r="P418" s="126"/>
      <c r="Q418" s="126"/>
      <c r="R418" s="126"/>
      <c r="S418" s="126"/>
      <c r="T418" s="126"/>
      <c r="U418" s="126"/>
      <c r="V418" s="126"/>
      <c r="W418" s="126"/>
      <c r="X418" s="126"/>
      <c r="Y418" s="126"/>
    </row>
    <row r="419" spans="1:25">
      <c r="A419" s="126"/>
      <c r="B419" s="126"/>
      <c r="C419" s="126"/>
      <c r="D419" s="126"/>
      <c r="E419" s="126"/>
      <c r="F419" s="126"/>
      <c r="G419" s="126"/>
      <c r="H419" s="126"/>
      <c r="I419" s="126"/>
      <c r="J419" s="126"/>
      <c r="K419" s="126"/>
      <c r="L419" s="126"/>
      <c r="M419" s="126"/>
      <c r="N419" s="126"/>
      <c r="O419" s="126"/>
      <c r="P419" s="126"/>
      <c r="Q419" s="126"/>
      <c r="R419" s="126"/>
      <c r="S419" s="126"/>
      <c r="T419" s="126"/>
      <c r="U419" s="126"/>
      <c r="V419" s="126"/>
      <c r="W419" s="126"/>
      <c r="X419" s="126"/>
      <c r="Y419" s="126"/>
    </row>
    <row r="420" spans="1:25">
      <c r="A420" s="126"/>
      <c r="B420" s="126"/>
      <c r="C420" s="126"/>
      <c r="D420" s="126"/>
      <c r="E420" s="126"/>
      <c r="F420" s="126"/>
      <c r="G420" s="126"/>
      <c r="H420" s="126"/>
      <c r="I420" s="126"/>
      <c r="J420" s="126"/>
      <c r="K420" s="126"/>
      <c r="L420" s="126"/>
      <c r="M420" s="126"/>
      <c r="N420" s="126"/>
      <c r="O420" s="126"/>
      <c r="P420" s="126"/>
      <c r="Q420" s="126"/>
      <c r="R420" s="126"/>
      <c r="S420" s="126"/>
      <c r="T420" s="126"/>
      <c r="U420" s="126"/>
      <c r="V420" s="126"/>
      <c r="W420" s="126"/>
      <c r="X420" s="126"/>
      <c r="Y420" s="126"/>
    </row>
    <row r="421" spans="1:25">
      <c r="A421" s="126"/>
      <c r="B421" s="126"/>
      <c r="C421" s="126"/>
      <c r="D421" s="126"/>
      <c r="E421" s="126"/>
      <c r="F421" s="126"/>
      <c r="G421" s="126"/>
      <c r="H421" s="126"/>
      <c r="I421" s="126"/>
      <c r="J421" s="126"/>
      <c r="K421" s="126"/>
      <c r="L421" s="126"/>
      <c r="M421" s="126"/>
      <c r="N421" s="126"/>
      <c r="O421" s="126"/>
      <c r="P421" s="126"/>
      <c r="Q421" s="126"/>
      <c r="R421" s="126"/>
      <c r="S421" s="126"/>
      <c r="T421" s="126"/>
      <c r="U421" s="126"/>
      <c r="V421" s="126"/>
      <c r="W421" s="126"/>
      <c r="X421" s="126"/>
      <c r="Y421" s="126"/>
    </row>
    <row r="422" spans="1:25">
      <c r="A422" s="126"/>
      <c r="B422" s="126"/>
      <c r="C422" s="126"/>
      <c r="D422" s="126"/>
      <c r="E422" s="126"/>
      <c r="F422" s="126"/>
      <c r="G422" s="126"/>
      <c r="H422" s="126"/>
      <c r="I422" s="126"/>
      <c r="J422" s="126"/>
      <c r="K422" s="126"/>
      <c r="L422" s="126"/>
      <c r="M422" s="126"/>
      <c r="N422" s="126"/>
      <c r="O422" s="126"/>
      <c r="P422" s="126"/>
      <c r="Q422" s="126"/>
      <c r="R422" s="126"/>
      <c r="S422" s="126"/>
      <c r="T422" s="126"/>
      <c r="U422" s="126"/>
      <c r="V422" s="126"/>
      <c r="W422" s="126"/>
      <c r="X422" s="126"/>
      <c r="Y422" s="126"/>
    </row>
    <row r="423" spans="1:25">
      <c r="A423" s="126"/>
      <c r="B423" s="126"/>
      <c r="C423" s="126"/>
      <c r="D423" s="126"/>
      <c r="E423" s="126"/>
      <c r="F423" s="126"/>
      <c r="G423" s="126"/>
      <c r="H423" s="126"/>
      <c r="I423" s="126"/>
      <c r="J423" s="126"/>
      <c r="K423" s="126"/>
      <c r="L423" s="126"/>
      <c r="M423" s="126"/>
      <c r="N423" s="126"/>
      <c r="O423" s="126"/>
      <c r="P423" s="126"/>
      <c r="Q423" s="126"/>
      <c r="R423" s="126"/>
      <c r="S423" s="126"/>
      <c r="T423" s="126"/>
      <c r="U423" s="126"/>
      <c r="V423" s="126"/>
      <c r="W423" s="126"/>
      <c r="X423" s="126"/>
      <c r="Y423" s="126"/>
    </row>
    <row r="424" spans="1:25">
      <c r="A424" s="126"/>
      <c r="B424" s="126"/>
      <c r="C424" s="126"/>
      <c r="D424" s="126"/>
      <c r="E424" s="126"/>
      <c r="F424" s="126"/>
      <c r="G424" s="126"/>
      <c r="H424" s="126"/>
      <c r="I424" s="126"/>
      <c r="J424" s="126"/>
      <c r="K424" s="126"/>
      <c r="L424" s="126"/>
      <c r="M424" s="126"/>
      <c r="N424" s="126"/>
      <c r="O424" s="126"/>
      <c r="P424" s="126"/>
      <c r="Q424" s="126"/>
      <c r="R424" s="126"/>
      <c r="S424" s="126"/>
      <c r="T424" s="126"/>
      <c r="U424" s="126"/>
      <c r="V424" s="126"/>
      <c r="W424" s="126"/>
      <c r="X424" s="126"/>
      <c r="Y424" s="126"/>
    </row>
    <row r="425" spans="1:25">
      <c r="A425" s="126"/>
      <c r="B425" s="126"/>
      <c r="C425" s="126"/>
      <c r="D425" s="126"/>
      <c r="E425" s="126"/>
      <c r="F425" s="126"/>
      <c r="G425" s="126"/>
      <c r="H425" s="126"/>
      <c r="I425" s="126"/>
      <c r="J425" s="126"/>
      <c r="K425" s="126"/>
      <c r="L425" s="126"/>
      <c r="M425" s="126"/>
      <c r="N425" s="126"/>
      <c r="O425" s="126"/>
      <c r="P425" s="126"/>
      <c r="Q425" s="126"/>
      <c r="R425" s="126"/>
      <c r="S425" s="126"/>
      <c r="T425" s="126"/>
      <c r="U425" s="126"/>
      <c r="V425" s="126"/>
      <c r="W425" s="126"/>
      <c r="X425" s="126"/>
      <c r="Y425" s="126"/>
    </row>
    <row r="426" spans="1:25">
      <c r="A426" s="126"/>
      <c r="B426" s="126"/>
      <c r="C426" s="126"/>
      <c r="D426" s="126"/>
      <c r="E426" s="126"/>
      <c r="F426" s="126"/>
      <c r="G426" s="126"/>
      <c r="H426" s="126"/>
      <c r="I426" s="126"/>
      <c r="J426" s="126"/>
      <c r="K426" s="126"/>
      <c r="L426" s="126"/>
      <c r="M426" s="126"/>
      <c r="N426" s="126"/>
      <c r="O426" s="126"/>
      <c r="P426" s="126"/>
      <c r="Q426" s="126"/>
      <c r="R426" s="126"/>
      <c r="S426" s="126"/>
      <c r="T426" s="126"/>
      <c r="U426" s="126"/>
      <c r="V426" s="126"/>
      <c r="W426" s="126"/>
      <c r="X426" s="126"/>
      <c r="Y426" s="126"/>
    </row>
    <row r="427" spans="1:25">
      <c r="A427" s="126"/>
      <c r="B427" s="126"/>
      <c r="C427" s="126"/>
      <c r="D427" s="126"/>
      <c r="E427" s="126"/>
      <c r="F427" s="126"/>
      <c r="G427" s="126"/>
      <c r="H427" s="126"/>
      <c r="I427" s="126"/>
      <c r="J427" s="126"/>
      <c r="K427" s="126"/>
      <c r="L427" s="126"/>
      <c r="M427" s="126"/>
      <c r="N427" s="126"/>
      <c r="O427" s="126"/>
      <c r="P427" s="126"/>
      <c r="Q427" s="126"/>
      <c r="R427" s="126"/>
      <c r="S427" s="126"/>
      <c r="T427" s="126"/>
      <c r="U427" s="126"/>
      <c r="V427" s="126"/>
      <c r="W427" s="126"/>
      <c r="X427" s="126"/>
      <c r="Y427" s="126"/>
    </row>
    <row r="428" spans="1:25">
      <c r="A428" s="126"/>
      <c r="B428" s="126"/>
      <c r="C428" s="126"/>
      <c r="D428" s="126"/>
      <c r="E428" s="126"/>
      <c r="F428" s="126"/>
      <c r="G428" s="126"/>
      <c r="H428" s="126"/>
      <c r="I428" s="126"/>
      <c r="J428" s="126"/>
      <c r="K428" s="126"/>
      <c r="L428" s="126"/>
      <c r="M428" s="126"/>
      <c r="N428" s="126"/>
      <c r="O428" s="126"/>
      <c r="P428" s="126"/>
      <c r="Q428" s="126"/>
      <c r="R428" s="126"/>
      <c r="S428" s="126"/>
      <c r="T428" s="126"/>
      <c r="U428" s="126"/>
      <c r="V428" s="126"/>
      <c r="W428" s="126"/>
      <c r="X428" s="126"/>
      <c r="Y428" s="126"/>
    </row>
    <row r="429" spans="1:25">
      <c r="A429" s="126"/>
      <c r="B429" s="126"/>
      <c r="C429" s="126"/>
      <c r="D429" s="126"/>
      <c r="E429" s="126"/>
      <c r="F429" s="126"/>
      <c r="G429" s="126"/>
      <c r="H429" s="126"/>
      <c r="I429" s="126"/>
      <c r="J429" s="126"/>
      <c r="K429" s="126"/>
      <c r="L429" s="126"/>
      <c r="M429" s="126"/>
      <c r="N429" s="126"/>
      <c r="O429" s="126"/>
      <c r="P429" s="126"/>
      <c r="Q429" s="126"/>
      <c r="R429" s="126"/>
      <c r="S429" s="126"/>
      <c r="T429" s="126"/>
      <c r="U429" s="126"/>
      <c r="V429" s="126"/>
      <c r="W429" s="126"/>
      <c r="X429" s="126"/>
      <c r="Y429" s="126"/>
    </row>
    <row r="430" spans="1:25">
      <c r="A430" s="126"/>
      <c r="B430" s="126"/>
      <c r="C430" s="126"/>
      <c r="D430" s="126"/>
      <c r="E430" s="126"/>
      <c r="F430" s="126"/>
      <c r="G430" s="126"/>
      <c r="H430" s="126"/>
      <c r="I430" s="126"/>
      <c r="J430" s="126"/>
      <c r="K430" s="126"/>
      <c r="L430" s="126"/>
      <c r="M430" s="126"/>
      <c r="N430" s="126"/>
      <c r="O430" s="126"/>
      <c r="P430" s="126"/>
      <c r="Q430" s="126"/>
      <c r="R430" s="126"/>
      <c r="S430" s="126"/>
      <c r="T430" s="126"/>
      <c r="U430" s="126"/>
      <c r="V430" s="126"/>
      <c r="W430" s="126"/>
      <c r="X430" s="126"/>
      <c r="Y430" s="126"/>
    </row>
    <row r="431" spans="1:25">
      <c r="A431" s="126"/>
      <c r="B431" s="126"/>
      <c r="C431" s="126"/>
      <c r="D431" s="126"/>
      <c r="E431" s="126"/>
      <c r="F431" s="126"/>
      <c r="G431" s="126"/>
      <c r="H431" s="126"/>
      <c r="I431" s="126"/>
      <c r="J431" s="126"/>
      <c r="K431" s="126"/>
      <c r="L431" s="126"/>
      <c r="M431" s="126"/>
      <c r="N431" s="126"/>
      <c r="O431" s="126"/>
      <c r="P431" s="126"/>
      <c r="Q431" s="126"/>
      <c r="R431" s="126"/>
      <c r="S431" s="126"/>
      <c r="T431" s="126"/>
      <c r="U431" s="126"/>
      <c r="V431" s="126"/>
      <c r="W431" s="126"/>
      <c r="X431" s="126"/>
      <c r="Y431" s="126"/>
    </row>
    <row r="432" spans="1:25">
      <c r="A432" s="126"/>
      <c r="B432" s="126"/>
      <c r="C432" s="126"/>
      <c r="D432" s="126"/>
      <c r="E432" s="126"/>
      <c r="F432" s="126"/>
      <c r="G432" s="126"/>
      <c r="H432" s="126"/>
      <c r="I432" s="126"/>
      <c r="J432" s="126"/>
      <c r="K432" s="126"/>
      <c r="L432" s="126"/>
      <c r="M432" s="126"/>
      <c r="N432" s="126"/>
      <c r="O432" s="126"/>
      <c r="P432" s="126"/>
      <c r="Q432" s="126"/>
      <c r="R432" s="126"/>
      <c r="S432" s="126"/>
      <c r="T432" s="126"/>
      <c r="U432" s="126"/>
      <c r="V432" s="126"/>
      <c r="W432" s="126"/>
      <c r="X432" s="126"/>
      <c r="Y432" s="126"/>
    </row>
    <row r="433" spans="1:25">
      <c r="A433" s="126"/>
      <c r="B433" s="126"/>
      <c r="C433" s="126"/>
      <c r="D433" s="126"/>
      <c r="E433" s="126"/>
      <c r="F433" s="126"/>
      <c r="G433" s="126"/>
      <c r="H433" s="126"/>
      <c r="I433" s="126"/>
      <c r="J433" s="126"/>
      <c r="K433" s="126"/>
      <c r="L433" s="126"/>
      <c r="M433" s="126"/>
      <c r="N433" s="126"/>
      <c r="O433" s="126"/>
      <c r="P433" s="126"/>
      <c r="Q433" s="126"/>
      <c r="R433" s="126"/>
      <c r="S433" s="126"/>
      <c r="T433" s="126"/>
      <c r="U433" s="126"/>
      <c r="V433" s="126"/>
      <c r="W433" s="126"/>
      <c r="X433" s="126"/>
      <c r="Y433" s="126"/>
    </row>
    <row r="434" spans="1:25">
      <c r="A434" s="126"/>
      <c r="B434" s="126"/>
      <c r="C434" s="126"/>
      <c r="D434" s="126"/>
      <c r="E434" s="126"/>
      <c r="F434" s="126"/>
      <c r="G434" s="126"/>
      <c r="H434" s="126"/>
      <c r="I434" s="126"/>
      <c r="J434" s="126"/>
      <c r="K434" s="126"/>
      <c r="L434" s="126"/>
      <c r="M434" s="126"/>
      <c r="N434" s="126"/>
      <c r="O434" s="126"/>
      <c r="P434" s="126"/>
      <c r="Q434" s="126"/>
      <c r="R434" s="126"/>
      <c r="S434" s="126"/>
      <c r="T434" s="126"/>
      <c r="U434" s="126"/>
      <c r="V434" s="126"/>
      <c r="W434" s="126"/>
      <c r="X434" s="126"/>
      <c r="Y434" s="126"/>
    </row>
    <row r="435" spans="1:25">
      <c r="A435" s="126"/>
      <c r="B435" s="126"/>
      <c r="C435" s="126"/>
      <c r="D435" s="126"/>
      <c r="E435" s="126"/>
      <c r="F435" s="126"/>
      <c r="G435" s="126"/>
      <c r="H435" s="126"/>
      <c r="I435" s="126"/>
      <c r="J435" s="126"/>
      <c r="K435" s="126"/>
      <c r="L435" s="126"/>
      <c r="M435" s="126"/>
      <c r="N435" s="126"/>
      <c r="O435" s="126"/>
      <c r="P435" s="126"/>
      <c r="Q435" s="126"/>
      <c r="R435" s="126"/>
      <c r="S435" s="126"/>
      <c r="T435" s="126"/>
      <c r="U435" s="126"/>
      <c r="V435" s="126"/>
      <c r="W435" s="126"/>
      <c r="X435" s="126"/>
      <c r="Y435" s="126"/>
    </row>
    <row r="436" spans="1:25">
      <c r="A436" s="126"/>
      <c r="B436" s="126"/>
      <c r="C436" s="126"/>
      <c r="D436" s="126"/>
      <c r="E436" s="126"/>
      <c r="F436" s="126"/>
      <c r="G436" s="126"/>
      <c r="H436" s="126"/>
      <c r="I436" s="126"/>
      <c r="J436" s="126"/>
      <c r="K436" s="126"/>
      <c r="L436" s="126"/>
      <c r="M436" s="126"/>
      <c r="N436" s="126"/>
      <c r="O436" s="126"/>
      <c r="P436" s="126"/>
      <c r="Q436" s="126"/>
      <c r="R436" s="126"/>
      <c r="S436" s="126"/>
      <c r="T436" s="126"/>
      <c r="U436" s="126"/>
      <c r="V436" s="126"/>
      <c r="W436" s="126"/>
      <c r="X436" s="126"/>
      <c r="Y436" s="126"/>
    </row>
    <row r="437" spans="1:25">
      <c r="A437" s="126"/>
      <c r="B437" s="126"/>
      <c r="C437" s="126"/>
      <c r="D437" s="126"/>
      <c r="E437" s="126"/>
      <c r="F437" s="126"/>
      <c r="G437" s="126"/>
      <c r="H437" s="126"/>
      <c r="I437" s="126"/>
      <c r="J437" s="126"/>
      <c r="K437" s="126"/>
      <c r="L437" s="126"/>
      <c r="M437" s="126"/>
      <c r="N437" s="126"/>
      <c r="O437" s="126"/>
      <c r="P437" s="126"/>
      <c r="Q437" s="126"/>
      <c r="R437" s="126"/>
      <c r="S437" s="126"/>
      <c r="T437" s="126"/>
      <c r="U437" s="126"/>
      <c r="V437" s="126"/>
      <c r="W437" s="126"/>
      <c r="X437" s="126"/>
      <c r="Y437" s="126"/>
    </row>
    <row r="438" spans="1:25">
      <c r="A438" s="126"/>
      <c r="B438" s="126"/>
      <c r="C438" s="126"/>
      <c r="D438" s="126"/>
      <c r="E438" s="126"/>
      <c r="F438" s="126"/>
      <c r="G438" s="126"/>
      <c r="H438" s="126"/>
      <c r="I438" s="126"/>
      <c r="J438" s="126"/>
      <c r="K438" s="126"/>
      <c r="L438" s="126"/>
      <c r="M438" s="126"/>
      <c r="N438" s="126"/>
      <c r="O438" s="126"/>
      <c r="P438" s="126"/>
      <c r="Q438" s="126"/>
      <c r="R438" s="126"/>
      <c r="S438" s="126"/>
      <c r="T438" s="126"/>
      <c r="U438" s="126"/>
      <c r="V438" s="126"/>
      <c r="W438" s="126"/>
      <c r="X438" s="126"/>
      <c r="Y438" s="126"/>
    </row>
    <row r="439" spans="1:25">
      <c r="A439" s="126"/>
      <c r="B439" s="126"/>
      <c r="C439" s="126"/>
      <c r="D439" s="126"/>
      <c r="E439" s="126"/>
      <c r="F439" s="126"/>
      <c r="G439" s="126"/>
      <c r="H439" s="126"/>
      <c r="I439" s="126"/>
      <c r="J439" s="126"/>
      <c r="K439" s="126"/>
      <c r="L439" s="126"/>
      <c r="M439" s="126"/>
      <c r="N439" s="126"/>
      <c r="O439" s="126"/>
      <c r="P439" s="126"/>
      <c r="Q439" s="126"/>
      <c r="R439" s="126"/>
      <c r="S439" s="126"/>
      <c r="T439" s="126"/>
      <c r="U439" s="126"/>
      <c r="V439" s="126"/>
      <c r="W439" s="126"/>
      <c r="X439" s="126"/>
      <c r="Y439" s="126"/>
    </row>
    <row r="440" spans="1:25">
      <c r="A440" s="126"/>
      <c r="B440" s="126"/>
      <c r="C440" s="126"/>
      <c r="D440" s="126"/>
      <c r="E440" s="126"/>
      <c r="F440" s="126"/>
      <c r="G440" s="126"/>
      <c r="H440" s="126"/>
      <c r="I440" s="126"/>
      <c r="J440" s="126"/>
      <c r="K440" s="126"/>
      <c r="L440" s="126"/>
      <c r="M440" s="126"/>
      <c r="N440" s="126"/>
      <c r="O440" s="126"/>
      <c r="P440" s="126"/>
      <c r="Q440" s="126"/>
      <c r="R440" s="126"/>
      <c r="S440" s="126"/>
      <c r="T440" s="126"/>
      <c r="U440" s="126"/>
      <c r="V440" s="126"/>
      <c r="W440" s="126"/>
      <c r="X440" s="126"/>
      <c r="Y440" s="126"/>
    </row>
    <row r="441" spans="1:25">
      <c r="A441" s="126"/>
      <c r="B441" s="126"/>
      <c r="C441" s="126"/>
      <c r="D441" s="126"/>
      <c r="E441" s="126"/>
      <c r="F441" s="126"/>
      <c r="G441" s="126"/>
      <c r="H441" s="126"/>
      <c r="I441" s="126"/>
      <c r="J441" s="126"/>
      <c r="K441" s="126"/>
      <c r="L441" s="126"/>
      <c r="M441" s="126"/>
      <c r="N441" s="126"/>
      <c r="O441" s="126"/>
      <c r="P441" s="126"/>
      <c r="Q441" s="126"/>
      <c r="R441" s="126"/>
      <c r="S441" s="126"/>
      <c r="T441" s="126"/>
      <c r="U441" s="126"/>
      <c r="V441" s="126"/>
      <c r="W441" s="126"/>
      <c r="X441" s="126"/>
      <c r="Y441" s="126"/>
    </row>
    <row r="442" spans="1:25">
      <c r="A442" s="126"/>
      <c r="B442" s="126"/>
      <c r="C442" s="126"/>
      <c r="D442" s="126"/>
      <c r="E442" s="126"/>
      <c r="F442" s="126"/>
      <c r="G442" s="126"/>
      <c r="H442" s="126"/>
      <c r="I442" s="126"/>
      <c r="J442" s="126"/>
      <c r="K442" s="126"/>
      <c r="L442" s="126"/>
      <c r="M442" s="126"/>
      <c r="N442" s="126"/>
      <c r="O442" s="126"/>
      <c r="P442" s="126"/>
      <c r="Q442" s="126"/>
      <c r="R442" s="126"/>
      <c r="S442" s="126"/>
      <c r="T442" s="126"/>
      <c r="U442" s="126"/>
      <c r="V442" s="126"/>
      <c r="W442" s="126"/>
      <c r="X442" s="126"/>
      <c r="Y442" s="126"/>
    </row>
    <row r="443" spans="1:25">
      <c r="A443" s="126"/>
      <c r="B443" s="126"/>
      <c r="C443" s="126"/>
      <c r="D443" s="126"/>
      <c r="E443" s="126"/>
      <c r="F443" s="126"/>
      <c r="G443" s="126"/>
      <c r="H443" s="126"/>
      <c r="I443" s="126"/>
      <c r="J443" s="126"/>
      <c r="K443" s="126"/>
      <c r="L443" s="126"/>
      <c r="M443" s="126"/>
      <c r="N443" s="126"/>
      <c r="O443" s="126"/>
      <c r="P443" s="126"/>
      <c r="Q443" s="126"/>
      <c r="R443" s="126"/>
      <c r="S443" s="126"/>
      <c r="T443" s="126"/>
      <c r="U443" s="126"/>
      <c r="V443" s="126"/>
      <c r="W443" s="126"/>
      <c r="X443" s="126"/>
      <c r="Y443" s="126"/>
    </row>
    <row r="444" spans="1:25">
      <c r="A444" s="126"/>
      <c r="B444" s="126"/>
      <c r="C444" s="126"/>
      <c r="D444" s="126"/>
      <c r="E444" s="126"/>
      <c r="F444" s="126"/>
      <c r="G444" s="126"/>
      <c r="H444" s="126"/>
      <c r="I444" s="126"/>
      <c r="J444" s="126"/>
      <c r="K444" s="126"/>
      <c r="L444" s="126"/>
      <c r="M444" s="126"/>
      <c r="N444" s="126"/>
      <c r="O444" s="126"/>
      <c r="P444" s="126"/>
      <c r="Q444" s="126"/>
      <c r="R444" s="126"/>
      <c r="S444" s="126"/>
      <c r="T444" s="126"/>
      <c r="U444" s="126"/>
      <c r="V444" s="126"/>
      <c r="W444" s="126"/>
      <c r="X444" s="126"/>
      <c r="Y444" s="126"/>
    </row>
    <row r="445" spans="1:25">
      <c r="A445" s="126"/>
      <c r="B445" s="126"/>
      <c r="C445" s="126"/>
      <c r="D445" s="126"/>
      <c r="E445" s="126"/>
      <c r="F445" s="126"/>
      <c r="G445" s="126"/>
      <c r="H445" s="126"/>
      <c r="I445" s="126"/>
      <c r="J445" s="126"/>
      <c r="K445" s="126"/>
      <c r="L445" s="126"/>
      <c r="M445" s="126"/>
      <c r="N445" s="126"/>
      <c r="O445" s="126"/>
      <c r="P445" s="126"/>
      <c r="Q445" s="126"/>
      <c r="R445" s="126"/>
      <c r="S445" s="126"/>
      <c r="T445" s="126"/>
      <c r="U445" s="126"/>
      <c r="V445" s="126"/>
      <c r="W445" s="126"/>
      <c r="X445" s="126"/>
      <c r="Y445" s="126"/>
    </row>
    <row r="446" spans="1:25">
      <c r="A446" s="126"/>
      <c r="B446" s="126"/>
      <c r="C446" s="126"/>
      <c r="D446" s="126"/>
      <c r="E446" s="126"/>
      <c r="F446" s="126"/>
      <c r="G446" s="126"/>
      <c r="H446" s="126"/>
      <c r="I446" s="126"/>
      <c r="J446" s="126"/>
      <c r="K446" s="126"/>
      <c r="L446" s="126"/>
      <c r="M446" s="126"/>
      <c r="N446" s="126"/>
      <c r="O446" s="126"/>
      <c r="P446" s="126"/>
      <c r="Q446" s="126"/>
      <c r="R446" s="126"/>
      <c r="S446" s="126"/>
      <c r="T446" s="126"/>
      <c r="U446" s="126"/>
      <c r="V446" s="126"/>
      <c r="W446" s="126"/>
      <c r="X446" s="126"/>
      <c r="Y446" s="126"/>
    </row>
    <row r="447" spans="1:25">
      <c r="A447" s="126"/>
      <c r="B447" s="126"/>
      <c r="C447" s="126"/>
      <c r="D447" s="126"/>
      <c r="E447" s="126"/>
      <c r="F447" s="126"/>
      <c r="G447" s="126"/>
      <c r="H447" s="126"/>
      <c r="I447" s="126"/>
      <c r="J447" s="126"/>
      <c r="K447" s="126"/>
      <c r="L447" s="126"/>
      <c r="M447" s="126"/>
      <c r="N447" s="126"/>
      <c r="O447" s="126"/>
      <c r="P447" s="126"/>
      <c r="Q447" s="126"/>
      <c r="R447" s="126"/>
      <c r="S447" s="126"/>
      <c r="T447" s="126"/>
      <c r="U447" s="126"/>
      <c r="V447" s="126"/>
      <c r="W447" s="126"/>
      <c r="X447" s="126"/>
      <c r="Y447" s="126"/>
    </row>
    <row r="448" spans="1:25">
      <c r="A448" s="126"/>
      <c r="B448" s="126"/>
      <c r="C448" s="126"/>
      <c r="D448" s="126"/>
      <c r="E448" s="126"/>
      <c r="F448" s="126"/>
      <c r="G448" s="126"/>
      <c r="H448" s="126"/>
      <c r="I448" s="126"/>
      <c r="J448" s="126"/>
      <c r="K448" s="126"/>
      <c r="L448" s="126"/>
      <c r="M448" s="126"/>
      <c r="N448" s="126"/>
      <c r="O448" s="126"/>
      <c r="P448" s="126"/>
      <c r="Q448" s="126"/>
      <c r="R448" s="126"/>
      <c r="S448" s="126"/>
      <c r="T448" s="126"/>
      <c r="U448" s="126"/>
      <c r="V448" s="126"/>
      <c r="W448" s="126"/>
      <c r="X448" s="126"/>
      <c r="Y448" s="126"/>
    </row>
    <row r="449" spans="1:25">
      <c r="A449" s="126"/>
      <c r="B449" s="126"/>
      <c r="C449" s="126"/>
      <c r="D449" s="126"/>
      <c r="E449" s="126"/>
      <c r="F449" s="126"/>
      <c r="G449" s="126"/>
      <c r="H449" s="126"/>
      <c r="I449" s="126"/>
      <c r="J449" s="126"/>
      <c r="K449" s="126"/>
      <c r="L449" s="126"/>
      <c r="M449" s="126"/>
      <c r="N449" s="126"/>
      <c r="O449" s="126"/>
      <c r="P449" s="126"/>
      <c r="Q449" s="126"/>
      <c r="R449" s="126"/>
      <c r="S449" s="126"/>
      <c r="T449" s="126"/>
      <c r="U449" s="126"/>
      <c r="V449" s="126"/>
      <c r="W449" s="126"/>
      <c r="X449" s="126"/>
      <c r="Y449" s="126"/>
    </row>
    <row r="450" spans="1:25">
      <c r="A450" s="126"/>
      <c r="B450" s="126"/>
      <c r="C450" s="126"/>
      <c r="D450" s="126"/>
      <c r="E450" s="126"/>
      <c r="F450" s="126"/>
      <c r="G450" s="126"/>
      <c r="H450" s="126"/>
      <c r="I450" s="126"/>
      <c r="J450" s="126"/>
      <c r="K450" s="126"/>
      <c r="L450" s="126"/>
      <c r="M450" s="126"/>
      <c r="N450" s="126"/>
      <c r="O450" s="126"/>
      <c r="P450" s="126"/>
      <c r="Q450" s="126"/>
      <c r="R450" s="126"/>
      <c r="S450" s="126"/>
      <c r="T450" s="126"/>
      <c r="U450" s="126"/>
      <c r="V450" s="126"/>
      <c r="W450" s="126"/>
      <c r="X450" s="126"/>
      <c r="Y450" s="126"/>
    </row>
    <row r="451" spans="1:25">
      <c r="A451" s="126"/>
      <c r="B451" s="126"/>
      <c r="C451" s="126"/>
      <c r="D451" s="126"/>
      <c r="E451" s="126"/>
      <c r="F451" s="126"/>
      <c r="G451" s="126"/>
      <c r="H451" s="126"/>
      <c r="I451" s="126"/>
      <c r="J451" s="126"/>
      <c r="K451" s="126"/>
      <c r="L451" s="126"/>
      <c r="M451" s="126"/>
      <c r="N451" s="126"/>
      <c r="O451" s="126"/>
      <c r="P451" s="126"/>
      <c r="Q451" s="126"/>
      <c r="R451" s="126"/>
      <c r="S451" s="126"/>
      <c r="T451" s="126"/>
      <c r="U451" s="126"/>
      <c r="V451" s="126"/>
      <c r="W451" s="126"/>
      <c r="X451" s="126"/>
      <c r="Y451" s="126"/>
    </row>
    <row r="452" spans="1:25">
      <c r="A452" s="126"/>
      <c r="B452" s="126"/>
      <c r="C452" s="126"/>
      <c r="D452" s="126"/>
      <c r="E452" s="126"/>
      <c r="F452" s="126"/>
      <c r="G452" s="126"/>
      <c r="H452" s="126"/>
      <c r="I452" s="126"/>
      <c r="J452" s="126"/>
      <c r="K452" s="126"/>
      <c r="L452" s="126"/>
      <c r="M452" s="126"/>
      <c r="N452" s="126"/>
      <c r="O452" s="126"/>
      <c r="P452" s="126"/>
      <c r="Q452" s="126"/>
      <c r="R452" s="126"/>
      <c r="S452" s="126"/>
      <c r="T452" s="126"/>
      <c r="U452" s="126"/>
      <c r="V452" s="126"/>
      <c r="W452" s="126"/>
      <c r="X452" s="126"/>
      <c r="Y452" s="126"/>
    </row>
    <row r="453" spans="1:25">
      <c r="A453" s="126"/>
      <c r="B453" s="126"/>
      <c r="C453" s="126"/>
      <c r="D453" s="126"/>
      <c r="E453" s="126"/>
      <c r="F453" s="126"/>
      <c r="G453" s="126"/>
      <c r="H453" s="126"/>
      <c r="I453" s="126"/>
      <c r="J453" s="126"/>
      <c r="K453" s="126"/>
      <c r="L453" s="126"/>
      <c r="M453" s="126"/>
      <c r="N453" s="126"/>
      <c r="O453" s="126"/>
      <c r="P453" s="126"/>
      <c r="Q453" s="126"/>
      <c r="R453" s="126"/>
      <c r="S453" s="126"/>
      <c r="T453" s="126"/>
      <c r="U453" s="126"/>
      <c r="V453" s="126"/>
      <c r="W453" s="126"/>
      <c r="X453" s="126"/>
      <c r="Y453" s="126"/>
    </row>
    <row r="454" spans="1:25">
      <c r="A454" s="126"/>
      <c r="B454" s="126"/>
      <c r="C454" s="126"/>
      <c r="D454" s="126"/>
      <c r="E454" s="126"/>
      <c r="F454" s="126"/>
      <c r="G454" s="126"/>
      <c r="H454" s="126"/>
      <c r="I454" s="126"/>
      <c r="J454" s="126"/>
      <c r="K454" s="126"/>
      <c r="L454" s="126"/>
      <c r="M454" s="126"/>
      <c r="N454" s="126"/>
      <c r="O454" s="126"/>
      <c r="P454" s="126"/>
      <c r="Q454" s="126"/>
      <c r="R454" s="126"/>
      <c r="S454" s="126"/>
      <c r="T454" s="126"/>
      <c r="U454" s="126"/>
      <c r="V454" s="126"/>
      <c r="W454" s="126"/>
      <c r="X454" s="126"/>
      <c r="Y454" s="126"/>
    </row>
    <row r="455" spans="1:25">
      <c r="A455" s="126"/>
      <c r="B455" s="126"/>
      <c r="C455" s="126"/>
      <c r="D455" s="126"/>
      <c r="E455" s="126"/>
      <c r="F455" s="126"/>
      <c r="G455" s="126"/>
      <c r="H455" s="126"/>
      <c r="I455" s="126"/>
      <c r="J455" s="126"/>
      <c r="K455" s="126"/>
      <c r="L455" s="126"/>
      <c r="M455" s="126"/>
      <c r="N455" s="126"/>
      <c r="O455" s="126"/>
      <c r="P455" s="126"/>
      <c r="Q455" s="126"/>
      <c r="R455" s="126"/>
      <c r="S455" s="126"/>
      <c r="T455" s="126"/>
      <c r="U455" s="126"/>
      <c r="V455" s="126"/>
      <c r="W455" s="126"/>
      <c r="X455" s="126"/>
      <c r="Y455" s="126"/>
    </row>
    <row r="456" spans="1:25">
      <c r="A456" s="126"/>
      <c r="B456" s="126"/>
      <c r="C456" s="126"/>
      <c r="D456" s="126"/>
      <c r="E456" s="126"/>
      <c r="F456" s="126"/>
      <c r="G456" s="126"/>
      <c r="H456" s="126"/>
      <c r="I456" s="126"/>
      <c r="J456" s="126"/>
      <c r="K456" s="126"/>
      <c r="L456" s="126"/>
      <c r="M456" s="126"/>
      <c r="N456" s="126"/>
      <c r="O456" s="126"/>
      <c r="P456" s="126"/>
      <c r="Q456" s="126"/>
      <c r="R456" s="126"/>
      <c r="S456" s="126"/>
      <c r="T456" s="126"/>
      <c r="U456" s="126"/>
      <c r="V456" s="126"/>
      <c r="W456" s="126"/>
      <c r="X456" s="126"/>
      <c r="Y456" s="126"/>
    </row>
    <row r="457" spans="1:25">
      <c r="C457" s="126"/>
      <c r="E457" s="126"/>
      <c r="F457" s="126"/>
    </row>
    <row r="458" spans="1:25">
      <c r="C458" s="126"/>
      <c r="E458" s="126"/>
      <c r="F458" s="126"/>
    </row>
    <row r="459" spans="1:25"/>
    <row r="460" spans="1:25"/>
    <row r="461" spans="1:25"/>
    <row r="462" spans="1:25"/>
    <row r="463" spans="1:25"/>
    <row r="464" spans="1:25"/>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sheetData>
  <mergeCells count="2">
    <mergeCell ref="A4:A6"/>
    <mergeCell ref="V3:W3"/>
  </mergeCells>
  <phoneticPr fontId="14" type="noConversion"/>
  <pageMargins left="0.25" right="0.25" top="0.75" bottom="0.75" header="0.3" footer="0.3"/>
  <pageSetup paperSize="9" scale="40" orientation="portrait" r:id="rId1"/>
  <headerFooter alignWithMargins="0">
    <oddFooter>&amp;L&amp;C&amp;R</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3" tint="0.59999389629810485"/>
  </sheetPr>
  <dimension ref="A1:M368"/>
  <sheetViews>
    <sheetView workbookViewId="0">
      <pane xSplit="4" ySplit="1" topLeftCell="E329" activePane="bottomRight" state="frozen"/>
      <selection activeCell="N70" sqref="N70"/>
      <selection pane="topRight" activeCell="N70" sqref="N70"/>
      <selection pane="bottomLeft" activeCell="N70" sqref="N70"/>
      <selection pane="bottomRight" activeCell="A340" sqref="A340:XFD340"/>
    </sheetView>
  </sheetViews>
  <sheetFormatPr defaultColWidth="11.44140625" defaultRowHeight="13.2"/>
  <cols>
    <col min="1" max="1" width="7.6640625" style="5" customWidth="1"/>
    <col min="2" max="2" width="14.33203125" style="5" customWidth="1"/>
    <col min="3" max="4" width="24" bestFit="1" customWidth="1"/>
    <col min="5" max="5" width="19.33203125" bestFit="1" customWidth="1"/>
    <col min="6" max="6" width="9.5546875" customWidth="1"/>
    <col min="7" max="7" width="20.109375" customWidth="1"/>
    <col min="8" max="8" width="17.33203125" bestFit="1" customWidth="1"/>
    <col min="9" max="9" width="26.6640625" customWidth="1"/>
    <col min="10" max="10" width="16.44140625" customWidth="1"/>
    <col min="11" max="11" width="10.6640625" customWidth="1"/>
  </cols>
  <sheetData>
    <row r="1" spans="1:13" ht="46.8">
      <c r="A1" s="5" t="s">
        <v>403</v>
      </c>
      <c r="C1" s="6" t="s">
        <v>412</v>
      </c>
      <c r="D1" s="6" t="s">
        <v>411</v>
      </c>
      <c r="E1" s="7" t="s">
        <v>339</v>
      </c>
      <c r="F1" s="7" t="s">
        <v>397</v>
      </c>
      <c r="G1" s="7" t="s">
        <v>377</v>
      </c>
      <c r="H1" s="6" t="s">
        <v>378</v>
      </c>
      <c r="I1" s="6" t="s">
        <v>379</v>
      </c>
      <c r="J1" s="6" t="s">
        <v>301</v>
      </c>
      <c r="K1" s="6" t="s">
        <v>372</v>
      </c>
      <c r="M1">
        <f>SUBTOTAL(3,K:K)</f>
        <v>111</v>
      </c>
    </row>
    <row r="2" spans="1:13" ht="14.4">
      <c r="A2" s="5" t="str">
        <f>F2&amp;(COUNTIFS(F$2:F2,F2,K$2:K2,"Sparse"))</f>
        <v>SD0</v>
      </c>
      <c r="B2" s="5" t="str">
        <f>J2&amp;(COUNTIF(J$2:J2,J2))</f>
        <v>West Sussex1</v>
      </c>
      <c r="C2" s="8" t="s">
        <v>4</v>
      </c>
      <c r="D2" s="8" t="s">
        <v>4</v>
      </c>
      <c r="E2" s="9" t="s">
        <v>0</v>
      </c>
      <c r="F2" s="9" t="s">
        <v>380</v>
      </c>
      <c r="G2" s="9" t="s">
        <v>5</v>
      </c>
      <c r="H2" s="10" t="s">
        <v>888</v>
      </c>
      <c r="I2" s="11" t="s">
        <v>383</v>
      </c>
      <c r="J2" t="s">
        <v>331</v>
      </c>
      <c r="K2" s="21"/>
    </row>
    <row r="3" spans="1:13" ht="14.4">
      <c r="A3" s="5" t="str">
        <f>F3&amp;(COUNTIFS(F$2:F3,F3,K$2:K3,"Sparse"))</f>
        <v>SD1</v>
      </c>
      <c r="B3" s="5" t="str">
        <f>J3&amp;(COUNTIF(J$2:J3,J3))</f>
        <v>Cumbria1</v>
      </c>
      <c r="C3" s="8" t="s">
        <v>6</v>
      </c>
      <c r="D3" s="8" t="s">
        <v>6</v>
      </c>
      <c r="E3" s="9" t="s">
        <v>375</v>
      </c>
      <c r="F3" s="9" t="s">
        <v>380</v>
      </c>
      <c r="G3" s="9" t="s">
        <v>5</v>
      </c>
      <c r="H3" s="10" t="s">
        <v>889</v>
      </c>
      <c r="I3" s="11" t="s">
        <v>381</v>
      </c>
      <c r="J3" t="s">
        <v>306</v>
      </c>
      <c r="K3" s="21" t="s">
        <v>335</v>
      </c>
    </row>
    <row r="4" spans="1:13" ht="14.4">
      <c r="A4" s="5" t="str">
        <f>F4&amp;(COUNTIFS(F$2:F4,F4,K$2:K4,"Sparse"))</f>
        <v>SD1</v>
      </c>
      <c r="B4" s="5" t="str">
        <f>J4&amp;(COUNTIF(J$2:J4,J4))</f>
        <v>Derbyshire1</v>
      </c>
      <c r="C4" s="8" t="s">
        <v>7</v>
      </c>
      <c r="D4" s="8" t="s">
        <v>7</v>
      </c>
      <c r="E4" s="9" t="s">
        <v>366</v>
      </c>
      <c r="F4" s="9" t="s">
        <v>380</v>
      </c>
      <c r="G4" s="9" t="s">
        <v>5</v>
      </c>
      <c r="H4" s="12" t="s">
        <v>890</v>
      </c>
      <c r="I4" s="11" t="s">
        <v>383</v>
      </c>
      <c r="J4" t="s">
        <v>307</v>
      </c>
      <c r="K4" s="21"/>
    </row>
    <row r="5" spans="1:13" ht="14.4">
      <c r="A5" s="5" t="str">
        <f>F5&amp;(COUNTIFS(F$2:F5,F5,K$2:K5,"Sparse"))</f>
        <v>SD1</v>
      </c>
      <c r="B5" s="5" t="str">
        <f>J5&amp;(COUNTIF(J$2:J5,J5))</f>
        <v>West Sussex2</v>
      </c>
      <c r="C5" s="8" t="s">
        <v>8</v>
      </c>
      <c r="D5" s="8" t="s">
        <v>8</v>
      </c>
      <c r="E5" s="9" t="s">
        <v>0</v>
      </c>
      <c r="F5" s="9" t="s">
        <v>380</v>
      </c>
      <c r="G5" s="9" t="s">
        <v>5</v>
      </c>
      <c r="H5" s="10" t="s">
        <v>888</v>
      </c>
      <c r="I5" s="11" t="s">
        <v>383</v>
      </c>
      <c r="J5" t="s">
        <v>331</v>
      </c>
      <c r="K5" s="21"/>
    </row>
    <row r="6" spans="1:13" ht="14.4">
      <c r="A6" s="5" t="str">
        <f>F6&amp;(COUNTIFS(F$2:F6,F6,K$2:K6,"Sparse"))</f>
        <v>SD1</v>
      </c>
      <c r="B6" s="5" t="str">
        <f>J6&amp;(COUNTIF(J$2:J6,J6))</f>
        <v>Nottinghamshire1</v>
      </c>
      <c r="C6" s="8" t="s">
        <v>9</v>
      </c>
      <c r="D6" s="8" t="s">
        <v>9</v>
      </c>
      <c r="E6" s="9" t="s">
        <v>366</v>
      </c>
      <c r="F6" s="9" t="s">
        <v>380</v>
      </c>
      <c r="G6" s="9" t="s">
        <v>5</v>
      </c>
      <c r="H6" s="10" t="s">
        <v>888</v>
      </c>
      <c r="I6" s="11" t="s">
        <v>383</v>
      </c>
      <c r="J6" t="s">
        <v>323</v>
      </c>
      <c r="K6" s="21"/>
    </row>
    <row r="7" spans="1:13" ht="14.4">
      <c r="A7" s="5" t="str">
        <f>F7&amp;(COUNTIFS(F$2:F7,F7,K$2:K7,"Sparse"))</f>
        <v>SD2</v>
      </c>
      <c r="B7" s="5" t="str">
        <f>J7&amp;(COUNTIF(J$2:J7,J7))</f>
        <v>Kent1</v>
      </c>
      <c r="C7" s="8" t="s">
        <v>10</v>
      </c>
      <c r="D7" s="8" t="s">
        <v>10</v>
      </c>
      <c r="E7" s="9" t="s">
        <v>0</v>
      </c>
      <c r="F7" s="9" t="s">
        <v>380</v>
      </c>
      <c r="G7" s="9" t="s">
        <v>5</v>
      </c>
      <c r="H7" s="12" t="s">
        <v>891</v>
      </c>
      <c r="I7" s="11" t="s">
        <v>370</v>
      </c>
      <c r="J7" t="s">
        <v>315</v>
      </c>
      <c r="K7" s="21" t="s">
        <v>335</v>
      </c>
    </row>
    <row r="8" spans="1:13" ht="14.4">
      <c r="A8" s="5" t="str">
        <f>F8&amp;(COUNTIFS(F$2:F8,F8,K$2:K8,"Sparse"))</f>
        <v>SD2</v>
      </c>
      <c r="B8" s="5" t="str">
        <f>J8&amp;(COUNTIF(J$2:J8,J8))</f>
        <v>Buckinghamshire1</v>
      </c>
      <c r="C8" s="8" t="s">
        <v>11</v>
      </c>
      <c r="D8" s="8" t="s">
        <v>11</v>
      </c>
      <c r="E8" s="9" t="s">
        <v>0</v>
      </c>
      <c r="F8" s="9" t="s">
        <v>380</v>
      </c>
      <c r="G8" s="9" t="s">
        <v>5</v>
      </c>
      <c r="H8" s="10" t="s">
        <v>892</v>
      </c>
      <c r="I8" s="11" t="s">
        <v>381</v>
      </c>
      <c r="J8" t="s">
        <v>300</v>
      </c>
      <c r="K8" s="21"/>
    </row>
    <row r="9" spans="1:13" ht="14.4">
      <c r="A9" s="5" t="str">
        <f>F9&amp;(COUNTIFS(F$2:F9,F9,K$2:K9,"Sparse"))</f>
        <v>SD3</v>
      </c>
      <c r="B9" s="5" t="str">
        <f>J9&amp;(COUNTIF(J$2:J9,J9))</f>
        <v>Suffolk1</v>
      </c>
      <c r="C9" s="8" t="s">
        <v>12</v>
      </c>
      <c r="D9" s="8" t="s">
        <v>12</v>
      </c>
      <c r="E9" s="9" t="s">
        <v>368</v>
      </c>
      <c r="F9" s="9" t="s">
        <v>380</v>
      </c>
      <c r="G9" s="9" t="s">
        <v>5</v>
      </c>
      <c r="H9" s="10" t="s">
        <v>889</v>
      </c>
      <c r="I9" s="11" t="s">
        <v>381</v>
      </c>
      <c r="J9" t="s">
        <v>328</v>
      </c>
      <c r="K9" s="21" t="s">
        <v>335</v>
      </c>
    </row>
    <row r="10" spans="1:13" ht="14.4">
      <c r="A10" s="5" t="str">
        <f>F10&amp;(COUNTIFS(F$2:F10,F10,K$2:K10,"Sparse"))</f>
        <v>L0</v>
      </c>
      <c r="B10" s="5" t="str">
        <f>J10&amp;(COUNTIF(J$2:J10,J10))</f>
        <v>London1</v>
      </c>
      <c r="C10" s="8" t="s">
        <v>338</v>
      </c>
      <c r="D10" s="8" t="s">
        <v>338</v>
      </c>
      <c r="E10" s="9" t="s">
        <v>382</v>
      </c>
      <c r="F10" s="9" t="s">
        <v>358</v>
      </c>
      <c r="G10" s="9" t="s">
        <v>382</v>
      </c>
      <c r="H10" s="10" t="s">
        <v>893</v>
      </c>
      <c r="I10" s="11" t="s">
        <v>383</v>
      </c>
      <c r="J10" t="str">
        <f>G10</f>
        <v>London</v>
      </c>
      <c r="K10" s="21"/>
    </row>
    <row r="11" spans="1:13" ht="14.4">
      <c r="A11" s="5" t="str">
        <f>F11&amp;(COUNTIFS(F$2:F11,F11,K$2:K11,"Sparse"))</f>
        <v>L0</v>
      </c>
      <c r="B11" s="5" t="str">
        <f>J11&amp;(COUNTIF(J$2:J11,J11))</f>
        <v>London2</v>
      </c>
      <c r="C11" s="8" t="s">
        <v>196</v>
      </c>
      <c r="D11" s="8" t="s">
        <v>196</v>
      </c>
      <c r="E11" s="9" t="s">
        <v>382</v>
      </c>
      <c r="F11" s="9" t="s">
        <v>358</v>
      </c>
      <c r="G11" s="9" t="s">
        <v>382</v>
      </c>
      <c r="H11" s="10" t="s">
        <v>893</v>
      </c>
      <c r="I11" s="11" t="s">
        <v>383</v>
      </c>
      <c r="J11" t="str">
        <f>G11</f>
        <v>London</v>
      </c>
      <c r="K11" s="21"/>
    </row>
    <row r="12" spans="1:13" ht="14.4">
      <c r="A12" s="5" t="str">
        <f>F12&amp;(COUNTIFS(F$2:F12,F12,K$2:K12,"Sparse"))</f>
        <v>MD0</v>
      </c>
      <c r="B12" s="5" t="str">
        <f>J12&amp;(COUNTIF(J$2:J12,J12))</f>
        <v>Barnsley1</v>
      </c>
      <c r="C12" s="8" t="s">
        <v>222</v>
      </c>
      <c r="D12" s="8" t="s">
        <v>222</v>
      </c>
      <c r="E12" s="9" t="s">
        <v>384</v>
      </c>
      <c r="F12" s="9" t="s">
        <v>385</v>
      </c>
      <c r="G12" s="9" t="s">
        <v>396</v>
      </c>
      <c r="H12" s="10" t="s">
        <v>890</v>
      </c>
      <c r="I12" s="11" t="s">
        <v>383</v>
      </c>
      <c r="J12" t="str">
        <f>C12</f>
        <v>Barnsley</v>
      </c>
      <c r="K12" s="21"/>
    </row>
    <row r="13" spans="1:13" ht="14.4">
      <c r="A13" s="5" t="str">
        <f>F13&amp;(COUNTIFS(F$2:F13,F13,K$2:K13,"Sparse"))</f>
        <v>SD3</v>
      </c>
      <c r="B13" s="5" t="str">
        <f>J13&amp;(COUNTIF(J$2:J13,J13))</f>
        <v>Cumbria2</v>
      </c>
      <c r="C13" s="8" t="s">
        <v>13</v>
      </c>
      <c r="D13" s="8" t="s">
        <v>13</v>
      </c>
      <c r="E13" s="9" t="s">
        <v>375</v>
      </c>
      <c r="F13" s="9" t="s">
        <v>380</v>
      </c>
      <c r="G13" s="9" t="s">
        <v>5</v>
      </c>
      <c r="H13" s="10" t="s">
        <v>891</v>
      </c>
      <c r="I13" s="11" t="s">
        <v>370</v>
      </c>
      <c r="J13" t="s">
        <v>306</v>
      </c>
      <c r="K13" s="21"/>
    </row>
    <row r="14" spans="1:13" ht="14.4">
      <c r="A14" s="5" t="str">
        <f>F14&amp;(COUNTIFS(F$2:F14,F14,K$2:K14,"Sparse"))</f>
        <v>SD3</v>
      </c>
      <c r="B14" s="5" t="str">
        <f>J14&amp;(COUNTIF(J$2:J14,J14))</f>
        <v>Essex1</v>
      </c>
      <c r="C14" s="8" t="s">
        <v>14</v>
      </c>
      <c r="D14" s="8" t="s">
        <v>14</v>
      </c>
      <c r="E14" s="9" t="s">
        <v>368</v>
      </c>
      <c r="F14" s="9" t="s">
        <v>380</v>
      </c>
      <c r="G14" s="9" t="s">
        <v>5</v>
      </c>
      <c r="H14" s="10" t="s">
        <v>888</v>
      </c>
      <c r="I14" s="11" t="s">
        <v>383</v>
      </c>
      <c r="J14" t="s">
        <v>311</v>
      </c>
      <c r="K14" s="21"/>
    </row>
    <row r="15" spans="1:13" ht="14.4">
      <c r="A15" s="5" t="str">
        <f>F15&amp;(COUNTIFS(F$2:F15,F15,K$2:K15,"Sparse"))</f>
        <v>SD3</v>
      </c>
      <c r="B15" s="5" t="str">
        <f>J15&amp;(COUNTIF(J$2:J15,J15))</f>
        <v>Hampshire1</v>
      </c>
      <c r="C15" s="8" t="s">
        <v>342</v>
      </c>
      <c r="D15" s="8" t="s">
        <v>342</v>
      </c>
      <c r="E15" s="9" t="s">
        <v>0</v>
      </c>
      <c r="F15" s="9" t="s">
        <v>380</v>
      </c>
      <c r="G15" s="9" t="s">
        <v>5</v>
      </c>
      <c r="H15" s="12" t="s">
        <v>891</v>
      </c>
      <c r="I15" s="11" t="s">
        <v>370</v>
      </c>
      <c r="J15" t="s">
        <v>313</v>
      </c>
      <c r="K15" s="21"/>
    </row>
    <row r="16" spans="1:13" ht="14.4">
      <c r="A16" s="5" t="str">
        <f>F16&amp;(COUNTIFS(F$2:F16,F16,K$2:K16,"Sparse"))</f>
        <v>SD3</v>
      </c>
      <c r="B16" s="5" t="str">
        <f>J16&amp;(COUNTIF(J$2:J16,J16))</f>
        <v>Nottinghamshire2</v>
      </c>
      <c r="C16" s="8" t="s">
        <v>15</v>
      </c>
      <c r="D16" s="8" t="s">
        <v>15</v>
      </c>
      <c r="E16" s="9" t="s">
        <v>366</v>
      </c>
      <c r="F16" s="9" t="s">
        <v>380</v>
      </c>
      <c r="G16" s="9" t="s">
        <v>5</v>
      </c>
      <c r="H16" s="10" t="s">
        <v>892</v>
      </c>
      <c r="I16" s="11" t="s">
        <v>381</v>
      </c>
      <c r="J16" t="s">
        <v>323</v>
      </c>
      <c r="K16" s="21"/>
    </row>
    <row r="17" spans="1:11" ht="14.4">
      <c r="A17" s="5" t="str">
        <f>F17&amp;(COUNTIFS(F$2:F17,F17,K$2:K17,"Sparse"))</f>
        <v>UA0</v>
      </c>
      <c r="B17" s="5" t="str">
        <f>J17&amp;(COUNTIF(J$2:J17,J17))</f>
        <v>Unitary1</v>
      </c>
      <c r="C17" s="8" t="s">
        <v>258</v>
      </c>
      <c r="D17" s="8" t="s">
        <v>258</v>
      </c>
      <c r="E17" s="9" t="s">
        <v>1</v>
      </c>
      <c r="F17" s="9" t="s">
        <v>386</v>
      </c>
      <c r="G17" s="9" t="s">
        <v>395</v>
      </c>
      <c r="H17" s="12" t="s">
        <v>891</v>
      </c>
      <c r="I17" s="11" t="s">
        <v>370</v>
      </c>
      <c r="J17" s="22" t="s">
        <v>395</v>
      </c>
      <c r="K17" s="14"/>
    </row>
    <row r="18" spans="1:11" ht="14.4">
      <c r="A18" s="5" t="str">
        <f>F18&amp;(COUNTIFS(F$2:F18,F18,K$2:K18,"Sparse"))</f>
        <v>UA0</v>
      </c>
      <c r="B18" s="5" t="str">
        <f>J18&amp;(COUNTIF(J$2:J18,J18))</f>
        <v>Unitary2</v>
      </c>
      <c r="C18" s="8" t="s">
        <v>259</v>
      </c>
      <c r="D18" s="8" t="s">
        <v>259</v>
      </c>
      <c r="E18" s="9" t="s">
        <v>368</v>
      </c>
      <c r="F18" s="9" t="s">
        <v>386</v>
      </c>
      <c r="G18" s="9" t="s">
        <v>395</v>
      </c>
      <c r="H18" s="12" t="s">
        <v>891</v>
      </c>
      <c r="I18" s="11" t="s">
        <v>370</v>
      </c>
      <c r="J18" s="22" t="s">
        <v>395</v>
      </c>
      <c r="K18" s="21"/>
    </row>
    <row r="19" spans="1:11" ht="14.4">
      <c r="A19" s="5" t="str">
        <f>F19&amp;(COUNTIFS(F$2:F19,F19,K$2:K19,"Sparse"))</f>
        <v>L0</v>
      </c>
      <c r="B19" s="5" t="str">
        <f>J19&amp;(COUNTIF(J$2:J19,J19))</f>
        <v>London3</v>
      </c>
      <c r="C19" s="8" t="s">
        <v>197</v>
      </c>
      <c r="D19" s="8" t="s">
        <v>197</v>
      </c>
      <c r="E19" s="9" t="s">
        <v>382</v>
      </c>
      <c r="F19" s="9" t="s">
        <v>358</v>
      </c>
      <c r="G19" s="9" t="s">
        <v>382</v>
      </c>
      <c r="H19" s="10" t="s">
        <v>893</v>
      </c>
      <c r="I19" s="11" t="s">
        <v>383</v>
      </c>
      <c r="J19" t="str">
        <f>G19</f>
        <v>London</v>
      </c>
      <c r="K19" s="21"/>
    </row>
    <row r="20" spans="1:11" ht="14.4">
      <c r="A20" s="5" t="str">
        <f>F20&amp;(COUNTIFS(F$2:F20,F20,K$2:K20,"Sparse"))</f>
        <v>MD0</v>
      </c>
      <c r="B20" s="5" t="str">
        <f>J20&amp;(COUNTIF(J$2:J20,J20))</f>
        <v>Birmingham1</v>
      </c>
      <c r="C20" s="8" t="s">
        <v>223</v>
      </c>
      <c r="D20" s="8" t="s">
        <v>223</v>
      </c>
      <c r="E20" s="9" t="s">
        <v>367</v>
      </c>
      <c r="F20" s="9" t="s">
        <v>385</v>
      </c>
      <c r="G20" s="9" t="s">
        <v>396</v>
      </c>
      <c r="H20" s="10" t="s">
        <v>893</v>
      </c>
      <c r="I20" s="11" t="s">
        <v>383</v>
      </c>
      <c r="J20" t="str">
        <f>C20</f>
        <v>Birmingham</v>
      </c>
      <c r="K20" s="21"/>
    </row>
    <row r="21" spans="1:11" ht="14.4">
      <c r="A21" s="5" t="str">
        <f>F21&amp;(COUNTIFS(F$2:F21,F21,K$2:K21,"Sparse"))</f>
        <v>SD3</v>
      </c>
      <c r="B21" s="5" t="str">
        <f>J21&amp;(COUNTIF(J$2:J21,J21))</f>
        <v>Leicestershire1</v>
      </c>
      <c r="C21" s="8" t="s">
        <v>16</v>
      </c>
      <c r="D21" s="8" t="s">
        <v>16</v>
      </c>
      <c r="E21" s="9" t="s">
        <v>366</v>
      </c>
      <c r="F21" s="9" t="s">
        <v>380</v>
      </c>
      <c r="G21" s="9" t="s">
        <v>5</v>
      </c>
      <c r="H21" s="10" t="s">
        <v>888</v>
      </c>
      <c r="I21" s="11" t="s">
        <v>383</v>
      </c>
      <c r="J21" t="s">
        <v>317</v>
      </c>
      <c r="K21" s="21"/>
    </row>
    <row r="22" spans="1:11" ht="14.4">
      <c r="A22" s="5" t="str">
        <f>F22&amp;(COUNTIFS(F$2:F22,F22,K$2:K22,"Sparse"))</f>
        <v>UA0</v>
      </c>
      <c r="B22" s="5" t="str">
        <f>J22&amp;(COUNTIF(J$2:J22,J22))</f>
        <v>Unitary3</v>
      </c>
      <c r="C22" s="8" t="s">
        <v>260</v>
      </c>
      <c r="D22" s="8" t="s">
        <v>260</v>
      </c>
      <c r="E22" s="9" t="s">
        <v>375</v>
      </c>
      <c r="F22" s="9" t="s">
        <v>386</v>
      </c>
      <c r="G22" s="9" t="s">
        <v>395</v>
      </c>
      <c r="H22" s="10" t="s">
        <v>888</v>
      </c>
      <c r="I22" s="11" t="s">
        <v>383</v>
      </c>
      <c r="J22" s="22" t="s">
        <v>395</v>
      </c>
      <c r="K22" s="21"/>
    </row>
    <row r="23" spans="1:11" ht="14.4">
      <c r="A23" s="5" t="str">
        <f>F23&amp;(COUNTIFS(F$2:F23,F23,K$2:K23,"Sparse"))</f>
        <v>UA0</v>
      </c>
      <c r="B23" s="5" t="str">
        <f>J23&amp;(COUNTIF(J$2:J23,J23))</f>
        <v>Unitary4</v>
      </c>
      <c r="C23" s="8" t="s">
        <v>261</v>
      </c>
      <c r="D23" s="8" t="s">
        <v>261</v>
      </c>
      <c r="E23" s="9" t="s">
        <v>375</v>
      </c>
      <c r="F23" s="9" t="s">
        <v>386</v>
      </c>
      <c r="G23" s="9" t="s">
        <v>395</v>
      </c>
      <c r="H23" s="10" t="s">
        <v>888</v>
      </c>
      <c r="I23" s="11" t="s">
        <v>383</v>
      </c>
      <c r="J23" s="22" t="s">
        <v>395</v>
      </c>
      <c r="K23" s="21"/>
    </row>
    <row r="24" spans="1:11" ht="14.4">
      <c r="A24" s="5" t="str">
        <f>F24&amp;(COUNTIFS(F$2:F24,F24,K$2:K24,"Sparse"))</f>
        <v>SD3</v>
      </c>
      <c r="B24" s="5" t="str">
        <f>J24&amp;(COUNTIF(J$2:J24,J24))</f>
        <v>Derbyshire2</v>
      </c>
      <c r="C24" s="8" t="s">
        <v>17</v>
      </c>
      <c r="D24" s="8" t="s">
        <v>17</v>
      </c>
      <c r="E24" s="9" t="s">
        <v>366</v>
      </c>
      <c r="F24" s="9" t="s">
        <v>380</v>
      </c>
      <c r="G24" s="9" t="s">
        <v>5</v>
      </c>
      <c r="H24" s="267" t="s">
        <v>891</v>
      </c>
      <c r="I24" s="11" t="s">
        <v>370</v>
      </c>
      <c r="J24" t="s">
        <v>307</v>
      </c>
      <c r="K24" s="21"/>
    </row>
    <row r="25" spans="1:11" ht="14.4">
      <c r="A25" s="5" t="str">
        <f>F25&amp;(COUNTIFS(F$2:F25,F25,K$2:K25,"Sparse"))</f>
        <v>MD0</v>
      </c>
      <c r="B25" s="5" t="str">
        <f>J25&amp;(COUNTIF(J$2:J25,J25))</f>
        <v>Bolton1</v>
      </c>
      <c r="C25" s="8" t="s">
        <v>224</v>
      </c>
      <c r="D25" s="8" t="s">
        <v>224</v>
      </c>
      <c r="E25" s="9" t="s">
        <v>375</v>
      </c>
      <c r="F25" s="9" t="s">
        <v>385</v>
      </c>
      <c r="G25" s="9" t="s">
        <v>396</v>
      </c>
      <c r="H25" s="10" t="s">
        <v>893</v>
      </c>
      <c r="I25" s="11" t="s">
        <v>383</v>
      </c>
      <c r="J25" t="str">
        <f>C25</f>
        <v>Bolton</v>
      </c>
      <c r="K25" s="21"/>
    </row>
    <row r="26" spans="1:11" ht="14.4">
      <c r="A26" s="5" t="str">
        <f>F26&amp;(COUNTIFS(F$2:F26,F26,K$2:K26,"Sparse"))</f>
        <v>SD4</v>
      </c>
      <c r="B26" s="5" t="str">
        <f>J26&amp;(COUNTIF(J$2:J26,J26))</f>
        <v>Lincolnshire1</v>
      </c>
      <c r="C26" s="8" t="s">
        <v>18</v>
      </c>
      <c r="D26" s="8" t="s">
        <v>18</v>
      </c>
      <c r="E26" s="9" t="s">
        <v>366</v>
      </c>
      <c r="F26" s="9" t="s">
        <v>380</v>
      </c>
      <c r="G26" s="9" t="s">
        <v>5</v>
      </c>
      <c r="H26" s="12" t="s">
        <v>891</v>
      </c>
      <c r="I26" s="11" t="s">
        <v>370</v>
      </c>
      <c r="J26" t="s">
        <v>318</v>
      </c>
      <c r="K26" s="21" t="s">
        <v>335</v>
      </c>
    </row>
    <row r="27" spans="1:11" ht="14.4">
      <c r="A27" s="5" t="str">
        <f>F27&amp;(COUNTIFS(F$2:F27,F27,K$2:K27,"Sparse"))</f>
        <v>UA0</v>
      </c>
      <c r="B27" s="5" t="str">
        <f>J27&amp;(COUNTIF(J$2:J27,J27))</f>
        <v>Unitary5</v>
      </c>
      <c r="C27" s="8" t="s">
        <v>262</v>
      </c>
      <c r="D27" s="8" t="s">
        <v>262</v>
      </c>
      <c r="E27" s="9" t="s">
        <v>1</v>
      </c>
      <c r="F27" s="9" t="s">
        <v>386</v>
      </c>
      <c r="G27" s="9" t="s">
        <v>395</v>
      </c>
      <c r="H27" s="10" t="s">
        <v>888</v>
      </c>
      <c r="I27" s="11" t="s">
        <v>383</v>
      </c>
      <c r="J27" s="22" t="s">
        <v>395</v>
      </c>
      <c r="K27" s="21"/>
    </row>
    <row r="28" spans="1:11" ht="14.4">
      <c r="A28" s="5" t="str">
        <f>F28&amp;(COUNTIFS(F$2:F28,F28,K$2:K28,"Sparse"))</f>
        <v>UA0</v>
      </c>
      <c r="B28" s="5" t="str">
        <f>J28&amp;(COUNTIF(J$2:J28,J28))</f>
        <v>Unitary6</v>
      </c>
      <c r="C28" t="s">
        <v>906</v>
      </c>
      <c r="D28" t="s">
        <v>906</v>
      </c>
      <c r="E28" s="285" t="s">
        <v>1</v>
      </c>
      <c r="F28" s="285" t="s">
        <v>386</v>
      </c>
      <c r="G28" s="285" t="s">
        <v>395</v>
      </c>
      <c r="H28" s="286" t="s">
        <v>383</v>
      </c>
      <c r="I28" s="287" t="s">
        <v>383</v>
      </c>
      <c r="J28" s="288" t="s">
        <v>395</v>
      </c>
    </row>
    <row r="29" spans="1:11" ht="14.4">
      <c r="A29" s="5" t="str">
        <f>F29&amp;(COUNTIFS(F$2:F29,F29,K$2:K29,"Sparse"))</f>
        <v>UA0</v>
      </c>
      <c r="B29" s="5" t="str">
        <f>J29&amp;(COUNTIF(J$2:J29,J29))</f>
        <v>Unitary7</v>
      </c>
      <c r="C29" s="8" t="s">
        <v>263</v>
      </c>
      <c r="D29" s="8" t="s">
        <v>263</v>
      </c>
      <c r="E29" s="9" t="s">
        <v>0</v>
      </c>
      <c r="F29" s="9" t="s">
        <v>386</v>
      </c>
      <c r="G29" s="9" t="s">
        <v>395</v>
      </c>
      <c r="H29" s="10" t="s">
        <v>888</v>
      </c>
      <c r="I29" s="11" t="s">
        <v>383</v>
      </c>
      <c r="J29" s="22" t="s">
        <v>395</v>
      </c>
      <c r="K29" s="21"/>
    </row>
    <row r="30" spans="1:11" ht="14.4">
      <c r="A30" s="5" t="str">
        <f>F30&amp;(COUNTIFS(F$2:F30,F30,K$2:K30,"Sparse"))</f>
        <v>MD0</v>
      </c>
      <c r="B30" s="5" t="str">
        <f>J30&amp;(COUNTIF(J$2:J30,J30))</f>
        <v>Bradford1</v>
      </c>
      <c r="C30" s="8" t="s">
        <v>225</v>
      </c>
      <c r="D30" s="8" t="s">
        <v>225</v>
      </c>
      <c r="E30" s="9" t="s">
        <v>384</v>
      </c>
      <c r="F30" s="9" t="s">
        <v>385</v>
      </c>
      <c r="G30" s="9" t="s">
        <v>396</v>
      </c>
      <c r="H30" s="10" t="s">
        <v>893</v>
      </c>
      <c r="I30" s="11" t="s">
        <v>383</v>
      </c>
      <c r="J30" t="str">
        <f>C30</f>
        <v>Bradford</v>
      </c>
      <c r="K30" s="21"/>
    </row>
    <row r="31" spans="1:11" ht="14.4">
      <c r="A31" s="5" t="str">
        <f>F31&amp;(COUNTIFS(F$2:F31,F31,K$2:K31,"Sparse"))</f>
        <v>SD5</v>
      </c>
      <c r="B31" s="5" t="str">
        <f>J31&amp;(COUNTIF(J$2:J31,J31))</f>
        <v>Essex2</v>
      </c>
      <c r="C31" s="8" t="s">
        <v>19</v>
      </c>
      <c r="D31" s="8" t="s">
        <v>19</v>
      </c>
      <c r="E31" s="9" t="s">
        <v>368</v>
      </c>
      <c r="F31" s="9" t="s">
        <v>380</v>
      </c>
      <c r="G31" s="9" t="s">
        <v>5</v>
      </c>
      <c r="H31" s="13" t="s">
        <v>892</v>
      </c>
      <c r="I31" s="11" t="s">
        <v>381</v>
      </c>
      <c r="J31" t="s">
        <v>311</v>
      </c>
      <c r="K31" s="21" t="s">
        <v>335</v>
      </c>
    </row>
    <row r="32" spans="1:11" ht="14.4">
      <c r="A32" s="5" t="str">
        <f>F32&amp;(COUNTIFS(F$2:F32,F32,K$2:K32,"Sparse"))</f>
        <v>SD6</v>
      </c>
      <c r="B32" s="5" t="str">
        <f>J32&amp;(COUNTIF(J$2:J32,J32))</f>
        <v>Norfolk1</v>
      </c>
      <c r="C32" s="8" t="s">
        <v>20</v>
      </c>
      <c r="D32" s="8" t="s">
        <v>20</v>
      </c>
      <c r="E32" s="9" t="s">
        <v>368</v>
      </c>
      <c r="F32" s="9" t="s">
        <v>380</v>
      </c>
      <c r="G32" s="9" t="s">
        <v>5</v>
      </c>
      <c r="H32" s="13" t="s">
        <v>889</v>
      </c>
      <c r="I32" s="11" t="s">
        <v>381</v>
      </c>
      <c r="J32" t="s">
        <v>319</v>
      </c>
      <c r="K32" s="21" t="s">
        <v>335</v>
      </c>
    </row>
    <row r="33" spans="1:11" ht="14.4">
      <c r="A33" s="5" t="str">
        <f>F33&amp;(COUNTIFS(F$2:F33,F33,K$2:K33,"Sparse"))</f>
        <v>L0</v>
      </c>
      <c r="B33" s="5" t="str">
        <f>J33&amp;(COUNTIF(J$2:J33,J33))</f>
        <v>London4</v>
      </c>
      <c r="C33" s="8" t="s">
        <v>198</v>
      </c>
      <c r="D33" s="8" t="s">
        <v>198</v>
      </c>
      <c r="E33" s="9" t="s">
        <v>382</v>
      </c>
      <c r="F33" s="9" t="s">
        <v>358</v>
      </c>
      <c r="G33" s="9" t="s">
        <v>382</v>
      </c>
      <c r="H33" s="10" t="s">
        <v>893</v>
      </c>
      <c r="I33" s="11" t="s">
        <v>383</v>
      </c>
      <c r="J33" t="str">
        <f>G33</f>
        <v>London</v>
      </c>
      <c r="K33" s="21"/>
    </row>
    <row r="34" spans="1:11" ht="14.4">
      <c r="A34" s="5" t="str">
        <f>F34&amp;(COUNTIFS(F$2:F34,F34,K$2:K34,"Sparse"))</f>
        <v>SD6</v>
      </c>
      <c r="B34" s="5" t="str">
        <f>J34&amp;(COUNTIF(J$2:J34,J34))</f>
        <v>Essex3</v>
      </c>
      <c r="C34" s="8" t="s">
        <v>21</v>
      </c>
      <c r="D34" s="8" t="s">
        <v>21</v>
      </c>
      <c r="E34" s="9" t="s">
        <v>368</v>
      </c>
      <c r="F34" s="9" t="s">
        <v>380</v>
      </c>
      <c r="G34" s="9" t="s">
        <v>5</v>
      </c>
      <c r="H34" s="12" t="s">
        <v>891</v>
      </c>
      <c r="I34" s="11" t="s">
        <v>370</v>
      </c>
      <c r="J34" t="s">
        <v>311</v>
      </c>
      <c r="K34" s="21"/>
    </row>
    <row r="35" spans="1:11" ht="14.4">
      <c r="A35" s="5" t="str">
        <f>F35&amp;(COUNTIFS(F$2:F35,F35,K$2:K35,"Sparse"))</f>
        <v>UA0</v>
      </c>
      <c r="B35" s="5" t="str">
        <f>J35&amp;(COUNTIF(J$2:J35,J35))</f>
        <v>Unitary8</v>
      </c>
      <c r="C35" s="8" t="s">
        <v>811</v>
      </c>
      <c r="D35" s="8" t="s">
        <v>811</v>
      </c>
      <c r="E35" s="9" t="s">
        <v>0</v>
      </c>
      <c r="F35" s="9" t="s">
        <v>386</v>
      </c>
      <c r="G35" s="9" t="s">
        <v>395</v>
      </c>
      <c r="H35" s="10" t="s">
        <v>888</v>
      </c>
      <c r="I35" s="11" t="s">
        <v>383</v>
      </c>
      <c r="J35" s="22" t="s">
        <v>395</v>
      </c>
      <c r="K35" s="21"/>
    </row>
    <row r="36" spans="1:11" ht="14.4">
      <c r="A36" s="5" t="str">
        <f>F36&amp;(COUNTIFS(F$2:F36,F36,K$2:K36,"Sparse"))</f>
        <v>UA0</v>
      </c>
      <c r="B36" s="5" t="str">
        <f>J36&amp;(COUNTIF(J$2:J36,J36))</f>
        <v>Unitary9</v>
      </c>
      <c r="C36" s="8" t="s">
        <v>815</v>
      </c>
      <c r="D36" s="8" t="s">
        <v>387</v>
      </c>
      <c r="E36" s="9" t="s">
        <v>1</v>
      </c>
      <c r="F36" s="9" t="s">
        <v>386</v>
      </c>
      <c r="G36" s="9" t="s">
        <v>395</v>
      </c>
      <c r="H36" s="10" t="s">
        <v>888</v>
      </c>
      <c r="I36" s="11" t="s">
        <v>383</v>
      </c>
      <c r="J36" s="22" t="s">
        <v>395</v>
      </c>
      <c r="K36" s="21"/>
    </row>
    <row r="37" spans="1:11" ht="14.4">
      <c r="A37" s="5" t="str">
        <f>F37&amp;(COUNTIFS(F$2:F37,F37,K$2:K37,"Sparse"))</f>
        <v>SD6</v>
      </c>
      <c r="B37" s="5" t="str">
        <f>J37&amp;(COUNTIF(J$2:J37,J37))</f>
        <v>Norfolk2</v>
      </c>
      <c r="C37" s="8" t="s">
        <v>22</v>
      </c>
      <c r="D37" s="8" t="s">
        <v>22</v>
      </c>
      <c r="E37" s="9" t="s">
        <v>368</v>
      </c>
      <c r="F37" s="9" t="s">
        <v>380</v>
      </c>
      <c r="G37" s="9" t="s">
        <v>5</v>
      </c>
      <c r="H37" s="12" t="s">
        <v>891</v>
      </c>
      <c r="I37" s="11" t="s">
        <v>370</v>
      </c>
      <c r="J37" t="s">
        <v>319</v>
      </c>
      <c r="K37" s="21"/>
    </row>
    <row r="38" spans="1:11" ht="14.4">
      <c r="A38" s="5" t="str">
        <f>F38&amp;(COUNTIFS(F$2:F38,F38,K$2:K38,"Sparse"))</f>
        <v>L0</v>
      </c>
      <c r="B38" s="5" t="str">
        <f>J38&amp;(COUNTIF(J$2:J38,J38))</f>
        <v>London5</v>
      </c>
      <c r="C38" s="8" t="s">
        <v>199</v>
      </c>
      <c r="D38" s="8" t="s">
        <v>199</v>
      </c>
      <c r="E38" s="9" t="s">
        <v>382</v>
      </c>
      <c r="F38" s="9" t="s">
        <v>358</v>
      </c>
      <c r="G38" s="9" t="s">
        <v>382</v>
      </c>
      <c r="H38" s="10" t="s">
        <v>893</v>
      </c>
      <c r="I38" s="11" t="s">
        <v>383</v>
      </c>
      <c r="J38" t="str">
        <f>G38</f>
        <v>London</v>
      </c>
      <c r="K38" s="21"/>
    </row>
    <row r="39" spans="1:11" ht="14.4">
      <c r="A39" s="5" t="str">
        <f>F39&amp;(COUNTIFS(F$2:F39,F39,K$2:K39,"Sparse"))</f>
        <v>SD6</v>
      </c>
      <c r="B39" s="5" t="str">
        <f>J39&amp;(COUNTIF(J$2:J39,J39))</f>
        <v>Worcestershire1</v>
      </c>
      <c r="C39" s="8" t="s">
        <v>23</v>
      </c>
      <c r="D39" s="8" t="s">
        <v>23</v>
      </c>
      <c r="E39" s="9" t="s">
        <v>367</v>
      </c>
      <c r="F39" s="9" t="s">
        <v>380</v>
      </c>
      <c r="G39" s="9" t="s">
        <v>5</v>
      </c>
      <c r="H39" s="12" t="s">
        <v>888</v>
      </c>
      <c r="I39" s="11" t="s">
        <v>383</v>
      </c>
      <c r="J39" t="s">
        <v>332</v>
      </c>
      <c r="K39" s="21"/>
    </row>
    <row r="40" spans="1:11" ht="14.4">
      <c r="A40" s="5" t="str">
        <f>F40&amp;(COUNTIFS(F$2:F40,F40,K$2:K40,"Sparse"))</f>
        <v>SD6</v>
      </c>
      <c r="B40" s="5" t="str">
        <f>J40&amp;(COUNTIF(J$2:J40,J40))</f>
        <v>Hertfordshire1</v>
      </c>
      <c r="C40" s="8" t="s">
        <v>24</v>
      </c>
      <c r="D40" s="8" t="s">
        <v>24</v>
      </c>
      <c r="E40" s="9" t="s">
        <v>368</v>
      </c>
      <c r="F40" s="9" t="s">
        <v>380</v>
      </c>
      <c r="G40" s="9" t="s">
        <v>5</v>
      </c>
      <c r="H40" s="10" t="s">
        <v>893</v>
      </c>
      <c r="I40" s="11" t="s">
        <v>383</v>
      </c>
      <c r="J40" t="s">
        <v>314</v>
      </c>
      <c r="K40" s="21"/>
    </row>
    <row r="41" spans="1:11" ht="14.4">
      <c r="A41" s="5" t="str">
        <f>F41&amp;(COUNTIFS(F$2:F41,F41,K$2:K41,"Sparse"))</f>
        <v>SD6</v>
      </c>
      <c r="B41" s="5" t="str">
        <f>J41&amp;(COUNTIF(J$2:J41,J41))</f>
        <v>Nottinghamshire3</v>
      </c>
      <c r="C41" s="8" t="s">
        <v>25</v>
      </c>
      <c r="D41" s="8" t="s">
        <v>25</v>
      </c>
      <c r="E41" s="9" t="s">
        <v>366</v>
      </c>
      <c r="F41" s="9" t="s">
        <v>380</v>
      </c>
      <c r="G41" s="9" t="s">
        <v>5</v>
      </c>
      <c r="H41" s="10" t="s">
        <v>890</v>
      </c>
      <c r="I41" s="11" t="s">
        <v>383</v>
      </c>
      <c r="J41" t="s">
        <v>323</v>
      </c>
      <c r="K41" s="21"/>
    </row>
    <row r="42" spans="1:11" ht="14.4">
      <c r="A42" s="5" t="str">
        <f>F42&amp;(COUNTIFS(F$2:F42,F42,K$2:K42,"Sparse"))</f>
        <v>SC0</v>
      </c>
      <c r="B42" s="5" t="str">
        <f>J42&amp;(COUNTIF(J$2:J42,J42))</f>
        <v>Buckinghamshire2</v>
      </c>
      <c r="C42" s="8" t="s">
        <v>300</v>
      </c>
      <c r="D42" s="8" t="s">
        <v>300</v>
      </c>
      <c r="E42" s="9" t="s">
        <v>0</v>
      </c>
      <c r="F42" s="9" t="s">
        <v>388</v>
      </c>
      <c r="G42" s="9" t="s">
        <v>301</v>
      </c>
      <c r="H42" s="11" t="s">
        <v>370</v>
      </c>
      <c r="I42" s="11" t="s">
        <v>370</v>
      </c>
      <c r="J42" t="str">
        <f>C42</f>
        <v>Buckinghamshire</v>
      </c>
      <c r="K42" s="21"/>
    </row>
    <row r="43" spans="1:11" ht="14.4">
      <c r="A43" s="5" t="str">
        <f>F43&amp;(COUNTIFS(F$2:F43,F43,K$2:K43,"Sparse"))</f>
        <v>SD6</v>
      </c>
      <c r="B43" s="5" t="str">
        <f>J43&amp;(COUNTIF(J$2:J43,J43))</f>
        <v>Lancashire1</v>
      </c>
      <c r="C43" s="8" t="s">
        <v>26</v>
      </c>
      <c r="D43" s="8" t="s">
        <v>26</v>
      </c>
      <c r="E43" s="9" t="s">
        <v>375</v>
      </c>
      <c r="F43" s="9" t="s">
        <v>380</v>
      </c>
      <c r="G43" s="9" t="s">
        <v>5</v>
      </c>
      <c r="H43" s="10" t="s">
        <v>888</v>
      </c>
      <c r="I43" s="11" t="s">
        <v>383</v>
      </c>
      <c r="J43" t="s">
        <v>316</v>
      </c>
      <c r="K43" s="21"/>
    </row>
    <row r="44" spans="1:11" ht="14.4">
      <c r="A44" s="5" t="str">
        <f>F44&amp;(COUNTIFS(F$2:F44,F44,K$2:K44,"Sparse"))</f>
        <v>MD0</v>
      </c>
      <c r="B44" s="5" t="str">
        <f>J44&amp;(COUNTIF(J$2:J44,J44))</f>
        <v>Bury1</v>
      </c>
      <c r="C44" s="8" t="s">
        <v>226</v>
      </c>
      <c r="D44" s="8" t="s">
        <v>226</v>
      </c>
      <c r="E44" s="9" t="s">
        <v>375</v>
      </c>
      <c r="F44" s="9" t="s">
        <v>385</v>
      </c>
      <c r="G44" s="9" t="s">
        <v>396</v>
      </c>
      <c r="H44" s="10" t="s">
        <v>893</v>
      </c>
      <c r="I44" s="11" t="s">
        <v>383</v>
      </c>
      <c r="J44" t="str">
        <f>C44</f>
        <v>Bury</v>
      </c>
      <c r="K44" s="21"/>
    </row>
    <row r="45" spans="1:11" ht="14.4">
      <c r="A45" s="5" t="str">
        <f>F45&amp;(COUNTIFS(F$2:F45,F45,K$2:K45,"Sparse"))</f>
        <v>MD0</v>
      </c>
      <c r="B45" s="5" t="str">
        <f>J45&amp;(COUNTIF(J$2:J45,J45))</f>
        <v>Calderdale1</v>
      </c>
      <c r="C45" s="8" t="s">
        <v>227</v>
      </c>
      <c r="D45" s="8" t="s">
        <v>227</v>
      </c>
      <c r="E45" s="9" t="s">
        <v>384</v>
      </c>
      <c r="F45" s="9" t="s">
        <v>385</v>
      </c>
      <c r="G45" s="9" t="s">
        <v>396</v>
      </c>
      <c r="H45" s="12" t="s">
        <v>893</v>
      </c>
      <c r="I45" s="11" t="s">
        <v>383</v>
      </c>
      <c r="J45" t="str">
        <f>C45</f>
        <v>Calderdale</v>
      </c>
      <c r="K45" s="21"/>
    </row>
    <row r="46" spans="1:11" ht="14.4">
      <c r="A46" s="5" t="str">
        <f>F46&amp;(COUNTIFS(F$2:F46,F46,K$2:K46,"Sparse"))</f>
        <v>SD6</v>
      </c>
      <c r="B46" s="5" t="str">
        <f>J46&amp;(COUNTIF(J$2:J46,J46))</f>
        <v>Cambridgeshire1</v>
      </c>
      <c r="C46" s="8" t="s">
        <v>27</v>
      </c>
      <c r="D46" s="8" t="s">
        <v>27</v>
      </c>
      <c r="E46" s="9" t="s">
        <v>368</v>
      </c>
      <c r="F46" s="9" t="s">
        <v>380</v>
      </c>
      <c r="G46" s="9" t="s">
        <v>5</v>
      </c>
      <c r="H46" s="10" t="s">
        <v>888</v>
      </c>
      <c r="I46" s="11" t="s">
        <v>383</v>
      </c>
      <c r="J46" t="s">
        <v>302</v>
      </c>
      <c r="K46" s="21"/>
    </row>
    <row r="47" spans="1:11" ht="14.4">
      <c r="A47" s="5" t="str">
        <f>F47&amp;(COUNTIFS(F$2:F47,F47,K$2:K47,"Sparse"))</f>
        <v>SC0</v>
      </c>
      <c r="B47" s="5" t="str">
        <f>J47&amp;(COUNTIF(J$2:J47,J47))</f>
        <v>Cambridgeshire2</v>
      </c>
      <c r="C47" s="8" t="s">
        <v>302</v>
      </c>
      <c r="D47" s="8" t="s">
        <v>302</v>
      </c>
      <c r="E47" s="9" t="s">
        <v>368</v>
      </c>
      <c r="F47" s="9" t="s">
        <v>388</v>
      </c>
      <c r="G47" s="9" t="s">
        <v>301</v>
      </c>
      <c r="H47" s="11" t="s">
        <v>381</v>
      </c>
      <c r="I47" s="11" t="s">
        <v>381</v>
      </c>
      <c r="J47" t="str">
        <f>C47</f>
        <v>Cambridgeshire</v>
      </c>
      <c r="K47" s="21"/>
    </row>
    <row r="48" spans="1:11" ht="14.4">
      <c r="A48" s="5" t="str">
        <f>F48&amp;(COUNTIFS(F$2:F48,F48,K$2:K48,"Sparse"))</f>
        <v>L0</v>
      </c>
      <c r="B48" s="5" t="str">
        <f>J48&amp;(COUNTIF(J$2:J48,J48))</f>
        <v>London6</v>
      </c>
      <c r="C48" s="8" t="s">
        <v>200</v>
      </c>
      <c r="D48" s="8" t="s">
        <v>200</v>
      </c>
      <c r="E48" s="9" t="s">
        <v>382</v>
      </c>
      <c r="F48" s="9" t="s">
        <v>358</v>
      </c>
      <c r="G48" s="9" t="s">
        <v>382</v>
      </c>
      <c r="H48" s="10" t="s">
        <v>893</v>
      </c>
      <c r="I48" s="11" t="s">
        <v>383</v>
      </c>
      <c r="J48" t="str">
        <f>G48</f>
        <v>London</v>
      </c>
      <c r="K48" s="21"/>
    </row>
    <row r="49" spans="1:11" ht="14.4">
      <c r="A49" s="5" t="str">
        <f>F49&amp;(COUNTIFS(F$2:F49,F49,K$2:K49,"Sparse"))</f>
        <v>SD6</v>
      </c>
      <c r="B49" s="5" t="str">
        <f>J49&amp;(COUNTIF(J$2:J49,J49))</f>
        <v>Staffordshire1</v>
      </c>
      <c r="C49" s="8" t="s">
        <v>28</v>
      </c>
      <c r="D49" s="8" t="s">
        <v>28</v>
      </c>
      <c r="E49" s="9" t="s">
        <v>367</v>
      </c>
      <c r="F49" s="9" t="s">
        <v>380</v>
      </c>
      <c r="G49" s="9" t="s">
        <v>5</v>
      </c>
      <c r="H49" s="12" t="s">
        <v>891</v>
      </c>
      <c r="I49" s="11" t="s">
        <v>370</v>
      </c>
      <c r="J49" t="s">
        <v>327</v>
      </c>
      <c r="K49" s="21"/>
    </row>
    <row r="50" spans="1:11" ht="14.4">
      <c r="A50" s="5" t="str">
        <f>F50&amp;(COUNTIFS(F$2:F50,F50,K$2:K50,"Sparse"))</f>
        <v>SD6</v>
      </c>
      <c r="B50" s="5" t="str">
        <f>J50&amp;(COUNTIF(J$2:J50,J50))</f>
        <v>Kent2</v>
      </c>
      <c r="C50" s="8" t="s">
        <v>29</v>
      </c>
      <c r="D50" s="8" t="s">
        <v>29</v>
      </c>
      <c r="E50" s="9" t="s">
        <v>0</v>
      </c>
      <c r="F50" s="9" t="s">
        <v>380</v>
      </c>
      <c r="G50" s="9" t="s">
        <v>5</v>
      </c>
      <c r="H50" s="10" t="s">
        <v>888</v>
      </c>
      <c r="I50" s="11" t="s">
        <v>383</v>
      </c>
      <c r="J50" t="s">
        <v>315</v>
      </c>
      <c r="K50" s="21"/>
    </row>
    <row r="51" spans="1:11" ht="14.4">
      <c r="A51" s="5" t="str">
        <f>F51&amp;(COUNTIFS(F$2:F51,F51,K$2:K51,"Sparse"))</f>
        <v>SD6</v>
      </c>
      <c r="B51" s="5" t="str">
        <f>J51&amp;(COUNTIF(J$2:J51,J51))</f>
        <v>Cumbria3</v>
      </c>
      <c r="C51" s="8" t="s">
        <v>30</v>
      </c>
      <c r="D51" s="8" t="s">
        <v>30</v>
      </c>
      <c r="E51" s="9" t="s">
        <v>375</v>
      </c>
      <c r="F51" s="9" t="s">
        <v>380</v>
      </c>
      <c r="G51" s="9" t="s">
        <v>5</v>
      </c>
      <c r="H51" s="12" t="s">
        <v>891</v>
      </c>
      <c r="I51" s="11" t="s">
        <v>370</v>
      </c>
      <c r="J51" t="s">
        <v>306</v>
      </c>
      <c r="K51" s="21"/>
    </row>
    <row r="52" spans="1:11" ht="14.4">
      <c r="A52" s="5" t="str">
        <f>F52&amp;(COUNTIFS(F$2:F52,F52,K$2:K52,"Sparse"))</f>
        <v>SD6</v>
      </c>
      <c r="B52" s="5" t="str">
        <f>J52&amp;(COUNTIF(J$2:J52,J52))</f>
        <v>Essex4</v>
      </c>
      <c r="C52" s="8" t="s">
        <v>31</v>
      </c>
      <c r="D52" s="8" t="s">
        <v>31</v>
      </c>
      <c r="E52" s="9" t="s">
        <v>368</v>
      </c>
      <c r="F52" s="9" t="s">
        <v>380</v>
      </c>
      <c r="G52" s="9" t="s">
        <v>5</v>
      </c>
      <c r="H52" s="10" t="s">
        <v>888</v>
      </c>
      <c r="I52" s="11" t="s">
        <v>383</v>
      </c>
      <c r="J52" t="s">
        <v>311</v>
      </c>
      <c r="K52" s="21"/>
    </row>
    <row r="53" spans="1:11" ht="14.4">
      <c r="A53" s="5" t="str">
        <f>F53&amp;(COUNTIFS(F$2:F53,F53,K$2:K53,"Sparse"))</f>
        <v>UA0</v>
      </c>
      <c r="B53" s="5" t="str">
        <f>J53&amp;(COUNTIF(J$2:J53,J53))</f>
        <v>Unitary10</v>
      </c>
      <c r="C53" s="8" t="s">
        <v>303</v>
      </c>
      <c r="D53" s="8" t="s">
        <v>303</v>
      </c>
      <c r="E53" s="9" t="s">
        <v>368</v>
      </c>
      <c r="F53" s="9" t="s">
        <v>386</v>
      </c>
      <c r="G53" s="9" t="s">
        <v>395</v>
      </c>
      <c r="H53" s="12" t="s">
        <v>892</v>
      </c>
      <c r="I53" s="11" t="s">
        <v>381</v>
      </c>
      <c r="J53" s="22" t="s">
        <v>395</v>
      </c>
      <c r="K53" s="21"/>
    </row>
    <row r="54" spans="1:11" ht="14.4">
      <c r="A54" s="5" t="str">
        <f>F54&amp;(COUNTIFS(F$2:F54,F54,K$2:K54,"Sparse"))</f>
        <v>SD6</v>
      </c>
      <c r="B54" s="5" t="str">
        <f>J54&amp;(COUNTIF(J$2:J54,J54))</f>
        <v>Leicestershire2</v>
      </c>
      <c r="C54" s="8" t="s">
        <v>32</v>
      </c>
      <c r="D54" s="8" t="s">
        <v>32</v>
      </c>
      <c r="E54" s="9" t="s">
        <v>366</v>
      </c>
      <c r="F54" s="9" t="s">
        <v>380</v>
      </c>
      <c r="G54" s="9" t="s">
        <v>5</v>
      </c>
      <c r="H54" s="10" t="s">
        <v>888</v>
      </c>
      <c r="I54" s="11" t="s">
        <v>383</v>
      </c>
      <c r="J54" t="s">
        <v>317</v>
      </c>
      <c r="K54" s="21"/>
    </row>
    <row r="55" spans="1:11" ht="14.4">
      <c r="A55" s="5" t="str">
        <f>F55&amp;(COUNTIFS(F$2:F55,F55,K$2:K55,"Sparse"))</f>
        <v>SD6</v>
      </c>
      <c r="B55" s="5" t="str">
        <f>J55&amp;(COUNTIF(J$2:J55,J55))</f>
        <v>Essex5</v>
      </c>
      <c r="C55" s="8" t="s">
        <v>33</v>
      </c>
      <c r="D55" s="8" t="s">
        <v>33</v>
      </c>
      <c r="E55" s="9" t="s">
        <v>368</v>
      </c>
      <c r="F55" s="9" t="s">
        <v>380</v>
      </c>
      <c r="G55" s="9" t="s">
        <v>5</v>
      </c>
      <c r="H55" s="10" t="s">
        <v>888</v>
      </c>
      <c r="I55" s="11" t="s">
        <v>383</v>
      </c>
      <c r="J55" t="s">
        <v>311</v>
      </c>
      <c r="K55" s="21"/>
    </row>
    <row r="56" spans="1:11" ht="14.4">
      <c r="A56" s="5" t="str">
        <f>F56&amp;(COUNTIFS(F$2:F56,F56,K$2:K56,"Sparse"))</f>
        <v>SD6</v>
      </c>
      <c r="B56" s="5" t="str">
        <f>J56&amp;(COUNTIF(J$2:J56,J56))</f>
        <v>Gloucestershire1</v>
      </c>
      <c r="C56" s="8" t="s">
        <v>34</v>
      </c>
      <c r="D56" s="8" t="s">
        <v>34</v>
      </c>
      <c r="E56" s="9" t="s">
        <v>1</v>
      </c>
      <c r="F56" s="9" t="s">
        <v>380</v>
      </c>
      <c r="G56" s="9" t="s">
        <v>5</v>
      </c>
      <c r="H56" s="10" t="s">
        <v>888</v>
      </c>
      <c r="I56" s="11" t="s">
        <v>383</v>
      </c>
      <c r="J56" t="s">
        <v>312</v>
      </c>
      <c r="K56" s="21"/>
    </row>
    <row r="57" spans="1:11" ht="14.4">
      <c r="A57" s="5" t="str">
        <f>F57&amp;(COUNTIFS(F$2:F57,F57,K$2:K57,"Sparse"))</f>
        <v>SD7</v>
      </c>
      <c r="B57" s="5" t="str">
        <f>J57&amp;(COUNTIF(J$2:J57,J57))</f>
        <v>Oxfordshire1</v>
      </c>
      <c r="C57" s="8" t="s">
        <v>35</v>
      </c>
      <c r="D57" s="8" t="s">
        <v>35</v>
      </c>
      <c r="E57" s="9" t="s">
        <v>0</v>
      </c>
      <c r="F57" s="9" t="s">
        <v>380</v>
      </c>
      <c r="G57" s="9" t="s">
        <v>5</v>
      </c>
      <c r="H57" s="12" t="s">
        <v>891</v>
      </c>
      <c r="I57" s="11" t="s">
        <v>370</v>
      </c>
      <c r="J57" t="s">
        <v>324</v>
      </c>
      <c r="K57" s="21" t="s">
        <v>335</v>
      </c>
    </row>
    <row r="58" spans="1:11" ht="14.4">
      <c r="A58" s="5" t="str">
        <f>F58&amp;(COUNTIFS(F$2:F58,F58,K$2:K58,"Sparse"))</f>
        <v>UA1</v>
      </c>
      <c r="B58" s="5" t="str">
        <f>J58&amp;(COUNTIF(J$2:J58,J58))</f>
        <v>Unitary11</v>
      </c>
      <c r="C58" s="8" t="s">
        <v>304</v>
      </c>
      <c r="D58" s="8" t="s">
        <v>304</v>
      </c>
      <c r="E58" s="9" t="s">
        <v>375</v>
      </c>
      <c r="F58" s="9" t="s">
        <v>386</v>
      </c>
      <c r="G58" s="9" t="s">
        <v>395</v>
      </c>
      <c r="H58" s="12" t="s">
        <v>891</v>
      </c>
      <c r="I58" s="11" t="s">
        <v>370</v>
      </c>
      <c r="J58" s="22" t="s">
        <v>395</v>
      </c>
      <c r="K58" s="21" t="s">
        <v>335</v>
      </c>
    </row>
    <row r="59" spans="1:11" ht="14.4">
      <c r="A59" s="5" t="str">
        <f>F59&amp;(COUNTIFS(F$2:F59,F59,K$2:K59,"Sparse"))</f>
        <v>UA1</v>
      </c>
      <c r="B59" s="5" t="str">
        <f>J59&amp;(COUNTIF(J$2:J59,J59))</f>
        <v>Unitary12</v>
      </c>
      <c r="C59" s="8" t="s">
        <v>812</v>
      </c>
      <c r="D59" s="8" t="s">
        <v>812</v>
      </c>
      <c r="E59" s="9" t="s">
        <v>375</v>
      </c>
      <c r="F59" s="9" t="s">
        <v>386</v>
      </c>
      <c r="G59" s="9" t="s">
        <v>395</v>
      </c>
      <c r="H59" s="12" t="s">
        <v>891</v>
      </c>
      <c r="I59" s="11" t="s">
        <v>370</v>
      </c>
      <c r="J59" s="22" t="s">
        <v>395</v>
      </c>
      <c r="K59" s="21"/>
    </row>
    <row r="60" spans="1:11" ht="14.4">
      <c r="A60" s="5" t="str">
        <f>F60&amp;(COUNTIFS(F$2:F60,F60,K$2:K60,"Sparse"))</f>
        <v>SD7</v>
      </c>
      <c r="B60" s="5" t="str">
        <f>J60&amp;(COUNTIF(J$2:J60,J60))</f>
        <v>Derbyshire3</v>
      </c>
      <c r="C60" s="8" t="s">
        <v>36</v>
      </c>
      <c r="D60" s="8" t="s">
        <v>36</v>
      </c>
      <c r="E60" s="9" t="s">
        <v>366</v>
      </c>
      <c r="F60" s="9" t="s">
        <v>380</v>
      </c>
      <c r="G60" s="9" t="s">
        <v>5</v>
      </c>
      <c r="H60" s="10" t="s">
        <v>888</v>
      </c>
      <c r="I60" s="11" t="s">
        <v>383</v>
      </c>
      <c r="J60" t="s">
        <v>307</v>
      </c>
      <c r="K60" s="21"/>
    </row>
    <row r="61" spans="1:11" ht="14.4">
      <c r="A61" s="5" t="str">
        <f>F61&amp;(COUNTIFS(F$2:F61,F61,K$2:K61,"Sparse"))</f>
        <v>SD8</v>
      </c>
      <c r="B61" s="5" t="str">
        <f>J61&amp;(COUNTIF(J$2:J61,J61))</f>
        <v>West Sussex3</v>
      </c>
      <c r="C61" s="8" t="s">
        <v>37</v>
      </c>
      <c r="D61" s="8" t="s">
        <v>37</v>
      </c>
      <c r="E61" s="9" t="s">
        <v>0</v>
      </c>
      <c r="F61" s="9" t="s">
        <v>380</v>
      </c>
      <c r="G61" s="9" t="s">
        <v>5</v>
      </c>
      <c r="H61" s="10" t="s">
        <v>892</v>
      </c>
      <c r="I61" s="11" t="s">
        <v>381</v>
      </c>
      <c r="J61" t="s">
        <v>331</v>
      </c>
      <c r="K61" s="21" t="s">
        <v>335</v>
      </c>
    </row>
    <row r="62" spans="1:11" ht="14.4">
      <c r="A62" s="5" t="str">
        <f>F62&amp;(COUNTIFS(F$2:F62,F62,K$2:K62,"Sparse"))</f>
        <v>SD8</v>
      </c>
      <c r="B62" s="5" t="str">
        <f>J62&amp;(COUNTIF(J$2:J62,J62))</f>
        <v>Buckinghamshire3</v>
      </c>
      <c r="C62" s="8" t="s">
        <v>38</v>
      </c>
      <c r="D62" s="8" t="s">
        <v>38</v>
      </c>
      <c r="E62" s="9" t="s">
        <v>0</v>
      </c>
      <c r="F62" s="9" t="s">
        <v>380</v>
      </c>
      <c r="G62" s="9" t="s">
        <v>5</v>
      </c>
      <c r="H62" s="12" t="s">
        <v>891</v>
      </c>
      <c r="I62" s="11" t="s">
        <v>370</v>
      </c>
      <c r="J62" t="s">
        <v>300</v>
      </c>
      <c r="K62" s="21"/>
    </row>
    <row r="63" spans="1:11" ht="14.4">
      <c r="A63" s="5" t="str">
        <f>F63&amp;(COUNTIFS(F$2:F63,F63,K$2:K63,"Sparse"))</f>
        <v>SD8</v>
      </c>
      <c r="B63" s="5" t="str">
        <f>J63&amp;(COUNTIF(J$2:J63,J63))</f>
        <v>Lancashire2</v>
      </c>
      <c r="C63" s="8" t="s">
        <v>39</v>
      </c>
      <c r="D63" s="8" t="s">
        <v>39</v>
      </c>
      <c r="E63" s="9" t="s">
        <v>375</v>
      </c>
      <c r="F63" s="9" t="s">
        <v>380</v>
      </c>
      <c r="G63" s="9" t="s">
        <v>5</v>
      </c>
      <c r="H63" s="12" t="s">
        <v>891</v>
      </c>
      <c r="I63" s="11" t="s">
        <v>370</v>
      </c>
      <c r="J63" t="s">
        <v>316</v>
      </c>
      <c r="K63" s="21"/>
    </row>
    <row r="64" spans="1:11" ht="14.4">
      <c r="A64" s="5" t="str">
        <f>F64&amp;(COUNTIFS(F$2:F64,F64,K$2:K64,"Sparse"))</f>
        <v>SD8</v>
      </c>
      <c r="B64" s="5" t="str">
        <f>J64&amp;(COUNTIF(J$2:J64,J64))</f>
        <v>Dorset1</v>
      </c>
      <c r="C64" s="8" t="s">
        <v>40</v>
      </c>
      <c r="D64" s="8" t="s">
        <v>40</v>
      </c>
      <c r="E64" s="9" t="s">
        <v>1</v>
      </c>
      <c r="F64" s="9" t="s">
        <v>380</v>
      </c>
      <c r="G64" s="9" t="s">
        <v>5</v>
      </c>
      <c r="H64" s="10" t="s">
        <v>888</v>
      </c>
      <c r="I64" s="11" t="s">
        <v>383</v>
      </c>
      <c r="J64" t="s">
        <v>309</v>
      </c>
      <c r="K64" s="21"/>
    </row>
    <row r="65" spans="1:11" ht="14.4">
      <c r="A65" s="5" t="str">
        <f>F65&amp;(COUNTIFS(F$2:F65,F65,K$2:K65,"Sparse"))</f>
        <v>L0</v>
      </c>
      <c r="B65" s="5" t="str">
        <f>J65&amp;(COUNTIF(J$2:J65,J65))</f>
        <v>London7</v>
      </c>
      <c r="C65" s="8" t="s">
        <v>369</v>
      </c>
      <c r="D65" s="8" t="s">
        <v>369</v>
      </c>
      <c r="E65" s="9" t="s">
        <v>382</v>
      </c>
      <c r="F65" s="9" t="s">
        <v>358</v>
      </c>
      <c r="G65" s="9" t="s">
        <v>382</v>
      </c>
      <c r="H65" s="13" t="s">
        <v>893</v>
      </c>
      <c r="I65" s="11" t="s">
        <v>383</v>
      </c>
      <c r="J65" t="str">
        <f>G65</f>
        <v>London</v>
      </c>
      <c r="K65" s="21"/>
    </row>
    <row r="66" spans="1:11" ht="14.4">
      <c r="A66" s="5" t="str">
        <f>F66&amp;(COUNTIFS(F$2:F66,F66,K$2:K66,"Sparse"))</f>
        <v>SD8</v>
      </c>
      <c r="B66" s="5" t="str">
        <f>J66&amp;(COUNTIF(J$2:J66,J66))</f>
        <v>Essex6</v>
      </c>
      <c r="C66" s="8" t="s">
        <v>41</v>
      </c>
      <c r="D66" s="8" t="s">
        <v>41</v>
      </c>
      <c r="E66" s="9" t="s">
        <v>368</v>
      </c>
      <c r="F66" s="9" t="s">
        <v>380</v>
      </c>
      <c r="G66" s="9" t="s">
        <v>5</v>
      </c>
      <c r="H66" s="12" t="s">
        <v>891</v>
      </c>
      <c r="I66" s="11" t="s">
        <v>370</v>
      </c>
      <c r="J66" t="s">
        <v>311</v>
      </c>
      <c r="K66" s="21"/>
    </row>
    <row r="67" spans="1:11" ht="14.4">
      <c r="A67" s="5" t="str">
        <f>F67&amp;(COUNTIFS(F$2:F67,F67,K$2:K67,"Sparse"))</f>
        <v>SD9</v>
      </c>
      <c r="B67" s="5" t="str">
        <f>J67&amp;(COUNTIF(J$2:J67,J67))</f>
        <v>Cumbria4</v>
      </c>
      <c r="C67" s="8" t="s">
        <v>42</v>
      </c>
      <c r="D67" s="8" t="s">
        <v>42</v>
      </c>
      <c r="E67" s="9" t="s">
        <v>375</v>
      </c>
      <c r="F67" s="9" t="s">
        <v>380</v>
      </c>
      <c r="G67" s="9" t="s">
        <v>5</v>
      </c>
      <c r="H67" s="10" t="s">
        <v>889</v>
      </c>
      <c r="I67" s="11" t="s">
        <v>381</v>
      </c>
      <c r="J67" t="s">
        <v>306</v>
      </c>
      <c r="K67" s="21" t="s">
        <v>335</v>
      </c>
    </row>
    <row r="68" spans="1:11" ht="14.4">
      <c r="A68" s="5" t="str">
        <f>F68&amp;(COUNTIFS(F$2:F68,F68,K$2:K68,"Sparse"))</f>
        <v>SD9</v>
      </c>
      <c r="B68" s="5" t="str">
        <f>J68&amp;(COUNTIF(J$2:J68,J68))</f>
        <v>Northamptonshire1</v>
      </c>
      <c r="C68" s="8" t="s">
        <v>43</v>
      </c>
      <c r="D68" s="8" t="s">
        <v>43</v>
      </c>
      <c r="E68" s="9" t="s">
        <v>366</v>
      </c>
      <c r="F68" s="9" t="s">
        <v>380</v>
      </c>
      <c r="G68" s="9" t="s">
        <v>5</v>
      </c>
      <c r="H68" s="10" t="s">
        <v>888</v>
      </c>
      <c r="I68" s="11" t="s">
        <v>383</v>
      </c>
      <c r="J68" t="s">
        <v>321</v>
      </c>
      <c r="K68" s="21"/>
    </row>
    <row r="69" spans="1:11" ht="14.4">
      <c r="A69" s="5" t="str">
        <f>F69&amp;(COUNTIFS(F$2:F69,F69,K$2:K69,"Sparse"))</f>
        <v>UA2</v>
      </c>
      <c r="B69" s="5" t="str">
        <f>J69&amp;(COUNTIF(J$2:J69,J69))</f>
        <v>Unitary13</v>
      </c>
      <c r="C69" s="8" t="s">
        <v>305</v>
      </c>
      <c r="D69" s="8" t="s">
        <v>305</v>
      </c>
      <c r="E69" s="9" t="s">
        <v>1</v>
      </c>
      <c r="F69" s="9" t="s">
        <v>386</v>
      </c>
      <c r="G69" s="9" t="s">
        <v>395</v>
      </c>
      <c r="H69" s="12" t="s">
        <v>889</v>
      </c>
      <c r="I69" s="11" t="s">
        <v>381</v>
      </c>
      <c r="J69" s="22" t="s">
        <v>395</v>
      </c>
      <c r="K69" s="21" t="s">
        <v>335</v>
      </c>
    </row>
    <row r="70" spans="1:11" ht="14.4">
      <c r="A70" s="5" t="str">
        <f>F70&amp;(COUNTIFS(F$2:F70,F70,K$2:K70,"Sparse"))</f>
        <v>SD10</v>
      </c>
      <c r="B70" s="5" t="str">
        <f>J70&amp;(COUNTIF(J$2:J70,J70))</f>
        <v>Gloucestershire2</v>
      </c>
      <c r="C70" s="8" t="s">
        <v>44</v>
      </c>
      <c r="D70" s="8" t="s">
        <v>44</v>
      </c>
      <c r="E70" s="9" t="s">
        <v>1</v>
      </c>
      <c r="F70" s="9" t="s">
        <v>380</v>
      </c>
      <c r="G70" s="9" t="s">
        <v>5</v>
      </c>
      <c r="H70" s="10" t="s">
        <v>889</v>
      </c>
      <c r="I70" s="11" t="s">
        <v>381</v>
      </c>
      <c r="J70" t="s">
        <v>312</v>
      </c>
      <c r="K70" s="21" t="s">
        <v>335</v>
      </c>
    </row>
    <row r="71" spans="1:11" ht="14.4">
      <c r="A71" s="5" t="str">
        <f>F71&amp;(COUNTIFS(F$2:F71,F71,K$2:K71,"Sparse"))</f>
        <v>MD0</v>
      </c>
      <c r="B71" s="5" t="str">
        <f>J71&amp;(COUNTIF(J$2:J71,J71))</f>
        <v>Coventry1</v>
      </c>
      <c r="C71" s="8" t="s">
        <v>228</v>
      </c>
      <c r="D71" s="8" t="s">
        <v>228</v>
      </c>
      <c r="E71" s="9" t="s">
        <v>367</v>
      </c>
      <c r="F71" s="9" t="s">
        <v>385</v>
      </c>
      <c r="G71" s="9" t="s">
        <v>396</v>
      </c>
      <c r="H71" s="10" t="s">
        <v>888</v>
      </c>
      <c r="I71" s="11" t="s">
        <v>383</v>
      </c>
      <c r="J71" t="str">
        <f>C71</f>
        <v>Coventry</v>
      </c>
      <c r="K71" s="21"/>
    </row>
    <row r="72" spans="1:11" ht="14.4">
      <c r="A72" s="5" t="str">
        <f>F72&amp;(COUNTIFS(F$2:F72,F72,K$2:K72,"Sparse"))</f>
        <v>SD11</v>
      </c>
      <c r="B72" s="5" t="str">
        <f>J72&amp;(COUNTIF(J$2:J72,J72))</f>
        <v>North Yorkshire1</v>
      </c>
      <c r="C72" s="8" t="s">
        <v>45</v>
      </c>
      <c r="D72" s="8" t="s">
        <v>45</v>
      </c>
      <c r="E72" s="9" t="s">
        <v>384</v>
      </c>
      <c r="F72" s="9" t="s">
        <v>380</v>
      </c>
      <c r="G72" s="9" t="s">
        <v>5</v>
      </c>
      <c r="H72" s="10" t="s">
        <v>889</v>
      </c>
      <c r="I72" s="11" t="s">
        <v>381</v>
      </c>
      <c r="J72" t="s">
        <v>320</v>
      </c>
      <c r="K72" s="21" t="s">
        <v>335</v>
      </c>
    </row>
    <row r="73" spans="1:11" ht="14.4">
      <c r="A73" s="5" t="str">
        <f>F73&amp;(COUNTIFS(F$2:F73,F73,K$2:K73,"Sparse"))</f>
        <v>SD11</v>
      </c>
      <c r="B73" s="5" t="str">
        <f>J73&amp;(COUNTIF(J$2:J73,J73))</f>
        <v>West Sussex4</v>
      </c>
      <c r="C73" s="8" t="s">
        <v>46</v>
      </c>
      <c r="D73" s="8" t="s">
        <v>46</v>
      </c>
      <c r="E73" s="9" t="s">
        <v>0</v>
      </c>
      <c r="F73" s="9" t="s">
        <v>380</v>
      </c>
      <c r="G73" s="9" t="s">
        <v>5</v>
      </c>
      <c r="H73" s="10" t="s">
        <v>888</v>
      </c>
      <c r="I73" s="11" t="s">
        <v>383</v>
      </c>
      <c r="J73" t="s">
        <v>331</v>
      </c>
      <c r="K73" s="21"/>
    </row>
    <row r="74" spans="1:11" ht="14.4">
      <c r="A74" s="5" t="str">
        <f>F74&amp;(COUNTIFS(F$2:F74,F74,K$2:K74,"Sparse"))</f>
        <v>L0</v>
      </c>
      <c r="B74" s="5" t="str">
        <f>J74&amp;(COUNTIF(J$2:J74,J74))</f>
        <v>London8</v>
      </c>
      <c r="C74" s="8" t="s">
        <v>201</v>
      </c>
      <c r="D74" s="8" t="s">
        <v>201</v>
      </c>
      <c r="E74" s="9" t="s">
        <v>382</v>
      </c>
      <c r="F74" s="9" t="s">
        <v>358</v>
      </c>
      <c r="G74" s="9" t="s">
        <v>382</v>
      </c>
      <c r="H74" s="10" t="s">
        <v>893</v>
      </c>
      <c r="I74" s="11" t="s">
        <v>383</v>
      </c>
      <c r="J74" t="str">
        <f>G74</f>
        <v>London</v>
      </c>
      <c r="K74" s="21"/>
    </row>
    <row r="75" spans="1:11" ht="14.4">
      <c r="A75" s="5" t="str">
        <f>F75&amp;(COUNTIFS(F$2:F75,F75,K$2:K75,"Sparse"))</f>
        <v>SC1</v>
      </c>
      <c r="B75" s="5" t="str">
        <f>J75&amp;(COUNTIF(J$2:J75,J75))</f>
        <v>Cumbria5</v>
      </c>
      <c r="C75" s="8" t="s">
        <v>306</v>
      </c>
      <c r="D75" s="8" t="s">
        <v>306</v>
      </c>
      <c r="E75" s="9" t="s">
        <v>375</v>
      </c>
      <c r="F75" s="9" t="s">
        <v>388</v>
      </c>
      <c r="G75" s="9" t="s">
        <v>301</v>
      </c>
      <c r="H75" s="11" t="s">
        <v>381</v>
      </c>
      <c r="I75" s="11" t="s">
        <v>381</v>
      </c>
      <c r="J75" t="str">
        <f>C75</f>
        <v>Cumbria</v>
      </c>
      <c r="K75" s="21" t="s">
        <v>335</v>
      </c>
    </row>
    <row r="76" spans="1:11" ht="14.4">
      <c r="A76" s="5" t="str">
        <f>F76&amp;(COUNTIFS(F$2:F76,F76,K$2:K76,"Sparse"))</f>
        <v>SD11</v>
      </c>
      <c r="B76" s="5" t="str">
        <f>J76&amp;(COUNTIF(J$2:J76,J76))</f>
        <v>Hertfordshire2</v>
      </c>
      <c r="C76" s="8" t="s">
        <v>47</v>
      </c>
      <c r="D76" s="8" t="s">
        <v>47</v>
      </c>
      <c r="E76" s="9" t="s">
        <v>368</v>
      </c>
      <c r="F76" s="9" t="s">
        <v>380</v>
      </c>
      <c r="G76" s="9" t="s">
        <v>5</v>
      </c>
      <c r="H76" s="12" t="s">
        <v>891</v>
      </c>
      <c r="I76" s="11" t="s">
        <v>370</v>
      </c>
      <c r="J76" t="s">
        <v>314</v>
      </c>
      <c r="K76" s="21"/>
    </row>
    <row r="77" spans="1:11" ht="14.4">
      <c r="A77" s="5" t="str">
        <f>F77&amp;(COUNTIFS(F$2:F77,F77,K$2:K77,"Sparse"))</f>
        <v>UA2</v>
      </c>
      <c r="B77" s="5" t="str">
        <f>J77&amp;(COUNTIF(J$2:J77,J77))</f>
        <v>Unitary14</v>
      </c>
      <c r="C77" s="8" t="s">
        <v>264</v>
      </c>
      <c r="D77" s="8" t="s">
        <v>264</v>
      </c>
      <c r="E77" s="9" t="s">
        <v>389</v>
      </c>
      <c r="F77" s="9" t="s">
        <v>386</v>
      </c>
      <c r="G77" s="9" t="s">
        <v>395</v>
      </c>
      <c r="H77" s="10" t="s">
        <v>888</v>
      </c>
      <c r="I77" s="11" t="s">
        <v>383</v>
      </c>
      <c r="J77" s="22" t="s">
        <v>395</v>
      </c>
      <c r="K77" s="21"/>
    </row>
    <row r="78" spans="1:11" ht="14.4">
      <c r="A78" s="5" t="str">
        <f>F78&amp;(COUNTIFS(F$2:F78,F78,K$2:K78,"Sparse"))</f>
        <v>SD11</v>
      </c>
      <c r="B78" s="5" t="str">
        <f>J78&amp;(COUNTIF(J$2:J78,J78))</f>
        <v>Kent3</v>
      </c>
      <c r="C78" s="8" t="s">
        <v>48</v>
      </c>
      <c r="D78" s="8" t="s">
        <v>48</v>
      </c>
      <c r="E78" s="9" t="s">
        <v>0</v>
      </c>
      <c r="F78" s="9" t="s">
        <v>380</v>
      </c>
      <c r="G78" s="9" t="s">
        <v>5</v>
      </c>
      <c r="H78" s="10" t="s">
        <v>893</v>
      </c>
      <c r="I78" s="11" t="s">
        <v>383</v>
      </c>
      <c r="J78" t="s">
        <v>315</v>
      </c>
      <c r="K78" s="21"/>
    </row>
    <row r="79" spans="1:11" ht="14.4">
      <c r="A79" s="5" t="str">
        <f>F79&amp;(COUNTIFS(F$2:F79,F79,K$2:K79,"Sparse"))</f>
        <v>SD12</v>
      </c>
      <c r="B79" s="5" t="str">
        <f>J79&amp;(COUNTIF(J$2:J79,J79))</f>
        <v>Northamptonshire2</v>
      </c>
      <c r="C79" s="8" t="s">
        <v>49</v>
      </c>
      <c r="D79" s="8" t="s">
        <v>49</v>
      </c>
      <c r="E79" s="9" t="s">
        <v>366</v>
      </c>
      <c r="F79" s="9" t="s">
        <v>380</v>
      </c>
      <c r="G79" s="9" t="s">
        <v>5</v>
      </c>
      <c r="H79" s="10" t="s">
        <v>889</v>
      </c>
      <c r="I79" s="11" t="s">
        <v>381</v>
      </c>
      <c r="J79" t="s">
        <v>321</v>
      </c>
      <c r="K79" s="21" t="s">
        <v>335</v>
      </c>
    </row>
    <row r="80" spans="1:11" ht="14.4">
      <c r="A80" s="5" t="str">
        <f>F80&amp;(COUNTIFS(F$2:F80,F80,K$2:K80,"Sparse"))</f>
        <v>UA2</v>
      </c>
      <c r="B80" s="5" t="str">
        <f>J80&amp;(COUNTIF(J$2:J80,J80))</f>
        <v>Unitary15</v>
      </c>
      <c r="C80" s="8" t="s">
        <v>265</v>
      </c>
      <c r="D80" s="8" t="s">
        <v>265</v>
      </c>
      <c r="E80" s="9" t="s">
        <v>366</v>
      </c>
      <c r="F80" s="9" t="s">
        <v>386</v>
      </c>
      <c r="G80" s="9" t="s">
        <v>395</v>
      </c>
      <c r="H80" s="10" t="s">
        <v>888</v>
      </c>
      <c r="I80" s="11" t="s">
        <v>383</v>
      </c>
      <c r="J80" s="22" t="s">
        <v>395</v>
      </c>
      <c r="K80" s="21"/>
    </row>
    <row r="81" spans="1:11" ht="14.4">
      <c r="A81" s="5" t="str">
        <f>F81&amp;(COUNTIFS(F$2:F81,F81,K$2:K81,"Sparse"))</f>
        <v>SC2</v>
      </c>
      <c r="B81" s="5" t="str">
        <f>J81&amp;(COUNTIF(J$2:J81,J81))</f>
        <v>Derbyshire4</v>
      </c>
      <c r="C81" s="8" t="s">
        <v>307</v>
      </c>
      <c r="D81" s="8" t="s">
        <v>307</v>
      </c>
      <c r="E81" s="9" t="s">
        <v>366</v>
      </c>
      <c r="F81" s="9" t="s">
        <v>388</v>
      </c>
      <c r="G81" s="9" t="s">
        <v>301</v>
      </c>
      <c r="H81" s="11" t="s">
        <v>370</v>
      </c>
      <c r="I81" s="11" t="s">
        <v>370</v>
      </c>
      <c r="J81" t="str">
        <f>C81</f>
        <v>Derbyshire</v>
      </c>
      <c r="K81" s="21" t="s">
        <v>335</v>
      </c>
    </row>
    <row r="82" spans="1:11" ht="14.4">
      <c r="A82" s="5" t="str">
        <f>F82&amp;(COUNTIFS(F$2:F82,F82,K$2:K82,"Sparse"))</f>
        <v>SD13</v>
      </c>
      <c r="B82" s="5" t="str">
        <f>J82&amp;(COUNTIF(J$2:J82,J82))</f>
        <v>Derbyshire5</v>
      </c>
      <c r="C82" s="8" t="s">
        <v>50</v>
      </c>
      <c r="D82" s="8" t="s">
        <v>50</v>
      </c>
      <c r="E82" s="9" t="s">
        <v>366</v>
      </c>
      <c r="F82" s="9" t="s">
        <v>380</v>
      </c>
      <c r="G82" s="9" t="s">
        <v>5</v>
      </c>
      <c r="H82" s="10" t="s">
        <v>889</v>
      </c>
      <c r="I82" s="11" t="s">
        <v>381</v>
      </c>
      <c r="J82" t="s">
        <v>307</v>
      </c>
      <c r="K82" s="21" t="s">
        <v>335</v>
      </c>
    </row>
    <row r="83" spans="1:11" ht="14.4">
      <c r="A83" s="5" t="str">
        <f>F83&amp;(COUNTIFS(F$2:F83,F83,K$2:K83,"Sparse"))</f>
        <v>SC3</v>
      </c>
      <c r="B83" s="5" t="str">
        <f>J83&amp;(COUNTIF(J$2:J83,J83))</f>
        <v>Devon1</v>
      </c>
      <c r="C83" s="8" t="s">
        <v>308</v>
      </c>
      <c r="D83" s="8" t="s">
        <v>308</v>
      </c>
      <c r="E83" s="9" t="s">
        <v>1</v>
      </c>
      <c r="F83" s="9" t="s">
        <v>388</v>
      </c>
      <c r="G83" s="9" t="s">
        <v>301</v>
      </c>
      <c r="H83" s="11" t="s">
        <v>381</v>
      </c>
      <c r="I83" s="11" t="s">
        <v>381</v>
      </c>
      <c r="J83" t="str">
        <f>C83</f>
        <v>Devon</v>
      </c>
      <c r="K83" s="21" t="s">
        <v>335</v>
      </c>
    </row>
    <row r="84" spans="1:11" ht="14.4">
      <c r="A84" s="5" t="str">
        <f>F84&amp;(COUNTIFS(F$2:F84,F84,K$2:K84,"Sparse"))</f>
        <v>MD0</v>
      </c>
      <c r="B84" s="5" t="str">
        <f>J84&amp;(COUNTIF(J$2:J84,J84))</f>
        <v>Doncaster1</v>
      </c>
      <c r="C84" s="8" t="s">
        <v>229</v>
      </c>
      <c r="D84" s="8" t="s">
        <v>229</v>
      </c>
      <c r="E84" s="9" t="s">
        <v>384</v>
      </c>
      <c r="F84" s="9" t="s">
        <v>385</v>
      </c>
      <c r="G84" s="9" t="s">
        <v>396</v>
      </c>
      <c r="H84" s="10" t="s">
        <v>890</v>
      </c>
      <c r="I84" s="11" t="s">
        <v>383</v>
      </c>
      <c r="J84" t="str">
        <f>C84</f>
        <v>Doncaster</v>
      </c>
      <c r="K84" s="21"/>
    </row>
    <row r="85" spans="1:11" ht="14.4">
      <c r="A85" s="5" t="str">
        <f>F85&amp;(COUNTIFS(F$2:F85,F85,K$2:K85,"Sparse"))</f>
        <v>SC3</v>
      </c>
      <c r="B85" s="5" t="str">
        <f>J85&amp;(COUNTIF(J$2:J85,J85))</f>
        <v>Dorset2</v>
      </c>
      <c r="C85" s="8" t="s">
        <v>309</v>
      </c>
      <c r="D85" s="8" t="s">
        <v>309</v>
      </c>
      <c r="E85" s="9" t="s">
        <v>1</v>
      </c>
      <c r="F85" s="9" t="s">
        <v>388</v>
      </c>
      <c r="G85" s="9" t="s">
        <v>301</v>
      </c>
      <c r="H85" s="11" t="s">
        <v>381</v>
      </c>
      <c r="I85" s="11" t="s">
        <v>381</v>
      </c>
      <c r="J85" t="str">
        <f>C85</f>
        <v>Dorset</v>
      </c>
      <c r="K85" s="21"/>
    </row>
    <row r="86" spans="1:11" ht="14.4">
      <c r="A86" s="5" t="str">
        <f>F86&amp;(COUNTIFS(F$2:F86,F86,K$2:K86,"Sparse"))</f>
        <v>UA2</v>
      </c>
      <c r="B86" s="5" t="str">
        <f>J86&amp;(COUNTIF(J$2:J86,J86))</f>
        <v>Unitary16</v>
      </c>
      <c r="C86" t="s">
        <v>907</v>
      </c>
      <c r="D86" t="s">
        <v>907</v>
      </c>
      <c r="E86" s="285" t="s">
        <v>1</v>
      </c>
      <c r="F86" s="288" t="s">
        <v>386</v>
      </c>
      <c r="G86" s="288" t="s">
        <v>395</v>
      </c>
      <c r="H86" s="287" t="s">
        <v>381</v>
      </c>
      <c r="I86" s="287" t="s">
        <v>381</v>
      </c>
      <c r="J86" t="s">
        <v>395</v>
      </c>
    </row>
    <row r="87" spans="1:11" ht="14.4">
      <c r="A87" s="5" t="str">
        <f>F87&amp;(COUNTIFS(F$2:F87,F87,K$2:K87,"Sparse"))</f>
        <v>SD13</v>
      </c>
      <c r="B87" s="5" t="str">
        <f>J87&amp;(COUNTIF(J$2:J87,J87))</f>
        <v>Kent4</v>
      </c>
      <c r="C87" s="19" t="s">
        <v>51</v>
      </c>
      <c r="D87" s="19" t="s">
        <v>51</v>
      </c>
      <c r="E87" s="9" t="s">
        <v>0</v>
      </c>
      <c r="F87" s="9" t="s">
        <v>380</v>
      </c>
      <c r="G87" s="9" t="s">
        <v>5</v>
      </c>
      <c r="H87" s="10" t="s">
        <v>891</v>
      </c>
      <c r="I87" s="11" t="s">
        <v>370</v>
      </c>
      <c r="J87" t="s">
        <v>315</v>
      </c>
      <c r="K87" s="21"/>
    </row>
    <row r="88" spans="1:11" ht="14.4">
      <c r="A88" s="5" t="str">
        <f>F88&amp;(COUNTIFS(F$2:F88,F88,K$2:K88,"Sparse"))</f>
        <v>UA3</v>
      </c>
      <c r="B88" s="5" t="str">
        <f>J88&amp;(COUNTIF(J$2:J88,J88))</f>
        <v>Unitary17</v>
      </c>
      <c r="C88" s="21" t="s">
        <v>266</v>
      </c>
      <c r="D88" s="19" t="s">
        <v>266</v>
      </c>
      <c r="E88" s="9" t="s">
        <v>389</v>
      </c>
      <c r="F88" s="9" t="s">
        <v>386</v>
      </c>
      <c r="G88" s="9" t="s">
        <v>395</v>
      </c>
      <c r="H88" s="12" t="s">
        <v>892</v>
      </c>
      <c r="I88" s="11" t="s">
        <v>381</v>
      </c>
      <c r="J88" s="22" t="s">
        <v>395</v>
      </c>
      <c r="K88" s="21" t="s">
        <v>335</v>
      </c>
    </row>
    <row r="89" spans="1:11" ht="14.4">
      <c r="A89" s="5" t="str">
        <f>F89&amp;(COUNTIFS(F$2:F89,F89,K$2:K89,"Sparse"))</f>
        <v>MD0</v>
      </c>
      <c r="B89" s="5" t="str">
        <f>J89&amp;(COUNTIF(J$2:J89,J89))</f>
        <v>Dudley1</v>
      </c>
      <c r="C89" s="8" t="s">
        <v>230</v>
      </c>
      <c r="D89" s="8" t="s">
        <v>230</v>
      </c>
      <c r="E89" s="9" t="s">
        <v>367</v>
      </c>
      <c r="F89" s="9" t="s">
        <v>385</v>
      </c>
      <c r="G89" s="9" t="s">
        <v>396</v>
      </c>
      <c r="H89" s="10" t="s">
        <v>893</v>
      </c>
      <c r="I89" s="11" t="s">
        <v>383</v>
      </c>
      <c r="J89" t="str">
        <f>C89</f>
        <v>Dudley</v>
      </c>
      <c r="K89" s="21"/>
    </row>
    <row r="90" spans="1:11" ht="14.4">
      <c r="A90" s="5" t="str">
        <f>F90&amp;(COUNTIFS(F$2:F90,F90,K$2:K90,"Sparse"))</f>
        <v>L0</v>
      </c>
      <c r="B90" s="5" t="str">
        <f>J90&amp;(COUNTIF(J$2:J90,J90))</f>
        <v>London9</v>
      </c>
      <c r="C90" s="8" t="s">
        <v>202</v>
      </c>
      <c r="D90" s="8" t="s">
        <v>202</v>
      </c>
      <c r="E90" s="9" t="s">
        <v>382</v>
      </c>
      <c r="F90" s="9" t="s">
        <v>358</v>
      </c>
      <c r="G90" s="9" t="s">
        <v>382</v>
      </c>
      <c r="H90" s="10" t="s">
        <v>893</v>
      </c>
      <c r="I90" s="11" t="s">
        <v>383</v>
      </c>
      <c r="J90" t="str">
        <f>G90</f>
        <v>London</v>
      </c>
      <c r="K90" s="21"/>
    </row>
    <row r="91" spans="1:11" ht="14.4">
      <c r="A91" s="5" t="str">
        <f>F91&amp;(COUNTIFS(F$2:F91,F91,K$2:K91,"Sparse"))</f>
        <v>SD14</v>
      </c>
      <c r="B91" s="5" t="str">
        <f>J91&amp;(COUNTIF(J$2:J91,J91))</f>
        <v>Cambridgeshire3</v>
      </c>
      <c r="C91" s="8" t="s">
        <v>52</v>
      </c>
      <c r="D91" s="8" t="s">
        <v>52</v>
      </c>
      <c r="E91" s="9" t="s">
        <v>368</v>
      </c>
      <c r="F91" s="9" t="s">
        <v>380</v>
      </c>
      <c r="G91" s="9" t="s">
        <v>5</v>
      </c>
      <c r="H91" s="10" t="s">
        <v>889</v>
      </c>
      <c r="I91" s="11" t="s">
        <v>381</v>
      </c>
      <c r="J91" t="s">
        <v>302</v>
      </c>
      <c r="K91" s="21" t="s">
        <v>335</v>
      </c>
    </row>
    <row r="92" spans="1:11" ht="14.4">
      <c r="A92" s="5" t="str">
        <f>F92&amp;(COUNTIFS(F$2:F92,F92,K$2:K92,"Sparse"))</f>
        <v>SD15</v>
      </c>
      <c r="B92" s="5" t="str">
        <f>J92&amp;(COUNTIF(J$2:J92,J92))</f>
        <v>Devon2</v>
      </c>
      <c r="C92" s="8" t="s">
        <v>53</v>
      </c>
      <c r="D92" s="8" t="s">
        <v>53</v>
      </c>
      <c r="E92" s="9" t="s">
        <v>1</v>
      </c>
      <c r="F92" s="9" t="s">
        <v>380</v>
      </c>
      <c r="G92" s="9" t="s">
        <v>5</v>
      </c>
      <c r="H92" s="10" t="s">
        <v>892</v>
      </c>
      <c r="I92" s="11" t="s">
        <v>381</v>
      </c>
      <c r="J92" t="s">
        <v>308</v>
      </c>
      <c r="K92" s="21" t="s">
        <v>335</v>
      </c>
    </row>
    <row r="93" spans="1:11" ht="14.4">
      <c r="A93" s="5" t="str">
        <f>F93&amp;(COUNTIFS(F$2:F93,F93,K$2:K93,"Sparse"))</f>
        <v>SD15</v>
      </c>
      <c r="B93" s="5" t="str">
        <f>J93&amp;(COUNTIF(J$2:J93,J93))</f>
        <v>Dorset3</v>
      </c>
      <c r="C93" s="8" t="s">
        <v>54</v>
      </c>
      <c r="D93" s="8" t="s">
        <v>54</v>
      </c>
      <c r="E93" s="9" t="s">
        <v>1</v>
      </c>
      <c r="F93" s="9" t="s">
        <v>380</v>
      </c>
      <c r="G93" s="9" t="s">
        <v>5</v>
      </c>
      <c r="H93" s="10" t="s">
        <v>891</v>
      </c>
      <c r="I93" s="11" t="s">
        <v>370</v>
      </c>
      <c r="J93" t="s">
        <v>309</v>
      </c>
      <c r="K93" s="21"/>
    </row>
    <row r="94" spans="1:11" ht="14.4">
      <c r="A94" s="5" t="str">
        <f>F94&amp;(COUNTIFS(F$2:F94,F94,K$2:K94,"Sparse"))</f>
        <v>SD15</v>
      </c>
      <c r="B94" s="5" t="str">
        <f>J94&amp;(COUNTIF(J$2:J94,J94))</f>
        <v>Hampshire2</v>
      </c>
      <c r="C94" s="8" t="s">
        <v>55</v>
      </c>
      <c r="D94" s="8" t="s">
        <v>55</v>
      </c>
      <c r="E94" s="9" t="s">
        <v>0</v>
      </c>
      <c r="F94" s="9" t="s">
        <v>380</v>
      </c>
      <c r="G94" s="9" t="s">
        <v>5</v>
      </c>
      <c r="H94" s="10" t="s">
        <v>889</v>
      </c>
      <c r="I94" s="11" t="s">
        <v>381</v>
      </c>
      <c r="J94" t="s">
        <v>313</v>
      </c>
      <c r="K94" s="21"/>
    </row>
    <row r="95" spans="1:11" ht="14.4">
      <c r="A95" s="5" t="str">
        <f>F95&amp;(COUNTIFS(F$2:F95,F95,K$2:K95,"Sparse"))</f>
        <v>SD16</v>
      </c>
      <c r="B95" s="5" t="str">
        <f>J95&amp;(COUNTIF(J$2:J95,J95))</f>
        <v>Hertfordshire3</v>
      </c>
      <c r="C95" s="8" t="s">
        <v>56</v>
      </c>
      <c r="D95" s="8" t="s">
        <v>56</v>
      </c>
      <c r="E95" s="9" t="s">
        <v>368</v>
      </c>
      <c r="F95" s="9" t="s">
        <v>380</v>
      </c>
      <c r="G95" s="9" t="s">
        <v>5</v>
      </c>
      <c r="H95" s="12" t="s">
        <v>891</v>
      </c>
      <c r="I95" s="11" t="s">
        <v>370</v>
      </c>
      <c r="J95" t="s">
        <v>314</v>
      </c>
      <c r="K95" s="21" t="s">
        <v>335</v>
      </c>
    </row>
    <row r="96" spans="1:11" ht="14.4">
      <c r="A96" s="5" t="str">
        <f>F96&amp;(COUNTIFS(F$2:F96,F96,K$2:K96,"Sparse"))</f>
        <v>SD17</v>
      </c>
      <c r="B96" s="5" t="str">
        <f>J96&amp;(COUNTIF(J$2:J96,J96))</f>
        <v>Lincolnshire2</v>
      </c>
      <c r="C96" s="8" t="s">
        <v>57</v>
      </c>
      <c r="D96" s="8" t="s">
        <v>57</v>
      </c>
      <c r="E96" s="9" t="s">
        <v>366</v>
      </c>
      <c r="F96" s="9" t="s">
        <v>380</v>
      </c>
      <c r="G96" s="9" t="s">
        <v>5</v>
      </c>
      <c r="H96" s="10" t="s">
        <v>889</v>
      </c>
      <c r="I96" s="11" t="s">
        <v>381</v>
      </c>
      <c r="J96" t="s">
        <v>318</v>
      </c>
      <c r="K96" s="21" t="s">
        <v>335</v>
      </c>
    </row>
    <row r="97" spans="1:11" ht="14.4">
      <c r="A97" s="5" t="str">
        <f>F97&amp;(COUNTIFS(F$2:F97,F97,K$2:K97,"Sparse"))</f>
        <v>SD18</v>
      </c>
      <c r="B97" s="5" t="str">
        <f>J97&amp;(COUNTIF(J$2:J97,J97))</f>
        <v>Northamptonshire3</v>
      </c>
      <c r="C97" s="8" t="s">
        <v>58</v>
      </c>
      <c r="D97" s="8" t="s">
        <v>58</v>
      </c>
      <c r="E97" s="9" t="s">
        <v>366</v>
      </c>
      <c r="F97" s="9" t="s">
        <v>380</v>
      </c>
      <c r="G97" s="9" t="s">
        <v>5</v>
      </c>
      <c r="H97" s="10" t="s">
        <v>892</v>
      </c>
      <c r="I97" s="11" t="s">
        <v>381</v>
      </c>
      <c r="J97" t="s">
        <v>321</v>
      </c>
      <c r="K97" s="21" t="s">
        <v>335</v>
      </c>
    </row>
    <row r="98" spans="1:11" ht="14.4">
      <c r="A98" s="5" t="str">
        <f>F98&amp;(COUNTIFS(F$2:F98,F98,K$2:K98,"Sparse"))</f>
        <v>UA4</v>
      </c>
      <c r="B98" s="5" t="str">
        <f>J98&amp;(COUNTIF(J$2:J98,J98))</f>
        <v>Unitary18</v>
      </c>
      <c r="C98" s="8" t="s">
        <v>267</v>
      </c>
      <c r="D98" s="8" t="s">
        <v>267</v>
      </c>
      <c r="E98" s="9" t="s">
        <v>384</v>
      </c>
      <c r="F98" s="9" t="s">
        <v>386</v>
      </c>
      <c r="G98" s="9" t="s">
        <v>395</v>
      </c>
      <c r="H98" s="10" t="s">
        <v>892</v>
      </c>
      <c r="I98" s="11" t="s">
        <v>381</v>
      </c>
      <c r="J98" s="22" t="s">
        <v>395</v>
      </c>
      <c r="K98" s="21" t="s">
        <v>335</v>
      </c>
    </row>
    <row r="99" spans="1:11" ht="14.4">
      <c r="A99" s="5" t="str">
        <f>F99&amp;(COUNTIFS(F$2:F99,F99,K$2:K99,"Sparse"))</f>
        <v>SD18</v>
      </c>
      <c r="B99" s="5" t="str">
        <f>J99&amp;(COUNTIF(J$2:J99,J99))</f>
        <v>Staffordshire2</v>
      </c>
      <c r="C99" s="8" t="s">
        <v>59</v>
      </c>
      <c r="D99" s="8" t="s">
        <v>59</v>
      </c>
      <c r="E99" s="9" t="s">
        <v>367</v>
      </c>
      <c r="F99" s="9" t="s">
        <v>380</v>
      </c>
      <c r="G99" s="9" t="s">
        <v>5</v>
      </c>
      <c r="H99" s="12" t="s">
        <v>891</v>
      </c>
      <c r="I99" s="11" t="s">
        <v>370</v>
      </c>
      <c r="J99" t="s">
        <v>327</v>
      </c>
      <c r="K99" s="21"/>
    </row>
    <row r="100" spans="1:11">
      <c r="A100" s="5" t="str">
        <f>F100&amp;(COUNTIFS(F$2:F100,F100,K$2:K100,"Sparse"))</f>
        <v>SD19</v>
      </c>
      <c r="B100" s="5" t="str">
        <f>J100&amp;(COUNTIF(J$2:J100,J100))</f>
        <v>Suffolk2</v>
      </c>
      <c r="C100" t="s">
        <v>908</v>
      </c>
      <c r="D100" t="s">
        <v>908</v>
      </c>
      <c r="E100" s="285" t="s">
        <v>368</v>
      </c>
      <c r="F100" s="285" t="s">
        <v>380</v>
      </c>
      <c r="G100" s="285" t="s">
        <v>5</v>
      </c>
      <c r="H100" s="286" t="s">
        <v>912</v>
      </c>
      <c r="I100" s="286" t="s">
        <v>912</v>
      </c>
      <c r="J100" t="s">
        <v>328</v>
      </c>
      <c r="K100" t="s">
        <v>335</v>
      </c>
    </row>
    <row r="101" spans="1:11" ht="14.4">
      <c r="A101" s="5" t="str">
        <f>F101&amp;(COUNTIFS(F$2:F101,F101,K$2:K101,"Sparse"))</f>
        <v>SC4</v>
      </c>
      <c r="B101" s="5" t="str">
        <f>J101&amp;(COUNTIF(J$2:J101,J101))</f>
        <v>East Sussex1</v>
      </c>
      <c r="C101" s="8" t="s">
        <v>310</v>
      </c>
      <c r="D101" s="8" t="s">
        <v>310</v>
      </c>
      <c r="E101" s="9" t="s">
        <v>0</v>
      </c>
      <c r="F101" s="9" t="s">
        <v>388</v>
      </c>
      <c r="G101" s="9" t="s">
        <v>301</v>
      </c>
      <c r="H101" s="11" t="s">
        <v>370</v>
      </c>
      <c r="I101" s="11" t="s">
        <v>370</v>
      </c>
      <c r="J101" t="str">
        <f>C101</f>
        <v>East Sussex</v>
      </c>
      <c r="K101" s="21" t="s">
        <v>335</v>
      </c>
    </row>
    <row r="102" spans="1:11" ht="14.4">
      <c r="A102" s="5" t="str">
        <f>F102&amp;(COUNTIFS(F$2:F102,F102,K$2:K102,"Sparse"))</f>
        <v>SD19</v>
      </c>
      <c r="B102" s="5" t="str">
        <f>J102&amp;(COUNTIF(J$2:J102,J102))</f>
        <v>East Sussex2</v>
      </c>
      <c r="C102" s="8" t="s">
        <v>60</v>
      </c>
      <c r="D102" s="8" t="s">
        <v>60</v>
      </c>
      <c r="E102" s="9" t="s">
        <v>0</v>
      </c>
      <c r="F102" s="9" t="s">
        <v>380</v>
      </c>
      <c r="G102" s="9" t="s">
        <v>5</v>
      </c>
      <c r="H102" s="10" t="s">
        <v>888</v>
      </c>
      <c r="I102" s="11" t="s">
        <v>383</v>
      </c>
      <c r="J102" t="s">
        <v>310</v>
      </c>
      <c r="K102" s="21"/>
    </row>
    <row r="103" spans="1:11" ht="14.4">
      <c r="A103" s="5" t="str">
        <f>F103&amp;(COUNTIFS(F$2:F103,F103,K$2:K103,"Sparse"))</f>
        <v>SD19</v>
      </c>
      <c r="B103" s="5" t="str">
        <f>J103&amp;(COUNTIF(J$2:J103,J103))</f>
        <v>Hampshire3</v>
      </c>
      <c r="C103" s="8" t="s">
        <v>61</v>
      </c>
      <c r="D103" s="8" t="s">
        <v>61</v>
      </c>
      <c r="E103" s="9" t="s">
        <v>0</v>
      </c>
      <c r="F103" s="9" t="s">
        <v>380</v>
      </c>
      <c r="G103" s="9" t="s">
        <v>5</v>
      </c>
      <c r="H103" s="12" t="s">
        <v>888</v>
      </c>
      <c r="I103" s="11" t="s">
        <v>383</v>
      </c>
      <c r="J103" t="s">
        <v>313</v>
      </c>
      <c r="K103" s="21"/>
    </row>
    <row r="104" spans="1:11" ht="14.4">
      <c r="A104" s="5" t="str">
        <f>F104&amp;(COUNTIFS(F$2:F104,F104,K$2:K104,"Sparse"))</f>
        <v>SD20</v>
      </c>
      <c r="B104" s="5" t="str">
        <f>J104&amp;(COUNTIF(J$2:J104,J104))</f>
        <v>Cumbria6</v>
      </c>
      <c r="C104" s="8" t="s">
        <v>62</v>
      </c>
      <c r="D104" s="8" t="s">
        <v>62</v>
      </c>
      <c r="E104" s="9" t="s">
        <v>375</v>
      </c>
      <c r="F104" s="9" t="s">
        <v>380</v>
      </c>
      <c r="G104" s="9" t="s">
        <v>5</v>
      </c>
      <c r="H104" s="10" t="s">
        <v>889</v>
      </c>
      <c r="I104" s="11" t="s">
        <v>381</v>
      </c>
      <c r="J104" t="s">
        <v>306</v>
      </c>
      <c r="K104" s="21" t="s">
        <v>335</v>
      </c>
    </row>
    <row r="105" spans="1:11" ht="14.4">
      <c r="A105" s="5" t="str">
        <f>F105&amp;(COUNTIFS(F$2:F105,F105,K$2:K105,"Sparse"))</f>
        <v>SD20</v>
      </c>
      <c r="B105" s="5" t="str">
        <f>J105&amp;(COUNTIF(J$2:J105,J105))</f>
        <v>Surrey1</v>
      </c>
      <c r="C105" s="8" t="s">
        <v>63</v>
      </c>
      <c r="D105" s="8" t="s">
        <v>63</v>
      </c>
      <c r="E105" s="9" t="s">
        <v>0</v>
      </c>
      <c r="F105" s="9" t="s">
        <v>380</v>
      </c>
      <c r="G105" s="9" t="s">
        <v>5</v>
      </c>
      <c r="H105" s="10" t="s">
        <v>893</v>
      </c>
      <c r="I105" s="11" t="s">
        <v>383</v>
      </c>
      <c r="J105" t="s">
        <v>329</v>
      </c>
      <c r="K105" s="21"/>
    </row>
    <row r="106" spans="1:11" ht="14.4">
      <c r="A106" s="5" t="str">
        <f>F106&amp;(COUNTIFS(F$2:F106,F106,K$2:K106,"Sparse"))</f>
        <v>L0</v>
      </c>
      <c r="B106" s="5" t="str">
        <f>J106&amp;(COUNTIF(J$2:J106,J106))</f>
        <v>London10</v>
      </c>
      <c r="C106" s="8" t="s">
        <v>203</v>
      </c>
      <c r="D106" s="8" t="s">
        <v>203</v>
      </c>
      <c r="E106" s="9" t="s">
        <v>382</v>
      </c>
      <c r="F106" s="9" t="s">
        <v>358</v>
      </c>
      <c r="G106" s="9" t="s">
        <v>382</v>
      </c>
      <c r="H106" s="10" t="s">
        <v>893</v>
      </c>
      <c r="I106" s="11" t="s">
        <v>383</v>
      </c>
      <c r="J106" t="str">
        <f>G106</f>
        <v>London</v>
      </c>
      <c r="K106" s="21"/>
    </row>
    <row r="107" spans="1:11" ht="14.4">
      <c r="A107" s="5" t="str">
        <f>F107&amp;(COUNTIFS(F$2:F107,F107,K$2:K107,"Sparse"))</f>
        <v>SD20</v>
      </c>
      <c r="B107" s="5" t="str">
        <f>J107&amp;(COUNTIF(J$2:J107,J107))</f>
        <v>Essex7</v>
      </c>
      <c r="C107" s="8" t="s">
        <v>64</v>
      </c>
      <c r="D107" s="8" t="s">
        <v>64</v>
      </c>
      <c r="E107" s="9" t="s">
        <v>368</v>
      </c>
      <c r="F107" s="9" t="s">
        <v>380</v>
      </c>
      <c r="G107" s="9" t="s">
        <v>5</v>
      </c>
      <c r="H107" s="12" t="s">
        <v>891</v>
      </c>
      <c r="I107" s="11" t="s">
        <v>370</v>
      </c>
      <c r="J107" t="s">
        <v>311</v>
      </c>
      <c r="K107" s="21"/>
    </row>
    <row r="108" spans="1:11" ht="14.4">
      <c r="A108" s="5" t="str">
        <f>F108&amp;(COUNTIFS(F$2:F108,F108,K$2:K108,"Sparse"))</f>
        <v>SD20</v>
      </c>
      <c r="B108" s="5" t="str">
        <f>J108&amp;(COUNTIF(J$2:J108,J108))</f>
        <v>Surrey2</v>
      </c>
      <c r="C108" s="8" t="s">
        <v>343</v>
      </c>
      <c r="D108" s="8" t="s">
        <v>343</v>
      </c>
      <c r="E108" s="9" t="s">
        <v>0</v>
      </c>
      <c r="F108" s="9" t="s">
        <v>380</v>
      </c>
      <c r="G108" s="9" t="s">
        <v>5</v>
      </c>
      <c r="H108" s="10" t="s">
        <v>893</v>
      </c>
      <c r="I108" s="11" t="s">
        <v>383</v>
      </c>
      <c r="J108" t="s">
        <v>329</v>
      </c>
      <c r="K108" s="21"/>
    </row>
    <row r="109" spans="1:11" ht="14.4">
      <c r="A109" s="5" t="str">
        <f>F109&amp;(COUNTIFS(F$2:F109,F109,K$2:K109,"Sparse"))</f>
        <v>SD20</v>
      </c>
      <c r="B109" s="5" t="str">
        <f>J109&amp;(COUNTIF(J$2:J109,J109))</f>
        <v>Derbyshire6</v>
      </c>
      <c r="C109" s="8" t="s">
        <v>65</v>
      </c>
      <c r="D109" s="8" t="s">
        <v>65</v>
      </c>
      <c r="E109" s="9" t="s">
        <v>366</v>
      </c>
      <c r="F109" s="9" t="s">
        <v>380</v>
      </c>
      <c r="G109" s="9" t="s">
        <v>5</v>
      </c>
      <c r="H109" s="10" t="s">
        <v>890</v>
      </c>
      <c r="I109" s="11" t="s">
        <v>383</v>
      </c>
      <c r="J109" t="s">
        <v>307</v>
      </c>
      <c r="K109" s="21"/>
    </row>
    <row r="110" spans="1:11" ht="14.4">
      <c r="A110" s="5" t="str">
        <f>F110&amp;(COUNTIFS(F$2:F110,F110,K$2:K110,"Sparse"))</f>
        <v>SC5</v>
      </c>
      <c r="B110" s="5" t="str">
        <f>J110&amp;(COUNTIF(J$2:J110,J110))</f>
        <v>Essex8</v>
      </c>
      <c r="C110" s="11" t="s">
        <v>311</v>
      </c>
      <c r="D110" s="11" t="s">
        <v>311</v>
      </c>
      <c r="E110" s="9" t="s">
        <v>368</v>
      </c>
      <c r="F110" s="9" t="s">
        <v>388</v>
      </c>
      <c r="G110" s="9" t="s">
        <v>301</v>
      </c>
      <c r="H110" s="11" t="s">
        <v>370</v>
      </c>
      <c r="I110" s="11" t="s">
        <v>370</v>
      </c>
      <c r="J110" t="str">
        <f>C110</f>
        <v>Essex</v>
      </c>
      <c r="K110" s="21" t="s">
        <v>335</v>
      </c>
    </row>
    <row r="111" spans="1:11" ht="14.4">
      <c r="A111" s="5" t="str">
        <f>F111&amp;(COUNTIFS(F$2:F111,F111,K$2:K111,"Sparse"))</f>
        <v>SD20</v>
      </c>
      <c r="B111" s="5" t="str">
        <f>J111&amp;(COUNTIF(J$2:J111,J111))</f>
        <v>Devon3</v>
      </c>
      <c r="C111" s="8" t="s">
        <v>66</v>
      </c>
      <c r="D111" s="8" t="s">
        <v>66</v>
      </c>
      <c r="E111" s="9" t="s">
        <v>1</v>
      </c>
      <c r="F111" s="9" t="s">
        <v>380</v>
      </c>
      <c r="G111" s="9" t="s">
        <v>5</v>
      </c>
      <c r="H111" s="10" t="s">
        <v>888</v>
      </c>
      <c r="I111" s="11" t="s">
        <v>383</v>
      </c>
      <c r="J111" t="s">
        <v>308</v>
      </c>
      <c r="K111" s="21"/>
    </row>
    <row r="112" spans="1:11" ht="14.4">
      <c r="A112" s="5" t="str">
        <f>F112&amp;(COUNTIFS(F$2:F112,F112,K$2:K112,"Sparse"))</f>
        <v>SD20</v>
      </c>
      <c r="B112" s="5" t="str">
        <f>J112&amp;(COUNTIF(J$2:J112,J112))</f>
        <v>Hampshire4</v>
      </c>
      <c r="C112" s="8" t="s">
        <v>67</v>
      </c>
      <c r="D112" s="8" t="s">
        <v>67</v>
      </c>
      <c r="E112" s="9" t="s">
        <v>0</v>
      </c>
      <c r="F112" s="9" t="s">
        <v>380</v>
      </c>
      <c r="G112" s="9" t="s">
        <v>5</v>
      </c>
      <c r="H112" s="10" t="s">
        <v>888</v>
      </c>
      <c r="I112" s="11" t="s">
        <v>383</v>
      </c>
      <c r="J112" t="s">
        <v>313</v>
      </c>
      <c r="K112" s="21"/>
    </row>
    <row r="113" spans="1:11" ht="14.4">
      <c r="A113" s="5" t="str">
        <f>F113&amp;(COUNTIFS(F$2:F113,F113,K$2:K113,"Sparse"))</f>
        <v>SD20</v>
      </c>
      <c r="B113" s="5" t="str">
        <f>J113&amp;(COUNTIF(J$2:J113,J113))</f>
        <v>Cambridgeshire4</v>
      </c>
      <c r="C113" s="8" t="s">
        <v>68</v>
      </c>
      <c r="D113" s="8" t="s">
        <v>68</v>
      </c>
      <c r="E113" s="9" t="s">
        <v>368</v>
      </c>
      <c r="F113" s="9" t="s">
        <v>380</v>
      </c>
      <c r="G113" s="9" t="s">
        <v>5</v>
      </c>
      <c r="H113" s="10" t="s">
        <v>892</v>
      </c>
      <c r="I113" s="11" t="s">
        <v>381</v>
      </c>
      <c r="J113" t="s">
        <v>302</v>
      </c>
      <c r="K113" s="21"/>
    </row>
    <row r="114" spans="1:11" ht="14.4">
      <c r="A114" s="5" t="str">
        <f>F114&amp;(COUNTIFS(F$2:F114,F114,K$2:K114,"Sparse"))</f>
        <v>SD21</v>
      </c>
      <c r="B114" s="5" t="str">
        <f>J114&amp;(COUNTIF(J$2:J114,J114))</f>
        <v>Suffolk3</v>
      </c>
      <c r="C114" s="8" t="s">
        <v>69</v>
      </c>
      <c r="D114" s="8" t="s">
        <v>69</v>
      </c>
      <c r="E114" s="9" t="s">
        <v>368</v>
      </c>
      <c r="F114" s="9" t="s">
        <v>380</v>
      </c>
      <c r="G114" s="9" t="s">
        <v>5</v>
      </c>
      <c r="H114" s="10" t="s">
        <v>889</v>
      </c>
      <c r="I114" s="11" t="s">
        <v>381</v>
      </c>
      <c r="J114" t="s">
        <v>328</v>
      </c>
      <c r="K114" s="21" t="s">
        <v>335</v>
      </c>
    </row>
    <row r="115" spans="1:11" ht="14.4">
      <c r="A115" s="5" t="str">
        <f>F115&amp;(COUNTIFS(F$2:F115,F115,K$2:K115,"Sparse"))</f>
        <v>SD22</v>
      </c>
      <c r="B115" s="5" t="str">
        <f>J115&amp;(COUNTIF(J$2:J115,J115))</f>
        <v>Gloucestershire3</v>
      </c>
      <c r="C115" s="8" t="s">
        <v>70</v>
      </c>
      <c r="D115" s="8" t="s">
        <v>70</v>
      </c>
      <c r="E115" s="9" t="s">
        <v>1</v>
      </c>
      <c r="F115" s="9" t="s">
        <v>380</v>
      </c>
      <c r="G115" s="9" t="s">
        <v>5</v>
      </c>
      <c r="H115" s="10" t="s">
        <v>889</v>
      </c>
      <c r="I115" s="11" t="s">
        <v>381</v>
      </c>
      <c r="J115" t="s">
        <v>312</v>
      </c>
      <c r="K115" s="21" t="s">
        <v>335</v>
      </c>
    </row>
    <row r="116" spans="1:11" ht="14.4">
      <c r="A116" s="5" t="str">
        <f>F116&amp;(COUNTIFS(F$2:F116,F116,K$2:K116,"Sparse"))</f>
        <v>SD22</v>
      </c>
      <c r="B116" s="5" t="str">
        <f>J116&amp;(COUNTIF(J$2:J116,J116))</f>
        <v>Lancashire3</v>
      </c>
      <c r="C116" s="8" t="s">
        <v>71</v>
      </c>
      <c r="D116" s="8" t="s">
        <v>71</v>
      </c>
      <c r="E116" s="9" t="s">
        <v>375</v>
      </c>
      <c r="F116" s="9" t="s">
        <v>380</v>
      </c>
      <c r="G116" s="9" t="s">
        <v>5</v>
      </c>
      <c r="H116" s="12" t="s">
        <v>888</v>
      </c>
      <c r="I116" s="11" t="s">
        <v>383</v>
      </c>
      <c r="J116" t="s">
        <v>316</v>
      </c>
      <c r="K116" s="21"/>
    </row>
    <row r="117" spans="1:11" ht="14.4">
      <c r="A117" s="5" t="str">
        <f>F117&amp;(COUNTIFS(F$2:F117,F117,K$2:K117,"Sparse"))</f>
        <v>MD0</v>
      </c>
      <c r="B117" s="5" t="str">
        <f>J117&amp;(COUNTIF(J$2:J117,J117))</f>
        <v>Gateshead1</v>
      </c>
      <c r="C117" s="8" t="s">
        <v>231</v>
      </c>
      <c r="D117" s="8" t="s">
        <v>231</v>
      </c>
      <c r="E117" s="9" t="s">
        <v>389</v>
      </c>
      <c r="F117" s="9" t="s">
        <v>385</v>
      </c>
      <c r="G117" s="9" t="s">
        <v>396</v>
      </c>
      <c r="H117" s="10" t="s">
        <v>893</v>
      </c>
      <c r="I117" s="11" t="s">
        <v>383</v>
      </c>
      <c r="J117" t="str">
        <f>C117</f>
        <v>Gateshead</v>
      </c>
      <c r="K117" s="21"/>
    </row>
    <row r="118" spans="1:11" ht="14.4">
      <c r="A118" s="5" t="str">
        <f>F118&amp;(COUNTIFS(F$2:F118,F118,K$2:K118,"Sparse"))</f>
        <v>SD22</v>
      </c>
      <c r="B118" s="5" t="str">
        <f>J118&amp;(COUNTIF(J$2:J118,J118))</f>
        <v>Nottinghamshire4</v>
      </c>
      <c r="C118" s="8" t="s">
        <v>72</v>
      </c>
      <c r="D118" s="8" t="s">
        <v>72</v>
      </c>
      <c r="E118" s="9" t="s">
        <v>366</v>
      </c>
      <c r="F118" s="9" t="s">
        <v>380</v>
      </c>
      <c r="G118" s="9" t="s">
        <v>5</v>
      </c>
      <c r="H118" s="10" t="s">
        <v>890</v>
      </c>
      <c r="I118" s="11" t="s">
        <v>383</v>
      </c>
      <c r="J118" t="s">
        <v>323</v>
      </c>
      <c r="K118" s="21"/>
    </row>
    <row r="119" spans="1:11" ht="14.4">
      <c r="A119" s="5" t="str">
        <f>F119&amp;(COUNTIFS(F$2:F119,F119,K$2:K119,"Sparse"))</f>
        <v>SD22</v>
      </c>
      <c r="B119" s="5" t="str">
        <f>J119&amp;(COUNTIF(J$2:J119,J119))</f>
        <v>Gloucestershire4</v>
      </c>
      <c r="C119" s="8" t="s">
        <v>73</v>
      </c>
      <c r="D119" s="8" t="s">
        <v>73</v>
      </c>
      <c r="E119" s="9" t="s">
        <v>1</v>
      </c>
      <c r="F119" s="9" t="s">
        <v>380</v>
      </c>
      <c r="G119" s="9" t="s">
        <v>5</v>
      </c>
      <c r="H119" s="10" t="s">
        <v>888</v>
      </c>
      <c r="I119" s="11" t="s">
        <v>383</v>
      </c>
      <c r="J119" t="s">
        <v>312</v>
      </c>
      <c r="K119" s="21"/>
    </row>
    <row r="120" spans="1:11" ht="14.4">
      <c r="A120" s="5" t="str">
        <f>F120&amp;(COUNTIFS(F$2:F120,F120,K$2:K120,"Sparse"))</f>
        <v>SC5</v>
      </c>
      <c r="B120" s="5" t="str">
        <f>J120&amp;(COUNTIF(J$2:J120,J120))</f>
        <v>Gloucestershire5</v>
      </c>
      <c r="C120" s="11" t="s">
        <v>312</v>
      </c>
      <c r="D120" s="11" t="s">
        <v>312</v>
      </c>
      <c r="E120" s="9" t="s">
        <v>1</v>
      </c>
      <c r="F120" s="9" t="s">
        <v>388</v>
      </c>
      <c r="G120" s="9" t="s">
        <v>301</v>
      </c>
      <c r="H120" s="11" t="s">
        <v>370</v>
      </c>
      <c r="I120" s="11" t="s">
        <v>370</v>
      </c>
      <c r="J120" t="str">
        <f>C120</f>
        <v>Gloucestershire</v>
      </c>
      <c r="K120" s="21"/>
    </row>
    <row r="121" spans="1:11" ht="14.4">
      <c r="A121" s="5" t="str">
        <f>F121&amp;(COUNTIFS(F$2:F121,F121,K$2:K121,"Sparse"))</f>
        <v>SD22</v>
      </c>
      <c r="B121" s="5" t="str">
        <f>J121&amp;(COUNTIF(J$2:J121,J121))</f>
        <v>Hampshire5</v>
      </c>
      <c r="C121" s="8" t="s">
        <v>74</v>
      </c>
      <c r="D121" s="8" t="s">
        <v>74</v>
      </c>
      <c r="E121" s="9" t="s">
        <v>0</v>
      </c>
      <c r="F121" s="9" t="s">
        <v>380</v>
      </c>
      <c r="G121" s="9" t="s">
        <v>5</v>
      </c>
      <c r="H121" s="10" t="s">
        <v>888</v>
      </c>
      <c r="I121" s="11" t="s">
        <v>383</v>
      </c>
      <c r="J121" t="s">
        <v>313</v>
      </c>
      <c r="K121" s="21"/>
    </row>
    <row r="122" spans="1:11" ht="14.4">
      <c r="A122" s="5" t="str">
        <f>F122&amp;(COUNTIFS(F$2:F122,F122,K$2:K122,"Sparse"))</f>
        <v>SD22</v>
      </c>
      <c r="B122" s="5" t="str">
        <f>J122&amp;(COUNTIF(J$2:J122,J122))</f>
        <v>Kent5</v>
      </c>
      <c r="C122" s="8" t="s">
        <v>75</v>
      </c>
      <c r="D122" s="8" t="s">
        <v>75</v>
      </c>
      <c r="E122" s="9" t="s">
        <v>0</v>
      </c>
      <c r="F122" s="9" t="s">
        <v>380</v>
      </c>
      <c r="G122" s="9" t="s">
        <v>5</v>
      </c>
      <c r="H122" s="10" t="s">
        <v>893</v>
      </c>
      <c r="I122" s="11" t="s">
        <v>383</v>
      </c>
      <c r="J122" t="s">
        <v>315</v>
      </c>
      <c r="K122" s="21"/>
    </row>
    <row r="123" spans="1:11" ht="14.4">
      <c r="A123" s="5" t="str">
        <f>F123&amp;(COUNTIFS(F$2:F123,F123,K$2:K123,"Sparse"))</f>
        <v>SD22</v>
      </c>
      <c r="B123" s="5" t="str">
        <f>J123&amp;(COUNTIF(J$2:J123,J123))</f>
        <v>Norfolk3</v>
      </c>
      <c r="C123" s="8" t="s">
        <v>76</v>
      </c>
      <c r="D123" s="8" t="s">
        <v>76</v>
      </c>
      <c r="E123" s="9" t="s">
        <v>368</v>
      </c>
      <c r="F123" s="9" t="s">
        <v>380</v>
      </c>
      <c r="G123" s="9" t="s">
        <v>5</v>
      </c>
      <c r="H123" s="12" t="s">
        <v>891</v>
      </c>
      <c r="I123" s="11" t="s">
        <v>370</v>
      </c>
      <c r="J123" t="s">
        <v>319</v>
      </c>
      <c r="K123" s="21"/>
    </row>
    <row r="124" spans="1:11" ht="14.4">
      <c r="A124" s="5" t="str">
        <f>F124&amp;(COUNTIFS(F$2:F124,F124,K$2:K124,"Sparse"))</f>
        <v>L0</v>
      </c>
      <c r="B124" s="5" t="str">
        <f>J124&amp;(COUNTIF(J$2:J124,J124))</f>
        <v>London11</v>
      </c>
      <c r="C124" s="8" t="s">
        <v>204</v>
      </c>
      <c r="D124" s="8" t="s">
        <v>204</v>
      </c>
      <c r="E124" s="9" t="s">
        <v>382</v>
      </c>
      <c r="F124" s="9" t="s">
        <v>358</v>
      </c>
      <c r="G124" s="9" t="s">
        <v>382</v>
      </c>
      <c r="H124" s="10" t="s">
        <v>893</v>
      </c>
      <c r="I124" s="11" t="s">
        <v>383</v>
      </c>
      <c r="J124" t="str">
        <f>G124</f>
        <v>London</v>
      </c>
      <c r="K124" s="21"/>
    </row>
    <row r="125" spans="1:11" ht="14.4">
      <c r="A125" s="5" t="str">
        <f>F125&amp;(COUNTIFS(F$2:F125,F125,K$2:K125,"Sparse"))</f>
        <v>SD22</v>
      </c>
      <c r="B125" s="5" t="str">
        <f>J125&amp;(COUNTIF(J$2:J125,J125))</f>
        <v>Surrey3</v>
      </c>
      <c r="C125" s="8" t="s">
        <v>77</v>
      </c>
      <c r="D125" s="8" t="s">
        <v>77</v>
      </c>
      <c r="E125" s="9" t="s">
        <v>0</v>
      </c>
      <c r="F125" s="9" t="s">
        <v>380</v>
      </c>
      <c r="G125" s="9" t="s">
        <v>5</v>
      </c>
      <c r="H125" s="12" t="s">
        <v>888</v>
      </c>
      <c r="I125" s="11" t="s">
        <v>383</v>
      </c>
      <c r="J125" t="s">
        <v>329</v>
      </c>
      <c r="K125" s="21"/>
    </row>
    <row r="126" spans="1:11" ht="14.4">
      <c r="A126" s="5" t="str">
        <f>F126&amp;(COUNTIFS(F$2:F126,F126,K$2:K126,"Sparse"))</f>
        <v>L0</v>
      </c>
      <c r="B126" s="5" t="str">
        <f>J126&amp;(COUNTIF(J$2:J126,J126))</f>
        <v>London12</v>
      </c>
      <c r="C126" s="8" t="s">
        <v>205</v>
      </c>
      <c r="D126" s="8" t="s">
        <v>205</v>
      </c>
      <c r="E126" s="9" t="s">
        <v>382</v>
      </c>
      <c r="F126" s="9" t="s">
        <v>358</v>
      </c>
      <c r="G126" s="9" t="s">
        <v>382</v>
      </c>
      <c r="H126" s="10" t="s">
        <v>893</v>
      </c>
      <c r="I126" s="11" t="s">
        <v>383</v>
      </c>
      <c r="J126" t="str">
        <f>G126</f>
        <v>London</v>
      </c>
      <c r="K126" s="21"/>
    </row>
    <row r="127" spans="1:11" ht="14.4">
      <c r="A127" s="5" t="str">
        <f>F127&amp;(COUNTIFS(F$2:F127,F127,K$2:K127,"Sparse"))</f>
        <v>UA4</v>
      </c>
      <c r="B127" s="5" t="str">
        <f>J127&amp;(COUNTIF(J$2:J127,J127))</f>
        <v>Unitary19</v>
      </c>
      <c r="C127" s="8" t="s">
        <v>268</v>
      </c>
      <c r="D127" s="8" t="s">
        <v>268</v>
      </c>
      <c r="E127" s="9" t="s">
        <v>375</v>
      </c>
      <c r="F127" s="9" t="s">
        <v>386</v>
      </c>
      <c r="G127" s="9" t="s">
        <v>395</v>
      </c>
      <c r="H127" s="10" t="s">
        <v>888</v>
      </c>
      <c r="I127" s="11" t="s">
        <v>383</v>
      </c>
      <c r="J127" s="22" t="s">
        <v>395</v>
      </c>
      <c r="K127" s="21"/>
    </row>
    <row r="128" spans="1:11" ht="14.4">
      <c r="A128" s="5" t="str">
        <f>F128&amp;(COUNTIFS(F$2:F128,F128,K$2:K128,"Sparse"))</f>
        <v>SD23</v>
      </c>
      <c r="B128" s="5" t="str">
        <f>J128&amp;(COUNTIF(J$2:J128,J128))</f>
        <v>North Yorkshire2</v>
      </c>
      <c r="C128" s="8" t="s">
        <v>78</v>
      </c>
      <c r="D128" s="8" t="s">
        <v>78</v>
      </c>
      <c r="E128" s="9" t="s">
        <v>384</v>
      </c>
      <c r="F128" s="9" t="s">
        <v>380</v>
      </c>
      <c r="G128" s="9" t="s">
        <v>5</v>
      </c>
      <c r="H128" s="10" t="s">
        <v>889</v>
      </c>
      <c r="I128" s="11" t="s">
        <v>381</v>
      </c>
      <c r="J128" t="s">
        <v>320</v>
      </c>
      <c r="K128" s="21" t="s">
        <v>335</v>
      </c>
    </row>
    <row r="129" spans="1:11" ht="14.4">
      <c r="A129" s="5" t="str">
        <f>F129&amp;(COUNTIFS(F$2:F129,F129,K$2:K129,"Sparse"))</f>
        <v>L0</v>
      </c>
      <c r="B129" s="5" t="str">
        <f>J129&amp;(COUNTIF(J$2:J129,J129))</f>
        <v>London13</v>
      </c>
      <c r="C129" s="8" t="s">
        <v>336</v>
      </c>
      <c r="D129" s="8" t="s">
        <v>336</v>
      </c>
      <c r="E129" s="9" t="s">
        <v>382</v>
      </c>
      <c r="F129" s="9" t="s">
        <v>358</v>
      </c>
      <c r="G129" s="9" t="s">
        <v>382</v>
      </c>
      <c r="H129" s="10" t="s">
        <v>893</v>
      </c>
      <c r="I129" s="11" t="s">
        <v>383</v>
      </c>
      <c r="J129" t="str">
        <f>G129</f>
        <v>London</v>
      </c>
      <c r="K129" s="21"/>
    </row>
    <row r="130" spans="1:11" ht="14.4">
      <c r="A130" s="5" t="str">
        <f>F130&amp;(COUNTIFS(F$2:F130,F130,K$2:K130,"Sparse"))</f>
        <v>SC6</v>
      </c>
      <c r="B130" s="5" t="str">
        <f>J130&amp;(COUNTIF(J$2:J130,J130))</f>
        <v>Hampshire6</v>
      </c>
      <c r="C130" s="11" t="s">
        <v>313</v>
      </c>
      <c r="D130" s="11" t="s">
        <v>313</v>
      </c>
      <c r="E130" s="9" t="s">
        <v>0</v>
      </c>
      <c r="F130" s="9" t="s">
        <v>388</v>
      </c>
      <c r="G130" s="9" t="s">
        <v>301</v>
      </c>
      <c r="H130" s="11" t="s">
        <v>370</v>
      </c>
      <c r="I130" s="11" t="s">
        <v>370</v>
      </c>
      <c r="J130" t="str">
        <f>C130</f>
        <v>Hampshire</v>
      </c>
      <c r="K130" s="21" t="s">
        <v>335</v>
      </c>
    </row>
    <row r="131" spans="1:11" ht="14.4">
      <c r="A131" s="5" t="str">
        <f>F131&amp;(COUNTIFS(F$2:F131,F131,K$2:K131,"Sparse"))</f>
        <v>SD24</v>
      </c>
      <c r="B131" s="5" t="str">
        <f>J131&amp;(COUNTIF(J$2:J131,J131))</f>
        <v>Leicestershire3</v>
      </c>
      <c r="C131" s="8" t="s">
        <v>79</v>
      </c>
      <c r="D131" s="8" t="s">
        <v>79</v>
      </c>
      <c r="E131" s="9" t="s">
        <v>366</v>
      </c>
      <c r="F131" s="9" t="s">
        <v>380</v>
      </c>
      <c r="G131" s="9" t="s">
        <v>5</v>
      </c>
      <c r="H131" s="10" t="s">
        <v>889</v>
      </c>
      <c r="I131" s="11" t="s">
        <v>381</v>
      </c>
      <c r="J131" t="s">
        <v>317</v>
      </c>
      <c r="K131" s="21" t="s">
        <v>335</v>
      </c>
    </row>
    <row r="132" spans="1:11" ht="14.4">
      <c r="A132" s="5" t="str">
        <f>F132&amp;(COUNTIFS(F$2:F132,F132,K$2:K132,"Sparse"))</f>
        <v>L0</v>
      </c>
      <c r="B132" s="5" t="str">
        <f>J132&amp;(COUNTIF(J$2:J132,J132))</f>
        <v>London14</v>
      </c>
      <c r="C132" s="8" t="s">
        <v>206</v>
      </c>
      <c r="D132" s="8" t="s">
        <v>206</v>
      </c>
      <c r="E132" s="9" t="s">
        <v>382</v>
      </c>
      <c r="F132" s="9" t="s">
        <v>358</v>
      </c>
      <c r="G132" s="9" t="s">
        <v>382</v>
      </c>
      <c r="H132" s="10" t="s">
        <v>893</v>
      </c>
      <c r="I132" s="11" t="s">
        <v>383</v>
      </c>
      <c r="J132" t="str">
        <f>G132</f>
        <v>London</v>
      </c>
      <c r="K132" s="21"/>
    </row>
    <row r="133" spans="1:11" ht="14.4">
      <c r="A133" s="5" t="str">
        <f>F133&amp;(COUNTIFS(F$2:F133,F133,K$2:K133,"Sparse"))</f>
        <v>SD24</v>
      </c>
      <c r="B133" s="5" t="str">
        <f>J133&amp;(COUNTIF(J$2:J133,J133))</f>
        <v>Essex9</v>
      </c>
      <c r="C133" s="8" t="s">
        <v>80</v>
      </c>
      <c r="D133" s="8" t="s">
        <v>80</v>
      </c>
      <c r="E133" s="9" t="s">
        <v>368</v>
      </c>
      <c r="F133" s="9" t="s">
        <v>380</v>
      </c>
      <c r="G133" s="9" t="s">
        <v>5</v>
      </c>
      <c r="H133" s="10" t="s">
        <v>888</v>
      </c>
      <c r="I133" s="11" t="s">
        <v>383</v>
      </c>
      <c r="J133" t="s">
        <v>311</v>
      </c>
      <c r="K133" s="21"/>
    </row>
    <row r="134" spans="1:11" ht="14.4">
      <c r="A134" s="5" t="str">
        <f>F134&amp;(COUNTIFS(F$2:F134,F134,K$2:K134,"Sparse"))</f>
        <v>SD25</v>
      </c>
      <c r="B134" s="5" t="str">
        <f>J134&amp;(COUNTIF(J$2:J134,J134))</f>
        <v>North Yorkshire3</v>
      </c>
      <c r="C134" s="8" t="s">
        <v>81</v>
      </c>
      <c r="D134" s="8" t="s">
        <v>81</v>
      </c>
      <c r="E134" s="9" t="s">
        <v>384</v>
      </c>
      <c r="F134" s="9" t="s">
        <v>380</v>
      </c>
      <c r="G134" s="9" t="s">
        <v>5</v>
      </c>
      <c r="H134" s="12" t="s">
        <v>891</v>
      </c>
      <c r="I134" s="11" t="s">
        <v>370</v>
      </c>
      <c r="J134" t="s">
        <v>320</v>
      </c>
      <c r="K134" s="21" t="s">
        <v>335</v>
      </c>
    </row>
    <row r="135" spans="1:11" ht="14.4">
      <c r="A135" s="5" t="str">
        <f>F135&amp;(COUNTIFS(F$2:F135,F135,K$2:K135,"Sparse"))</f>
        <v>L0</v>
      </c>
      <c r="B135" s="5" t="str">
        <f>J135&amp;(COUNTIF(J$2:J135,J135))</f>
        <v>London15</v>
      </c>
      <c r="C135" s="8" t="s">
        <v>207</v>
      </c>
      <c r="D135" s="8" t="s">
        <v>207</v>
      </c>
      <c r="E135" s="9" t="s">
        <v>382</v>
      </c>
      <c r="F135" s="9" t="s">
        <v>358</v>
      </c>
      <c r="G135" s="9" t="s">
        <v>382</v>
      </c>
      <c r="H135" s="10" t="s">
        <v>893</v>
      </c>
      <c r="I135" s="11" t="s">
        <v>383</v>
      </c>
      <c r="J135" t="str">
        <f>G135</f>
        <v>London</v>
      </c>
      <c r="K135" s="21"/>
    </row>
    <row r="136" spans="1:11" ht="14.4">
      <c r="A136" s="5" t="str">
        <f>F136&amp;(COUNTIFS(F$2:F136,F136,K$2:K136,"Sparse"))</f>
        <v>SD25</v>
      </c>
      <c r="B136" s="5" t="str">
        <f>J136&amp;(COUNTIF(J$2:J136,J136))</f>
        <v>Hampshire7</v>
      </c>
      <c r="C136" s="8" t="s">
        <v>82</v>
      </c>
      <c r="D136" s="8" t="s">
        <v>82</v>
      </c>
      <c r="E136" s="9" t="s">
        <v>0</v>
      </c>
      <c r="F136" s="9" t="s">
        <v>380</v>
      </c>
      <c r="G136" s="9" t="s">
        <v>5</v>
      </c>
      <c r="H136" s="12" t="s">
        <v>891</v>
      </c>
      <c r="I136" s="11" t="s">
        <v>370</v>
      </c>
      <c r="J136" t="s">
        <v>313</v>
      </c>
      <c r="K136" s="21"/>
    </row>
    <row r="137" spans="1:11" ht="14.4">
      <c r="A137" s="5" t="str">
        <f>F137&amp;(COUNTIFS(F$2:F137,F137,K$2:K137,"Sparse"))</f>
        <v>UA4</v>
      </c>
      <c r="B137" s="5" t="str">
        <f>J137&amp;(COUNTIF(J$2:J137,J137))</f>
        <v>Unitary20</v>
      </c>
      <c r="C137" s="8" t="s">
        <v>269</v>
      </c>
      <c r="D137" s="8" t="s">
        <v>269</v>
      </c>
      <c r="E137" s="9" t="s">
        <v>389</v>
      </c>
      <c r="F137" s="9" t="s">
        <v>386</v>
      </c>
      <c r="G137" s="9" t="s">
        <v>395</v>
      </c>
      <c r="H137" s="10" t="s">
        <v>888</v>
      </c>
      <c r="I137" s="11" t="s">
        <v>383</v>
      </c>
      <c r="J137" s="22" t="s">
        <v>395</v>
      </c>
      <c r="K137" s="21"/>
    </row>
    <row r="138" spans="1:11" ht="14.4">
      <c r="A138" s="5" t="str">
        <f>F138&amp;(COUNTIFS(F$2:F138,F138,K$2:K138,"Sparse"))</f>
        <v>SD25</v>
      </c>
      <c r="B138" s="5" t="str">
        <f>J138&amp;(COUNTIF(J$2:J138,J138))</f>
        <v>East Sussex3</v>
      </c>
      <c r="C138" s="8" t="s">
        <v>83</v>
      </c>
      <c r="D138" s="8" t="s">
        <v>83</v>
      </c>
      <c r="E138" s="9" t="s">
        <v>0</v>
      </c>
      <c r="F138" s="9" t="s">
        <v>380</v>
      </c>
      <c r="G138" s="9" t="s">
        <v>5</v>
      </c>
      <c r="H138" s="10" t="s">
        <v>888</v>
      </c>
      <c r="I138" s="11" t="s">
        <v>383</v>
      </c>
      <c r="J138" t="s">
        <v>310</v>
      </c>
      <c r="K138" s="21"/>
    </row>
    <row r="139" spans="1:11" ht="14.4">
      <c r="A139" s="5" t="str">
        <f>F139&amp;(COUNTIFS(F$2:F139,F139,K$2:K139,"Sparse"))</f>
        <v>SD25</v>
      </c>
      <c r="B139" s="5" t="str">
        <f>J139&amp;(COUNTIF(J$2:J139,J139))</f>
        <v>Hampshire8</v>
      </c>
      <c r="C139" s="8" t="s">
        <v>84</v>
      </c>
      <c r="D139" s="8" t="s">
        <v>84</v>
      </c>
      <c r="E139" s="9" t="s">
        <v>0</v>
      </c>
      <c r="F139" s="9" t="s">
        <v>380</v>
      </c>
      <c r="G139" s="9" t="s">
        <v>5</v>
      </c>
      <c r="H139" s="10" t="s">
        <v>888</v>
      </c>
      <c r="I139" s="11" t="s">
        <v>383</v>
      </c>
      <c r="J139" t="s">
        <v>313</v>
      </c>
      <c r="K139" s="21"/>
    </row>
    <row r="140" spans="1:11" ht="14.4">
      <c r="A140" s="5" t="str">
        <f>F140&amp;(COUNTIFS(F$2:F140,F140,K$2:K140,"Sparse"))</f>
        <v>L0</v>
      </c>
      <c r="B140" s="5" t="str">
        <f>J140&amp;(COUNTIF(J$2:J140,J140))</f>
        <v>London16</v>
      </c>
      <c r="C140" s="8" t="s">
        <v>208</v>
      </c>
      <c r="D140" s="8" t="s">
        <v>208</v>
      </c>
      <c r="E140" s="9" t="s">
        <v>382</v>
      </c>
      <c r="F140" s="9" t="s">
        <v>358</v>
      </c>
      <c r="G140" s="9" t="s">
        <v>382</v>
      </c>
      <c r="H140" s="10" t="s">
        <v>893</v>
      </c>
      <c r="I140" s="11" t="s">
        <v>383</v>
      </c>
      <c r="J140" t="str">
        <f>G140</f>
        <v>London</v>
      </c>
      <c r="K140" s="21"/>
    </row>
    <row r="141" spans="1:11" ht="14.4">
      <c r="A141" s="5" t="str">
        <f>F141&amp;(COUNTIFS(F$2:F141,F141,K$2:K141,"Sparse"))</f>
        <v>UA5</v>
      </c>
      <c r="B141" s="5" t="str">
        <f>J141&amp;(COUNTIF(J$2:J141,J141))</f>
        <v>Unitary21</v>
      </c>
      <c r="C141" s="8" t="s">
        <v>816</v>
      </c>
      <c r="D141" s="8" t="s">
        <v>390</v>
      </c>
      <c r="E141" s="9" t="s">
        <v>367</v>
      </c>
      <c r="F141" s="9" t="s">
        <v>386</v>
      </c>
      <c r="G141" s="9" t="s">
        <v>395</v>
      </c>
      <c r="H141" s="10" t="s">
        <v>892</v>
      </c>
      <c r="I141" s="11" t="s">
        <v>381</v>
      </c>
      <c r="J141" s="22" t="s">
        <v>395</v>
      </c>
      <c r="K141" s="21" t="s">
        <v>335</v>
      </c>
    </row>
    <row r="142" spans="1:11" ht="14.4">
      <c r="A142" s="5" t="str">
        <f>F142&amp;(COUNTIFS(F$2:F142,F142,K$2:K142,"Sparse"))</f>
        <v>SC6</v>
      </c>
      <c r="B142" s="5" t="str">
        <f>J142&amp;(COUNTIF(J$2:J142,J142))</f>
        <v>Hertfordshire4</v>
      </c>
      <c r="C142" s="11" t="s">
        <v>314</v>
      </c>
      <c r="D142" s="11" t="s">
        <v>314</v>
      </c>
      <c r="E142" s="9" t="s">
        <v>368</v>
      </c>
      <c r="F142" s="9" t="s">
        <v>388</v>
      </c>
      <c r="G142" s="9" t="s">
        <v>301</v>
      </c>
      <c r="H142" s="11" t="s">
        <v>383</v>
      </c>
      <c r="I142" s="11" t="s">
        <v>383</v>
      </c>
      <c r="J142" t="str">
        <f>C142</f>
        <v>Hertfordshire</v>
      </c>
      <c r="K142" s="21"/>
    </row>
    <row r="143" spans="1:11" ht="14.4">
      <c r="A143" s="5" t="str">
        <f>F143&amp;(COUNTIFS(F$2:F143,F143,K$2:K143,"Sparse"))</f>
        <v>SD25</v>
      </c>
      <c r="B143" s="5" t="str">
        <f>J143&amp;(COUNTIF(J$2:J143,J143))</f>
        <v>Hertfordshire5</v>
      </c>
      <c r="C143" s="8" t="s">
        <v>85</v>
      </c>
      <c r="D143" s="8" t="s">
        <v>85</v>
      </c>
      <c r="E143" s="9" t="s">
        <v>368</v>
      </c>
      <c r="F143" s="9" t="s">
        <v>380</v>
      </c>
      <c r="G143" s="9" t="s">
        <v>5</v>
      </c>
      <c r="H143" s="12" t="s">
        <v>893</v>
      </c>
      <c r="I143" s="11" t="s">
        <v>383</v>
      </c>
      <c r="J143" t="s">
        <v>314</v>
      </c>
      <c r="K143" s="21"/>
    </row>
    <row r="144" spans="1:11" ht="14.4">
      <c r="A144" s="5" t="str">
        <f>F144&amp;(COUNTIFS(F$2:F144,F144,K$2:K144,"Sparse"))</f>
        <v>SD25</v>
      </c>
      <c r="B144" s="5" t="str">
        <f>J144&amp;(COUNTIF(J$2:J144,J144))</f>
        <v>Derbyshire7</v>
      </c>
      <c r="C144" s="8" t="s">
        <v>86</v>
      </c>
      <c r="D144" s="8" t="s">
        <v>86</v>
      </c>
      <c r="E144" s="9" t="s">
        <v>366</v>
      </c>
      <c r="F144" s="9" t="s">
        <v>380</v>
      </c>
      <c r="G144" s="9" t="s">
        <v>5</v>
      </c>
      <c r="H144" s="10" t="s">
        <v>892</v>
      </c>
      <c r="I144" s="11" t="s">
        <v>381</v>
      </c>
      <c r="J144" t="s">
        <v>307</v>
      </c>
      <c r="K144" s="21"/>
    </row>
    <row r="145" spans="1:11" ht="14.4">
      <c r="A145" s="5" t="str">
        <f>F145&amp;(COUNTIFS(F$2:F145,F145,K$2:K145,"Sparse"))</f>
        <v>L0</v>
      </c>
      <c r="B145" s="5" t="str">
        <f>J145&amp;(COUNTIF(J$2:J145,J145))</f>
        <v>London17</v>
      </c>
      <c r="C145" s="8" t="s">
        <v>209</v>
      </c>
      <c r="D145" s="8" t="s">
        <v>209</v>
      </c>
      <c r="E145" s="9" t="s">
        <v>382</v>
      </c>
      <c r="F145" s="9" t="s">
        <v>358</v>
      </c>
      <c r="G145" s="9" t="s">
        <v>382</v>
      </c>
      <c r="H145" s="10" t="s">
        <v>893</v>
      </c>
      <c r="I145" s="11" t="s">
        <v>383</v>
      </c>
      <c r="J145" t="str">
        <f>G145</f>
        <v>London</v>
      </c>
      <c r="K145" s="21"/>
    </row>
    <row r="146" spans="1:11" ht="14.4">
      <c r="A146" s="5" t="str">
        <f>F146&amp;(COUNTIFS(F$2:F146,F146,K$2:K146,"Sparse"))</f>
        <v>SD25</v>
      </c>
      <c r="B146" s="5" t="str">
        <f>J146&amp;(COUNTIF(J$2:J146,J146))</f>
        <v>Leicestershire4</v>
      </c>
      <c r="C146" s="8" t="s">
        <v>344</v>
      </c>
      <c r="D146" s="8" t="s">
        <v>344</v>
      </c>
      <c r="E146" s="9" t="s">
        <v>366</v>
      </c>
      <c r="F146" s="9" t="s">
        <v>380</v>
      </c>
      <c r="G146" s="9" t="s">
        <v>5</v>
      </c>
      <c r="H146" s="12" t="s">
        <v>892</v>
      </c>
      <c r="I146" s="11" t="s">
        <v>381</v>
      </c>
      <c r="J146" t="s">
        <v>317</v>
      </c>
      <c r="K146" s="21"/>
    </row>
    <row r="147" spans="1:11" ht="14.4">
      <c r="A147" s="5" t="str">
        <f>F147&amp;(COUNTIFS(F$2:F147,F147,K$2:K147,"Sparse"))</f>
        <v>SD25</v>
      </c>
      <c r="B147" s="5" t="str">
        <f>J147&amp;(COUNTIF(J$2:J147,J147))</f>
        <v>West Sussex5</v>
      </c>
      <c r="C147" s="8" t="s">
        <v>87</v>
      </c>
      <c r="D147" s="8" t="s">
        <v>87</v>
      </c>
      <c r="E147" s="9" t="s">
        <v>0</v>
      </c>
      <c r="F147" s="9" t="s">
        <v>380</v>
      </c>
      <c r="G147" s="9" t="s">
        <v>5</v>
      </c>
      <c r="H147" s="10" t="s">
        <v>892</v>
      </c>
      <c r="I147" s="11" t="s">
        <v>381</v>
      </c>
      <c r="J147" t="s">
        <v>331</v>
      </c>
      <c r="K147" s="21"/>
    </row>
    <row r="148" spans="1:11" ht="14.4">
      <c r="A148" s="5" t="str">
        <f>F148&amp;(COUNTIFS(F$2:F148,F148,K$2:K148,"Sparse"))</f>
        <v>L0</v>
      </c>
      <c r="B148" s="5" t="str">
        <f>J148&amp;(COUNTIF(J$2:J148,J148))</f>
        <v>London18</v>
      </c>
      <c r="C148" s="8" t="s">
        <v>210</v>
      </c>
      <c r="D148" s="8" t="s">
        <v>210</v>
      </c>
      <c r="E148" s="9" t="s">
        <v>382</v>
      </c>
      <c r="F148" s="9" t="s">
        <v>358</v>
      </c>
      <c r="G148" s="9" t="s">
        <v>382</v>
      </c>
      <c r="H148" s="10" t="s">
        <v>893</v>
      </c>
      <c r="I148" s="11" t="s">
        <v>383</v>
      </c>
      <c r="J148" t="str">
        <f>G148</f>
        <v>London</v>
      </c>
      <c r="K148" s="21"/>
    </row>
    <row r="149" spans="1:11" ht="14.4">
      <c r="A149" s="5" t="str">
        <f>F149&amp;(COUNTIFS(F$2:F149,F149,K$2:K149,"Sparse"))</f>
        <v>SD26</v>
      </c>
      <c r="B149" s="5" t="str">
        <f>J149&amp;(COUNTIF(J$2:J149,J149))</f>
        <v>Cambridgeshire5</v>
      </c>
      <c r="C149" s="8" t="s">
        <v>88</v>
      </c>
      <c r="D149" s="8" t="s">
        <v>88</v>
      </c>
      <c r="E149" s="9" t="s">
        <v>368</v>
      </c>
      <c r="F149" s="9" t="s">
        <v>380</v>
      </c>
      <c r="G149" s="9" t="s">
        <v>5</v>
      </c>
      <c r="H149" s="10" t="s">
        <v>889</v>
      </c>
      <c r="I149" s="11" t="s">
        <v>381</v>
      </c>
      <c r="J149" t="s">
        <v>302</v>
      </c>
      <c r="K149" s="21" t="s">
        <v>335</v>
      </c>
    </row>
    <row r="150" spans="1:11" ht="14.4">
      <c r="A150" s="5" t="str">
        <f>F150&amp;(COUNTIFS(F$2:F150,F150,K$2:K150,"Sparse"))</f>
        <v>SD26</v>
      </c>
      <c r="B150" s="5" t="str">
        <f>J150&amp;(COUNTIF(J$2:J150,J150))</f>
        <v>Lancashire4</v>
      </c>
      <c r="C150" s="8" t="s">
        <v>89</v>
      </c>
      <c r="D150" s="8" t="s">
        <v>89</v>
      </c>
      <c r="E150" s="9" t="s">
        <v>375</v>
      </c>
      <c r="F150" s="9" t="s">
        <v>380</v>
      </c>
      <c r="G150" s="9" t="s">
        <v>5</v>
      </c>
      <c r="H150" s="10" t="s">
        <v>888</v>
      </c>
      <c r="I150" s="11" t="s">
        <v>383</v>
      </c>
      <c r="J150" t="s">
        <v>316</v>
      </c>
      <c r="K150" s="21"/>
    </row>
    <row r="151" spans="1:11" ht="14.4">
      <c r="A151" s="5" t="str">
        <f>F151&amp;(COUNTIFS(F$2:F151,F151,K$2:K151,"Sparse"))</f>
        <v>SD26</v>
      </c>
      <c r="B151" s="5" t="str">
        <f>J151&amp;(COUNTIF(J$2:J151,J151))</f>
        <v>Suffolk4</v>
      </c>
      <c r="C151" s="8" t="s">
        <v>90</v>
      </c>
      <c r="D151" s="8" t="s">
        <v>90</v>
      </c>
      <c r="E151" s="9" t="s">
        <v>368</v>
      </c>
      <c r="F151" s="9" t="s">
        <v>380</v>
      </c>
      <c r="G151" s="9" t="s">
        <v>5</v>
      </c>
      <c r="H151" s="10" t="s">
        <v>888</v>
      </c>
      <c r="I151" s="11" t="s">
        <v>383</v>
      </c>
      <c r="J151" t="s">
        <v>328</v>
      </c>
      <c r="K151" s="21"/>
    </row>
    <row r="152" spans="1:11" ht="14.4">
      <c r="A152" s="5" t="str">
        <f>F152&amp;(COUNTIFS(F$2:F152,F152,K$2:K152,"Sparse"))</f>
        <v>UA6</v>
      </c>
      <c r="B152" s="5" t="str">
        <f>J152&amp;(COUNTIF(J$2:J152,J152))</f>
        <v>Unitary22</v>
      </c>
      <c r="C152" s="8" t="s">
        <v>270</v>
      </c>
      <c r="D152" s="8" t="s">
        <v>270</v>
      </c>
      <c r="E152" s="9" t="s">
        <v>0</v>
      </c>
      <c r="F152" s="9" t="s">
        <v>386</v>
      </c>
      <c r="G152" s="9" t="s">
        <v>395</v>
      </c>
      <c r="H152" s="10" t="s">
        <v>889</v>
      </c>
      <c r="I152" s="11" t="s">
        <v>381</v>
      </c>
      <c r="J152" s="22" t="s">
        <v>395</v>
      </c>
      <c r="K152" s="21" t="s">
        <v>335</v>
      </c>
    </row>
    <row r="153" spans="1:11" ht="14.4">
      <c r="A153" s="5" t="str">
        <f>F153&amp;(COUNTIFS(F$2:F153,F153,K$2:K153,"Sparse"))</f>
        <v>00</v>
      </c>
      <c r="B153" s="5" t="str">
        <f>J153&amp;(COUNTIF(J$2:J153,J153))</f>
        <v>0</v>
      </c>
      <c r="C153" s="8" t="s">
        <v>2</v>
      </c>
      <c r="D153" s="8" t="s">
        <v>2</v>
      </c>
      <c r="E153" s="9" t="s">
        <v>1</v>
      </c>
      <c r="F153" s="9">
        <v>0</v>
      </c>
      <c r="G153" s="22" t="s">
        <v>399</v>
      </c>
      <c r="H153" s="10" t="s">
        <v>889</v>
      </c>
      <c r="I153" s="11" t="s">
        <v>381</v>
      </c>
      <c r="K153" s="21"/>
    </row>
    <row r="154" spans="1:11" ht="14.4">
      <c r="A154" s="5" t="str">
        <f>F154&amp;(COUNTIFS(F$2:F154,F154,K$2:K154,"Sparse"))</f>
        <v>L0</v>
      </c>
      <c r="B154" s="5" t="str">
        <f>J154&amp;(COUNTIF(J$2:J154,J154))</f>
        <v>London19</v>
      </c>
      <c r="C154" s="8" t="s">
        <v>211</v>
      </c>
      <c r="D154" s="8" t="s">
        <v>211</v>
      </c>
      <c r="E154" s="9" t="s">
        <v>382</v>
      </c>
      <c r="F154" s="9" t="s">
        <v>358</v>
      </c>
      <c r="G154" s="9" t="s">
        <v>382</v>
      </c>
      <c r="H154" s="10" t="s">
        <v>893</v>
      </c>
      <c r="I154" s="11" t="s">
        <v>383</v>
      </c>
      <c r="J154" t="str">
        <f>G154</f>
        <v>London</v>
      </c>
      <c r="K154" s="21"/>
    </row>
    <row r="155" spans="1:11" ht="14.4">
      <c r="A155" s="5" t="str">
        <f>F155&amp;(COUNTIFS(F$2:F155,F155,K$2:K155,"Sparse"))</f>
        <v>L0</v>
      </c>
      <c r="B155" s="5" t="str">
        <f>J155&amp;(COUNTIF(J$2:J155,J155))</f>
        <v>London20</v>
      </c>
      <c r="C155" s="8" t="s">
        <v>337</v>
      </c>
      <c r="D155" s="8" t="s">
        <v>337</v>
      </c>
      <c r="E155" s="9" t="s">
        <v>382</v>
      </c>
      <c r="F155" s="9" t="s">
        <v>358</v>
      </c>
      <c r="G155" s="9" t="s">
        <v>382</v>
      </c>
      <c r="H155" s="10" t="s">
        <v>893</v>
      </c>
      <c r="I155" s="11" t="s">
        <v>383</v>
      </c>
      <c r="J155" t="str">
        <f>G155</f>
        <v>London</v>
      </c>
      <c r="K155" s="21"/>
    </row>
    <row r="156" spans="1:11" ht="14.4">
      <c r="A156" s="5" t="str">
        <f>F156&amp;(COUNTIFS(F$2:F156,F156,K$2:K156,"Sparse"))</f>
        <v>SC6</v>
      </c>
      <c r="B156" s="5" t="str">
        <f>J156&amp;(COUNTIF(J$2:J156,J156))</f>
        <v>Kent6</v>
      </c>
      <c r="C156" s="11" t="s">
        <v>315</v>
      </c>
      <c r="D156" s="11" t="s">
        <v>315</v>
      </c>
      <c r="E156" s="9" t="s">
        <v>368</v>
      </c>
      <c r="F156" s="9" t="s">
        <v>388</v>
      </c>
      <c r="G156" s="9" t="s">
        <v>301</v>
      </c>
      <c r="H156" s="11" t="s">
        <v>370</v>
      </c>
      <c r="I156" s="11" t="s">
        <v>370</v>
      </c>
      <c r="J156" t="str">
        <f>C156</f>
        <v>Kent</v>
      </c>
      <c r="K156" s="21"/>
    </row>
    <row r="157" spans="1:11" ht="14.4">
      <c r="A157" s="5" t="str">
        <f>F157&amp;(COUNTIFS(F$2:F157,F157,K$2:K157,"Sparse"))</f>
        <v>SD26</v>
      </c>
      <c r="B157" s="5" t="str">
        <f>J157&amp;(COUNTIF(J$2:J157,J157))</f>
        <v>Northamptonshire4</v>
      </c>
      <c r="C157" s="8" t="s">
        <v>91</v>
      </c>
      <c r="D157" s="8" t="s">
        <v>91</v>
      </c>
      <c r="E157" s="9" t="s">
        <v>366</v>
      </c>
      <c r="F157" s="9" t="s">
        <v>380</v>
      </c>
      <c r="G157" s="9" t="s">
        <v>5</v>
      </c>
      <c r="H157" s="12" t="s">
        <v>888</v>
      </c>
      <c r="I157" s="11" t="s">
        <v>383</v>
      </c>
      <c r="J157" t="s">
        <v>321</v>
      </c>
      <c r="K157" s="21"/>
    </row>
    <row r="158" spans="1:11" ht="14.4">
      <c r="A158" s="5" t="str">
        <f>F158&amp;(COUNTIFS(F$2:F158,F158,K$2:K158,"Sparse"))</f>
        <v>SD27</v>
      </c>
      <c r="B158" s="5" t="str">
        <f>J158&amp;(COUNTIF(J$2:J158,J158))</f>
        <v>Norfolk4</v>
      </c>
      <c r="C158" s="8" t="s">
        <v>376</v>
      </c>
      <c r="D158" s="8" t="s">
        <v>376</v>
      </c>
      <c r="E158" s="9" t="s">
        <v>368</v>
      </c>
      <c r="F158" s="9" t="s">
        <v>380</v>
      </c>
      <c r="G158" s="9" t="s">
        <v>5</v>
      </c>
      <c r="H158" s="10" t="s">
        <v>892</v>
      </c>
      <c r="I158" s="11" t="s">
        <v>381</v>
      </c>
      <c r="J158" t="s">
        <v>319</v>
      </c>
      <c r="K158" s="21" t="s">
        <v>335</v>
      </c>
    </row>
    <row r="159" spans="1:11" ht="14.4">
      <c r="A159" s="5" t="str">
        <f>F159&amp;(COUNTIFS(F$2:F159,F159,K$2:K159,"Sparse"))</f>
        <v>UA6</v>
      </c>
      <c r="B159" s="5" t="str">
        <f>J159&amp;(COUNTIF(J$2:J159,J159))</f>
        <v>Unitary23</v>
      </c>
      <c r="C159" s="8" t="s">
        <v>817</v>
      </c>
      <c r="D159" s="8" t="s">
        <v>391</v>
      </c>
      <c r="E159" s="9" t="s">
        <v>384</v>
      </c>
      <c r="F159" s="9" t="s">
        <v>386</v>
      </c>
      <c r="G159" s="9" t="s">
        <v>395</v>
      </c>
      <c r="H159" s="10" t="s">
        <v>888</v>
      </c>
      <c r="I159" s="11" t="s">
        <v>383</v>
      </c>
      <c r="J159" s="22" t="s">
        <v>395</v>
      </c>
      <c r="K159" s="21"/>
    </row>
    <row r="160" spans="1:11" ht="14.4">
      <c r="A160" s="5" t="str">
        <f>F160&amp;(COUNTIFS(F$2:F160,F160,K$2:K160,"Sparse"))</f>
        <v>L0</v>
      </c>
      <c r="B160" s="5" t="str">
        <f>J160&amp;(COUNTIF(J$2:J160,J160))</f>
        <v>London21</v>
      </c>
      <c r="C160" s="8" t="s">
        <v>392</v>
      </c>
      <c r="D160" s="8" t="s">
        <v>392</v>
      </c>
      <c r="E160" s="9" t="s">
        <v>382</v>
      </c>
      <c r="F160" s="9" t="s">
        <v>358</v>
      </c>
      <c r="G160" s="9" t="s">
        <v>382</v>
      </c>
      <c r="H160" s="10" t="s">
        <v>893</v>
      </c>
      <c r="I160" s="11" t="s">
        <v>383</v>
      </c>
      <c r="J160" t="str">
        <f>G160</f>
        <v>London</v>
      </c>
      <c r="K160" s="21"/>
    </row>
    <row r="161" spans="1:11" ht="14.4">
      <c r="A161" s="5" t="str">
        <f>F161&amp;(COUNTIFS(F$2:F161,F161,K$2:K161,"Sparse"))</f>
        <v>MD0</v>
      </c>
      <c r="B161" s="5" t="str">
        <f>J161&amp;(COUNTIF(J$2:J161,J161))</f>
        <v>Kirklees1</v>
      </c>
      <c r="C161" s="8" t="s">
        <v>232</v>
      </c>
      <c r="D161" s="8" t="s">
        <v>232</v>
      </c>
      <c r="E161" s="9" t="s">
        <v>384</v>
      </c>
      <c r="F161" s="9" t="s">
        <v>385</v>
      </c>
      <c r="G161" s="9" t="s">
        <v>396</v>
      </c>
      <c r="H161" s="10" t="s">
        <v>893</v>
      </c>
      <c r="I161" s="11" t="s">
        <v>383</v>
      </c>
      <c r="J161" t="str">
        <f>C161</f>
        <v>Kirklees</v>
      </c>
      <c r="K161" s="21"/>
    </row>
    <row r="162" spans="1:11" ht="14.4">
      <c r="A162" s="5" t="str">
        <f>F162&amp;(COUNTIFS(F$2:F162,F162,K$2:K162,"Sparse"))</f>
        <v>MD0</v>
      </c>
      <c r="B162" s="5" t="str">
        <f>J162&amp;(COUNTIF(J$2:J162,J162))</f>
        <v>Knowsley1</v>
      </c>
      <c r="C162" s="8" t="s">
        <v>233</v>
      </c>
      <c r="D162" s="8" t="s">
        <v>233</v>
      </c>
      <c r="E162" s="9" t="s">
        <v>375</v>
      </c>
      <c r="F162" s="9" t="s">
        <v>385</v>
      </c>
      <c r="G162" s="9" t="s">
        <v>396</v>
      </c>
      <c r="H162" s="10" t="s">
        <v>893</v>
      </c>
      <c r="I162" s="11" t="s">
        <v>383</v>
      </c>
      <c r="J162" t="str">
        <f>C162</f>
        <v>Knowsley</v>
      </c>
      <c r="K162" s="21"/>
    </row>
    <row r="163" spans="1:11" ht="14.4">
      <c r="A163" s="5" t="str">
        <f>F163&amp;(COUNTIFS(F$2:F163,F163,K$2:K163,"Sparse"))</f>
        <v>L0</v>
      </c>
      <c r="B163" s="5" t="str">
        <f>J163&amp;(COUNTIF(J$2:J163,J163))</f>
        <v>London22</v>
      </c>
      <c r="C163" s="8" t="s">
        <v>212</v>
      </c>
      <c r="D163" s="8" t="s">
        <v>212</v>
      </c>
      <c r="E163" s="9" t="s">
        <v>382</v>
      </c>
      <c r="F163" s="9" t="s">
        <v>358</v>
      </c>
      <c r="G163" s="9" t="s">
        <v>382</v>
      </c>
      <c r="H163" s="10" t="s">
        <v>893</v>
      </c>
      <c r="I163" s="11" t="s">
        <v>383</v>
      </c>
      <c r="J163" t="str">
        <f>G163</f>
        <v>London</v>
      </c>
      <c r="K163" s="21"/>
    </row>
    <row r="164" spans="1:11" ht="14.4">
      <c r="A164" s="5" t="str">
        <f>F164&amp;(COUNTIFS(F$2:F164,F164,K$2:K164,"Sparse"))</f>
        <v>SC7</v>
      </c>
      <c r="B164" s="5" t="str">
        <f>J164&amp;(COUNTIF(J$2:J164,J164))</f>
        <v>Lancashire5</v>
      </c>
      <c r="C164" s="11" t="s">
        <v>316</v>
      </c>
      <c r="D164" s="11" t="s">
        <v>316</v>
      </c>
      <c r="E164" s="9" t="s">
        <v>375</v>
      </c>
      <c r="F164" s="9" t="s">
        <v>388</v>
      </c>
      <c r="G164" s="9" t="s">
        <v>301</v>
      </c>
      <c r="H164" s="11" t="s">
        <v>370</v>
      </c>
      <c r="I164" s="11" t="s">
        <v>370</v>
      </c>
      <c r="J164" t="str">
        <f>C164</f>
        <v>Lancashire</v>
      </c>
      <c r="K164" s="21" t="s">
        <v>335</v>
      </c>
    </row>
    <row r="165" spans="1:11" ht="14.4">
      <c r="A165" s="5" t="str">
        <f>F165&amp;(COUNTIFS(F$2:F165,F165,K$2:K165,"Sparse"))</f>
        <v>SD27</v>
      </c>
      <c r="B165" s="5" t="str">
        <f>J165&amp;(COUNTIF(J$2:J165,J165))</f>
        <v>Lancashire6</v>
      </c>
      <c r="C165" s="8" t="s">
        <v>92</v>
      </c>
      <c r="D165" s="8" t="s">
        <v>92</v>
      </c>
      <c r="E165" s="9" t="s">
        <v>375</v>
      </c>
      <c r="F165" s="9" t="s">
        <v>380</v>
      </c>
      <c r="G165" s="9" t="s">
        <v>5</v>
      </c>
      <c r="H165" s="12" t="s">
        <v>891</v>
      </c>
      <c r="I165" s="11" t="s">
        <v>370</v>
      </c>
      <c r="J165" t="s">
        <v>316</v>
      </c>
      <c r="K165" s="21"/>
    </row>
    <row r="166" spans="1:11" ht="14.4">
      <c r="A166" s="5" t="str">
        <f>F166&amp;(COUNTIFS(F$2:F166,F166,K$2:K166,"Sparse"))</f>
        <v>MD0</v>
      </c>
      <c r="B166" s="5" t="str">
        <f>J166&amp;(COUNTIF(J$2:J166,J166))</f>
        <v>Leeds1</v>
      </c>
      <c r="C166" s="8" t="s">
        <v>234</v>
      </c>
      <c r="D166" s="8" t="s">
        <v>234</v>
      </c>
      <c r="E166" s="9" t="s">
        <v>384</v>
      </c>
      <c r="F166" s="9" t="s">
        <v>385</v>
      </c>
      <c r="G166" s="9" t="s">
        <v>396</v>
      </c>
      <c r="H166" s="10" t="s">
        <v>893</v>
      </c>
      <c r="I166" s="11" t="s">
        <v>383</v>
      </c>
      <c r="J166" t="str">
        <f>C166</f>
        <v>Leeds</v>
      </c>
      <c r="K166" s="21"/>
    </row>
    <row r="167" spans="1:11" ht="14.4">
      <c r="A167" s="5" t="str">
        <f>F167&amp;(COUNTIFS(F$2:F167,F167,K$2:K167,"Sparse"))</f>
        <v>UA6</v>
      </c>
      <c r="B167" s="5" t="str">
        <f>J167&amp;(COUNTIF(J$2:J167,J167))</f>
        <v>Unitary24</v>
      </c>
      <c r="C167" s="8" t="s">
        <v>271</v>
      </c>
      <c r="D167" s="8" t="s">
        <v>271</v>
      </c>
      <c r="E167" s="9" t="s">
        <v>366</v>
      </c>
      <c r="F167" s="9" t="s">
        <v>386</v>
      </c>
      <c r="G167" s="9" t="s">
        <v>395</v>
      </c>
      <c r="H167" s="10" t="s">
        <v>888</v>
      </c>
      <c r="I167" s="11" t="s">
        <v>383</v>
      </c>
      <c r="J167" s="22" t="s">
        <v>395</v>
      </c>
      <c r="K167" s="21"/>
    </row>
    <row r="168" spans="1:11" ht="14.4">
      <c r="A168" s="5" t="str">
        <f>F168&amp;(COUNTIFS(F$2:F168,F168,K$2:K168,"Sparse"))</f>
        <v>SC8</v>
      </c>
      <c r="B168" s="5" t="str">
        <f>J168&amp;(COUNTIF(J$2:J168,J168))</f>
        <v>Leicestershire5</v>
      </c>
      <c r="C168" s="11" t="s">
        <v>317</v>
      </c>
      <c r="D168" s="11" t="s">
        <v>317</v>
      </c>
      <c r="E168" s="9" t="s">
        <v>366</v>
      </c>
      <c r="F168" s="9" t="s">
        <v>388</v>
      </c>
      <c r="G168" s="9" t="s">
        <v>301</v>
      </c>
      <c r="H168" s="11" t="s">
        <v>370</v>
      </c>
      <c r="I168" s="11" t="s">
        <v>370</v>
      </c>
      <c r="J168" t="str">
        <f>C168</f>
        <v>Leicestershire</v>
      </c>
      <c r="K168" s="21" t="s">
        <v>335</v>
      </c>
    </row>
    <row r="169" spans="1:11" ht="14.4">
      <c r="A169" s="5" t="str">
        <f>F169&amp;(COUNTIFS(F$2:F169,F169,K$2:K169,"Sparse"))</f>
        <v>SD28</v>
      </c>
      <c r="B169" s="5" t="str">
        <f>J169&amp;(COUNTIF(J$2:J169,J169))</f>
        <v>East Sussex4</v>
      </c>
      <c r="C169" s="8" t="s">
        <v>93</v>
      </c>
      <c r="D169" s="8" t="s">
        <v>93</v>
      </c>
      <c r="E169" s="9" t="s">
        <v>0</v>
      </c>
      <c r="F169" s="9" t="s">
        <v>380</v>
      </c>
      <c r="G169" s="9" t="s">
        <v>5</v>
      </c>
      <c r="H169" s="10" t="s">
        <v>891</v>
      </c>
      <c r="I169" s="11" t="s">
        <v>370</v>
      </c>
      <c r="J169" t="s">
        <v>310</v>
      </c>
      <c r="K169" s="21" t="s">
        <v>335</v>
      </c>
    </row>
    <row r="170" spans="1:11" ht="14.4">
      <c r="A170" s="5" t="str">
        <f>F170&amp;(COUNTIFS(F$2:F170,F170,K$2:K170,"Sparse"))</f>
        <v>L0</v>
      </c>
      <c r="B170" s="5" t="str">
        <f>J170&amp;(COUNTIF(J$2:J170,J170))</f>
        <v>London23</v>
      </c>
      <c r="C170" s="8" t="s">
        <v>213</v>
      </c>
      <c r="D170" s="8" t="s">
        <v>213</v>
      </c>
      <c r="E170" s="9" t="s">
        <v>382</v>
      </c>
      <c r="F170" s="9" t="s">
        <v>358</v>
      </c>
      <c r="G170" s="9" t="s">
        <v>382</v>
      </c>
      <c r="H170" s="10" t="s">
        <v>893</v>
      </c>
      <c r="I170" s="11" t="s">
        <v>383</v>
      </c>
      <c r="J170" t="str">
        <f>G170</f>
        <v>London</v>
      </c>
      <c r="K170" s="21"/>
    </row>
    <row r="171" spans="1:11" ht="14.4">
      <c r="A171" s="5" t="str">
        <f>F171&amp;(COUNTIFS(F$2:F171,F171,K$2:K171,"Sparse"))</f>
        <v>SD29</v>
      </c>
      <c r="B171" s="5" t="str">
        <f>J171&amp;(COUNTIF(J$2:J171,J171))</f>
        <v>Staffordshire3</v>
      </c>
      <c r="C171" s="8" t="s">
        <v>94</v>
      </c>
      <c r="D171" s="8" t="s">
        <v>94</v>
      </c>
      <c r="E171" s="9" t="s">
        <v>367</v>
      </c>
      <c r="F171" s="9" t="s">
        <v>380</v>
      </c>
      <c r="G171" s="9" t="s">
        <v>5</v>
      </c>
      <c r="H171" s="10" t="s">
        <v>891</v>
      </c>
      <c r="I171" s="11" t="s">
        <v>370</v>
      </c>
      <c r="J171" t="s">
        <v>327</v>
      </c>
      <c r="K171" s="21" t="s">
        <v>335</v>
      </c>
    </row>
    <row r="172" spans="1:11" ht="14.4">
      <c r="A172" s="5" t="str">
        <f>F172&amp;(COUNTIFS(F$2:F172,F172,K$2:K172,"Sparse"))</f>
        <v>SD29</v>
      </c>
      <c r="B172" s="5" t="str">
        <f>J172&amp;(COUNTIF(J$2:J172,J172))</f>
        <v>Lincolnshire3</v>
      </c>
      <c r="C172" s="8" t="s">
        <v>95</v>
      </c>
      <c r="D172" s="8" t="s">
        <v>95</v>
      </c>
      <c r="E172" s="9" t="s">
        <v>366</v>
      </c>
      <c r="F172" s="9" t="s">
        <v>380</v>
      </c>
      <c r="G172" s="9" t="s">
        <v>5</v>
      </c>
      <c r="H172" s="10" t="s">
        <v>888</v>
      </c>
      <c r="I172" s="11" t="s">
        <v>383</v>
      </c>
      <c r="J172" t="s">
        <v>318</v>
      </c>
      <c r="K172" s="21"/>
    </row>
    <row r="173" spans="1:11" ht="14.4">
      <c r="A173" s="5" t="str">
        <f>F173&amp;(COUNTIFS(F$2:F173,F173,K$2:K173,"Sparse"))</f>
        <v>SC9</v>
      </c>
      <c r="B173" s="5" t="str">
        <f>J173&amp;(COUNTIF(J$2:J173,J173))</f>
        <v>Lincolnshire4</v>
      </c>
      <c r="C173" s="11" t="s">
        <v>318</v>
      </c>
      <c r="D173" s="11" t="s">
        <v>318</v>
      </c>
      <c r="E173" s="9" t="s">
        <v>366</v>
      </c>
      <c r="F173" s="9" t="s">
        <v>388</v>
      </c>
      <c r="G173" s="9" t="s">
        <v>301</v>
      </c>
      <c r="H173" s="11" t="s">
        <v>381</v>
      </c>
      <c r="I173" s="11" t="s">
        <v>381</v>
      </c>
      <c r="J173" t="str">
        <f>C173</f>
        <v>Lincolnshire</v>
      </c>
      <c r="K173" s="21" t="s">
        <v>335</v>
      </c>
    </row>
    <row r="174" spans="1:11" ht="14.4">
      <c r="A174" s="5" t="str">
        <f>F174&amp;(COUNTIFS(F$2:F174,F174,K$2:K174,"Sparse"))</f>
        <v>MD0</v>
      </c>
      <c r="B174" s="5" t="str">
        <f>J174&amp;(COUNTIF(J$2:J174,J174))</f>
        <v>Liverpool1</v>
      </c>
      <c r="C174" s="8" t="s">
        <v>235</v>
      </c>
      <c r="D174" s="8" t="s">
        <v>235</v>
      </c>
      <c r="E174" s="9" t="s">
        <v>375</v>
      </c>
      <c r="F174" s="9" t="s">
        <v>385</v>
      </c>
      <c r="G174" s="9" t="s">
        <v>396</v>
      </c>
      <c r="H174" s="10" t="s">
        <v>893</v>
      </c>
      <c r="I174" s="11" t="s">
        <v>383</v>
      </c>
      <c r="J174" t="str">
        <f>C174</f>
        <v>Liverpool</v>
      </c>
      <c r="K174" s="21"/>
    </row>
    <row r="175" spans="1:11" ht="14.4">
      <c r="A175" s="5" t="str">
        <f>F175&amp;(COUNTIFS(F$2:F175,F175,K$2:K175,"Sparse"))</f>
        <v>UA6</v>
      </c>
      <c r="B175" s="5" t="str">
        <f>J175&amp;(COUNTIF(J$2:J175,J175))</f>
        <v>Unitary25</v>
      </c>
      <c r="C175" s="8" t="s">
        <v>272</v>
      </c>
      <c r="D175" s="8" t="s">
        <v>272</v>
      </c>
      <c r="E175" s="9" t="s">
        <v>368</v>
      </c>
      <c r="F175" s="9" t="s">
        <v>386</v>
      </c>
      <c r="G175" s="9" t="s">
        <v>395</v>
      </c>
      <c r="H175" s="10" t="s">
        <v>888</v>
      </c>
      <c r="I175" s="11" t="s">
        <v>383</v>
      </c>
      <c r="J175" s="22" t="s">
        <v>395</v>
      </c>
      <c r="K175" s="21"/>
    </row>
    <row r="176" spans="1:11" ht="14.4">
      <c r="A176" s="5" t="str">
        <f>F176&amp;(COUNTIFS(F$2:F176,F176,K$2:K176,"Sparse"))</f>
        <v>SD29</v>
      </c>
      <c r="B176" s="5" t="str">
        <f>J176&amp;(COUNTIF(J$2:J176,J176))</f>
        <v>Kent7</v>
      </c>
      <c r="C176" s="8" t="s">
        <v>96</v>
      </c>
      <c r="D176" s="8" t="s">
        <v>96</v>
      </c>
      <c r="E176" s="9" t="s">
        <v>0</v>
      </c>
      <c r="F176" s="9" t="s">
        <v>380</v>
      </c>
      <c r="G176" s="9" t="s">
        <v>5</v>
      </c>
      <c r="H176" s="12" t="s">
        <v>891</v>
      </c>
      <c r="I176" s="11" t="s">
        <v>370</v>
      </c>
      <c r="J176" t="s">
        <v>315</v>
      </c>
      <c r="K176" s="21"/>
    </row>
    <row r="177" spans="1:11" ht="14.4">
      <c r="A177" s="5" t="str">
        <f>F177&amp;(COUNTIFS(F$2:F177,F177,K$2:K177,"Sparse"))</f>
        <v>SD29</v>
      </c>
      <c r="B177" s="5" t="str">
        <f>J177&amp;(COUNTIF(J$2:J177,J177))</f>
        <v>Essex10</v>
      </c>
      <c r="C177" s="8" t="s">
        <v>97</v>
      </c>
      <c r="D177" s="8" t="s">
        <v>97</v>
      </c>
      <c r="E177" s="9" t="s">
        <v>368</v>
      </c>
      <c r="F177" s="9" t="s">
        <v>380</v>
      </c>
      <c r="G177" s="9" t="s">
        <v>5</v>
      </c>
      <c r="H177" s="10" t="s">
        <v>889</v>
      </c>
      <c r="I177" s="11" t="s">
        <v>381</v>
      </c>
      <c r="J177" t="s">
        <v>311</v>
      </c>
      <c r="K177" s="21"/>
    </row>
    <row r="178" spans="1:11" ht="14.4">
      <c r="A178" s="5" t="str">
        <f>F178&amp;(COUNTIFS(F$2:F178,F178,K$2:K178,"Sparse"))</f>
        <v>SD30</v>
      </c>
      <c r="B178" s="5" t="str">
        <f>J178&amp;(COUNTIF(J$2:J178,J178))</f>
        <v>Worcestershire2</v>
      </c>
      <c r="C178" s="8" t="s">
        <v>98</v>
      </c>
      <c r="D178" s="8" t="s">
        <v>98</v>
      </c>
      <c r="E178" s="9" t="s">
        <v>367</v>
      </c>
      <c r="F178" s="9" t="s">
        <v>380</v>
      </c>
      <c r="G178" s="9" t="s">
        <v>5</v>
      </c>
      <c r="H178" s="10" t="s">
        <v>892</v>
      </c>
      <c r="I178" s="11" t="s">
        <v>381</v>
      </c>
      <c r="J178" t="s">
        <v>332</v>
      </c>
      <c r="K178" s="21" t="s">
        <v>335</v>
      </c>
    </row>
    <row r="179" spans="1:11" ht="14.4">
      <c r="A179" s="5" t="str">
        <f>F179&amp;(COUNTIFS(F$2:F179,F179,K$2:K179,"Sparse"))</f>
        <v>MD0</v>
      </c>
      <c r="B179" s="5" t="str">
        <f>J179&amp;(COUNTIF(J$2:J179,J179))</f>
        <v>Manchester1</v>
      </c>
      <c r="C179" s="8" t="s">
        <v>236</v>
      </c>
      <c r="D179" s="8" t="s">
        <v>236</v>
      </c>
      <c r="E179" s="9" t="s">
        <v>375</v>
      </c>
      <c r="F179" s="9" t="s">
        <v>385</v>
      </c>
      <c r="G179" s="9" t="s">
        <v>396</v>
      </c>
      <c r="H179" s="10" t="s">
        <v>893</v>
      </c>
      <c r="I179" s="11" t="s">
        <v>383</v>
      </c>
      <c r="J179" t="str">
        <f>C179</f>
        <v>Manchester</v>
      </c>
      <c r="K179" s="21"/>
    </row>
    <row r="180" spans="1:11" ht="14.4">
      <c r="A180" s="5" t="str">
        <f>F180&amp;(COUNTIFS(F$2:F180,F180,K$2:K180,"Sparse"))</f>
        <v>SD30</v>
      </c>
      <c r="B180" s="5" t="str">
        <f>J180&amp;(COUNTIF(J$2:J180,J180))</f>
        <v>Nottinghamshire5</v>
      </c>
      <c r="C180" s="8" t="s">
        <v>99</v>
      </c>
      <c r="D180" s="8" t="s">
        <v>99</v>
      </c>
      <c r="E180" s="9" t="s">
        <v>366</v>
      </c>
      <c r="F180" s="9" t="s">
        <v>380</v>
      </c>
      <c r="G180" s="9" t="s">
        <v>5</v>
      </c>
      <c r="H180" s="10" t="s">
        <v>888</v>
      </c>
      <c r="I180" s="11" t="s">
        <v>383</v>
      </c>
      <c r="J180" t="s">
        <v>323</v>
      </c>
      <c r="K180" s="21"/>
    </row>
    <row r="181" spans="1:11" ht="14.4">
      <c r="A181" s="5" t="str">
        <f>F181&amp;(COUNTIFS(F$2:F181,F181,K$2:K181,"Sparse"))</f>
        <v>UA6</v>
      </c>
      <c r="B181" s="5" t="str">
        <f>J181&amp;(COUNTIF(J$2:J181,J181))</f>
        <v>Unitary26</v>
      </c>
      <c r="C181" s="8" t="s">
        <v>273</v>
      </c>
      <c r="D181" s="8" t="s">
        <v>273</v>
      </c>
      <c r="E181" s="9" t="s">
        <v>0</v>
      </c>
      <c r="F181" s="9" t="s">
        <v>386</v>
      </c>
      <c r="G181" s="9" t="s">
        <v>395</v>
      </c>
      <c r="H181" s="10" t="s">
        <v>888</v>
      </c>
      <c r="I181" s="11" t="s">
        <v>383</v>
      </c>
      <c r="J181" s="22" t="s">
        <v>395</v>
      </c>
      <c r="K181" s="21"/>
    </row>
    <row r="182" spans="1:11" ht="14.4">
      <c r="A182" s="5" t="str">
        <f>F182&amp;(COUNTIFS(F$2:F182,F182,K$2:K182,"Sparse"))</f>
        <v>SD31</v>
      </c>
      <c r="B182" s="5" t="str">
        <f>J182&amp;(COUNTIF(J$2:J182,J182))</f>
        <v>Leicestershire6</v>
      </c>
      <c r="C182" s="8" t="s">
        <v>100</v>
      </c>
      <c r="D182" s="8" t="s">
        <v>100</v>
      </c>
      <c r="E182" s="9" t="s">
        <v>366</v>
      </c>
      <c r="F182" s="9" t="s">
        <v>380</v>
      </c>
      <c r="G182" s="9" t="s">
        <v>5</v>
      </c>
      <c r="H182" s="10" t="s">
        <v>889</v>
      </c>
      <c r="I182" s="11" t="s">
        <v>381</v>
      </c>
      <c r="J182" t="s">
        <v>317</v>
      </c>
      <c r="K182" s="21" t="s">
        <v>335</v>
      </c>
    </row>
    <row r="183" spans="1:11" ht="14.4">
      <c r="A183" s="5" t="str">
        <f>F183&amp;(COUNTIFS(F$2:F183,F183,K$2:K183,"Sparse"))</f>
        <v>SD32</v>
      </c>
      <c r="B183" s="5" t="str">
        <f>J183&amp;(COUNTIF(J$2:J183,J183))</f>
        <v>Somerset1</v>
      </c>
      <c r="C183" s="8" t="s">
        <v>101</v>
      </c>
      <c r="D183" s="8" t="s">
        <v>101</v>
      </c>
      <c r="E183" s="9" t="s">
        <v>1</v>
      </c>
      <c r="F183" s="9" t="s">
        <v>380</v>
      </c>
      <c r="G183" s="9" t="s">
        <v>5</v>
      </c>
      <c r="H183" s="10" t="s">
        <v>889</v>
      </c>
      <c r="I183" s="11" t="s">
        <v>381</v>
      </c>
      <c r="J183" t="s">
        <v>326</v>
      </c>
      <c r="K183" s="21" t="s">
        <v>335</v>
      </c>
    </row>
    <row r="184" spans="1:11" ht="14.4">
      <c r="A184" s="5" t="str">
        <f>F184&amp;(COUNTIFS(F$2:F184,F184,K$2:K184,"Sparse"))</f>
        <v>L0</v>
      </c>
      <c r="B184" s="5" t="str">
        <f>J184&amp;(COUNTIF(J$2:J184,J184))</f>
        <v>London24</v>
      </c>
      <c r="C184" s="8" t="s">
        <v>214</v>
      </c>
      <c r="D184" s="8" t="s">
        <v>214</v>
      </c>
      <c r="E184" s="9" t="s">
        <v>382</v>
      </c>
      <c r="F184" s="9" t="s">
        <v>358</v>
      </c>
      <c r="G184" s="9" t="s">
        <v>382</v>
      </c>
      <c r="H184" s="10" t="s">
        <v>893</v>
      </c>
      <c r="I184" s="11" t="s">
        <v>383</v>
      </c>
      <c r="J184" t="str">
        <f>G184</f>
        <v>London</v>
      </c>
      <c r="K184" s="21"/>
    </row>
    <row r="185" spans="1:11" ht="14.4">
      <c r="A185" s="5" t="str">
        <f>F185&amp;(COUNTIFS(F$2:F185,F185,K$2:K185,"Sparse"))</f>
        <v>SD33</v>
      </c>
      <c r="B185" s="5" t="str">
        <f>J185&amp;(COUNTIF(J$2:J185,J185))</f>
        <v>Devon4</v>
      </c>
      <c r="C185" s="8" t="s">
        <v>102</v>
      </c>
      <c r="D185" s="8" t="s">
        <v>102</v>
      </c>
      <c r="E185" s="9" t="s">
        <v>1</v>
      </c>
      <c r="F185" s="9" t="s">
        <v>380</v>
      </c>
      <c r="G185" s="9" t="s">
        <v>5</v>
      </c>
      <c r="H185" s="10" t="s">
        <v>889</v>
      </c>
      <c r="I185" s="11" t="s">
        <v>381</v>
      </c>
      <c r="J185" t="s">
        <v>308</v>
      </c>
      <c r="K185" s="21" t="s">
        <v>335</v>
      </c>
    </row>
    <row r="186" spans="1:11" ht="14.4">
      <c r="A186" s="5" t="str">
        <f>F186&amp;(COUNTIFS(F$2:F186,F186,K$2:K186,"Sparse"))</f>
        <v>SD34</v>
      </c>
      <c r="B186" s="5" t="str">
        <f>J186&amp;(COUNTIF(J$2:J186,J186))</f>
        <v>Suffolk5</v>
      </c>
      <c r="C186" s="8" t="s">
        <v>103</v>
      </c>
      <c r="D186" s="8" t="s">
        <v>103</v>
      </c>
      <c r="E186" s="9" t="s">
        <v>368</v>
      </c>
      <c r="F186" s="9" t="s">
        <v>380</v>
      </c>
      <c r="G186" s="9" t="s">
        <v>5</v>
      </c>
      <c r="H186" s="10" t="s">
        <v>889</v>
      </c>
      <c r="I186" s="11" t="s">
        <v>381</v>
      </c>
      <c r="J186" t="s">
        <v>328</v>
      </c>
      <c r="K186" s="21" t="s">
        <v>335</v>
      </c>
    </row>
    <row r="187" spans="1:11" ht="14.4">
      <c r="A187" s="5" t="str">
        <f>F187&amp;(COUNTIFS(F$2:F187,F187,K$2:K187,"Sparse"))</f>
        <v>SD35</v>
      </c>
      <c r="B187" s="5" t="str">
        <f>J187&amp;(COUNTIF(J$2:J187,J187))</f>
        <v>West Sussex6</v>
      </c>
      <c r="C187" s="8" t="s">
        <v>104</v>
      </c>
      <c r="D187" s="8" t="s">
        <v>104</v>
      </c>
      <c r="E187" s="9" t="s">
        <v>0</v>
      </c>
      <c r="F187" s="9" t="s">
        <v>380</v>
      </c>
      <c r="G187" s="9" t="s">
        <v>5</v>
      </c>
      <c r="H187" s="10" t="s">
        <v>888</v>
      </c>
      <c r="I187" s="11" t="s">
        <v>383</v>
      </c>
      <c r="J187" t="s">
        <v>331</v>
      </c>
      <c r="K187" s="21" t="s">
        <v>335</v>
      </c>
    </row>
    <row r="188" spans="1:11" ht="14.4">
      <c r="A188" s="5" t="str">
        <f>F188&amp;(COUNTIFS(F$2:F188,F188,K$2:K188,"Sparse"))</f>
        <v>UA6</v>
      </c>
      <c r="B188" s="5" t="str">
        <f>J188&amp;(COUNTIF(J$2:J188,J188))</f>
        <v>Unitary27</v>
      </c>
      <c r="C188" s="8" t="s">
        <v>274</v>
      </c>
      <c r="D188" s="8" t="s">
        <v>274</v>
      </c>
      <c r="E188" s="9" t="s">
        <v>389</v>
      </c>
      <c r="F188" s="9" t="s">
        <v>386</v>
      </c>
      <c r="G188" s="9" t="s">
        <v>395</v>
      </c>
      <c r="H188" s="10" t="s">
        <v>888</v>
      </c>
      <c r="I188" s="11" t="s">
        <v>383</v>
      </c>
      <c r="J188" s="22" t="s">
        <v>395</v>
      </c>
      <c r="K188" s="21"/>
    </row>
    <row r="189" spans="1:11" ht="14.4">
      <c r="A189" s="5" t="str">
        <f>F189&amp;(COUNTIFS(F$2:F189,F189,K$2:K189,"Sparse"))</f>
        <v>UA6</v>
      </c>
      <c r="B189" s="5" t="str">
        <f>J189&amp;(COUNTIF(J$2:J189,J189))</f>
        <v>Unitary28</v>
      </c>
      <c r="C189" s="8" t="s">
        <v>275</v>
      </c>
      <c r="D189" s="8" t="s">
        <v>275</v>
      </c>
      <c r="E189" s="9" t="s">
        <v>0</v>
      </c>
      <c r="F189" s="9" t="s">
        <v>386</v>
      </c>
      <c r="G189" s="9" t="s">
        <v>395</v>
      </c>
      <c r="H189" s="10" t="s">
        <v>888</v>
      </c>
      <c r="I189" s="11" t="s">
        <v>383</v>
      </c>
      <c r="J189" s="22" t="s">
        <v>395</v>
      </c>
      <c r="K189" s="21"/>
    </row>
    <row r="190" spans="1:11" ht="14.4">
      <c r="A190" s="5" t="str">
        <f>F190&amp;(COUNTIFS(F$2:F190,F190,K$2:K190,"Sparse"))</f>
        <v>SD35</v>
      </c>
      <c r="B190" s="5" t="str">
        <f>J190&amp;(COUNTIF(J$2:J190,J190))</f>
        <v>Surrey4</v>
      </c>
      <c r="C190" s="8" t="s">
        <v>105</v>
      </c>
      <c r="D190" s="8" t="s">
        <v>105</v>
      </c>
      <c r="E190" s="9" t="s">
        <v>0</v>
      </c>
      <c r="F190" s="9" t="s">
        <v>380</v>
      </c>
      <c r="G190" s="9" t="s">
        <v>5</v>
      </c>
      <c r="H190" s="12" t="s">
        <v>891</v>
      </c>
      <c r="I190" s="11" t="s">
        <v>370</v>
      </c>
      <c r="J190" t="s">
        <v>329</v>
      </c>
      <c r="K190" s="21"/>
    </row>
    <row r="191" spans="1:11" ht="14.4">
      <c r="A191" s="5" t="str">
        <f>F191&amp;(COUNTIFS(F$2:F191,F191,K$2:K191,"Sparse"))</f>
        <v>SD36</v>
      </c>
      <c r="B191" s="5" t="str">
        <f>J191&amp;(COUNTIF(J$2:J191,J191))</f>
        <v>Hampshire9</v>
      </c>
      <c r="C191" s="8" t="s">
        <v>106</v>
      </c>
      <c r="D191" s="8" t="s">
        <v>106</v>
      </c>
      <c r="E191" s="9" t="s">
        <v>0</v>
      </c>
      <c r="F191" s="9" t="s">
        <v>380</v>
      </c>
      <c r="G191" s="9" t="s">
        <v>5</v>
      </c>
      <c r="H191" s="12" t="s">
        <v>891</v>
      </c>
      <c r="I191" s="11" t="s">
        <v>370</v>
      </c>
      <c r="J191" t="s">
        <v>313</v>
      </c>
      <c r="K191" s="21" t="s">
        <v>335</v>
      </c>
    </row>
    <row r="192" spans="1:11" ht="14.4">
      <c r="A192" s="5" t="str">
        <f>F192&amp;(COUNTIFS(F$2:F192,F192,K$2:K192,"Sparse"))</f>
        <v>SD37</v>
      </c>
      <c r="B192" s="5" t="str">
        <f>J192&amp;(COUNTIF(J$2:J192,J192))</f>
        <v>Nottinghamshire6</v>
      </c>
      <c r="C192" s="8" t="s">
        <v>345</v>
      </c>
      <c r="D192" s="8" t="s">
        <v>345</v>
      </c>
      <c r="E192" s="9" t="s">
        <v>366</v>
      </c>
      <c r="F192" s="9" t="s">
        <v>380</v>
      </c>
      <c r="G192" s="9" t="s">
        <v>5</v>
      </c>
      <c r="H192" s="10" t="s">
        <v>892</v>
      </c>
      <c r="I192" s="11" t="s">
        <v>381</v>
      </c>
      <c r="J192" t="s">
        <v>323</v>
      </c>
      <c r="K192" s="21" t="s">
        <v>335</v>
      </c>
    </row>
    <row r="193" spans="1:11" ht="14.4">
      <c r="A193" s="5" t="str">
        <f>F193&amp;(COUNTIFS(F$2:F193,F193,K$2:K193,"Sparse"))</f>
        <v>MD0</v>
      </c>
      <c r="B193" s="5" t="str">
        <f>J193&amp;(COUNTIF(J$2:J193,J193))</f>
        <v>Newcastle upon Tyne1</v>
      </c>
      <c r="C193" s="8" t="s">
        <v>237</v>
      </c>
      <c r="D193" s="8" t="s">
        <v>237</v>
      </c>
      <c r="E193" s="9" t="s">
        <v>389</v>
      </c>
      <c r="F193" s="9" t="s">
        <v>385</v>
      </c>
      <c r="G193" s="9" t="s">
        <v>396</v>
      </c>
      <c r="H193" s="10" t="s">
        <v>893</v>
      </c>
      <c r="I193" s="11" t="s">
        <v>383</v>
      </c>
      <c r="J193" t="str">
        <f>C193</f>
        <v>Newcastle upon Tyne</v>
      </c>
      <c r="K193" s="21"/>
    </row>
    <row r="194" spans="1:11" ht="14.4">
      <c r="A194" s="5" t="str">
        <f>F194&amp;(COUNTIFS(F$2:F194,F194,K$2:K194,"Sparse"))</f>
        <v>SD37</v>
      </c>
      <c r="B194" s="5" t="str">
        <f>J194&amp;(COUNTIF(J$2:J194,J194))</f>
        <v>Staffordshire4</v>
      </c>
      <c r="C194" s="8" t="s">
        <v>107</v>
      </c>
      <c r="D194" s="8" t="s">
        <v>107</v>
      </c>
      <c r="E194" s="9" t="s">
        <v>367</v>
      </c>
      <c r="F194" s="9" t="s">
        <v>380</v>
      </c>
      <c r="G194" s="9" t="s">
        <v>5</v>
      </c>
      <c r="H194" s="10" t="s">
        <v>888</v>
      </c>
      <c r="I194" s="11" t="s">
        <v>383</v>
      </c>
      <c r="J194" t="s">
        <v>327</v>
      </c>
      <c r="K194" s="21"/>
    </row>
    <row r="195" spans="1:11" ht="14.4">
      <c r="A195" s="5" t="str">
        <f>F195&amp;(COUNTIFS(F$2:F195,F195,K$2:K195,"Sparse"))</f>
        <v>L0</v>
      </c>
      <c r="B195" s="5" t="str">
        <f>J195&amp;(COUNTIF(J$2:J195,J195))</f>
        <v>London25</v>
      </c>
      <c r="C195" s="8" t="s">
        <v>215</v>
      </c>
      <c r="D195" s="8" t="s">
        <v>215</v>
      </c>
      <c r="E195" s="9" t="s">
        <v>382</v>
      </c>
      <c r="F195" s="9" t="s">
        <v>358</v>
      </c>
      <c r="G195" s="9" t="s">
        <v>382</v>
      </c>
      <c r="H195" s="10" t="s">
        <v>893</v>
      </c>
      <c r="I195" s="11" t="s">
        <v>383</v>
      </c>
      <c r="J195" t="str">
        <f>G195</f>
        <v>London</v>
      </c>
      <c r="K195" s="21"/>
    </row>
    <row r="196" spans="1:11" ht="14.4">
      <c r="A196" s="5" t="str">
        <f>F196&amp;(COUNTIFS(F$2:F196,F196,K$2:K196,"Sparse"))</f>
        <v>SC10</v>
      </c>
      <c r="B196" s="5" t="str">
        <f>J196&amp;(COUNTIF(J$2:J196,J196))</f>
        <v>Norfolk5</v>
      </c>
      <c r="C196" s="15" t="s">
        <v>319</v>
      </c>
      <c r="D196" s="15" t="s">
        <v>319</v>
      </c>
      <c r="E196" s="9" t="s">
        <v>368</v>
      </c>
      <c r="F196" s="9" t="s">
        <v>388</v>
      </c>
      <c r="G196" s="9" t="s">
        <v>301</v>
      </c>
      <c r="H196" s="15" t="s">
        <v>381</v>
      </c>
      <c r="I196" s="11" t="s">
        <v>381</v>
      </c>
      <c r="J196" t="str">
        <f>C196</f>
        <v>Norfolk</v>
      </c>
      <c r="K196" s="21" t="s">
        <v>335</v>
      </c>
    </row>
    <row r="197" spans="1:11" ht="14.4">
      <c r="A197" s="5" t="str">
        <f>F197&amp;(COUNTIFS(F$2:F197,F197,K$2:K197,"Sparse"))</f>
        <v>SD38</v>
      </c>
      <c r="B197" s="5" t="str">
        <f>J197&amp;(COUNTIF(J$2:J197,J197))</f>
        <v>Devon5</v>
      </c>
      <c r="C197" s="8" t="s">
        <v>108</v>
      </c>
      <c r="D197" s="8" t="s">
        <v>108</v>
      </c>
      <c r="E197" s="9" t="s">
        <v>1</v>
      </c>
      <c r="F197" s="9" t="s">
        <v>380</v>
      </c>
      <c r="G197" s="9" t="s">
        <v>5</v>
      </c>
      <c r="H197" s="10" t="s">
        <v>892</v>
      </c>
      <c r="I197" s="11" t="s">
        <v>381</v>
      </c>
      <c r="J197" t="s">
        <v>308</v>
      </c>
      <c r="K197" s="21" t="s">
        <v>335</v>
      </c>
    </row>
    <row r="198" spans="1:11" ht="14.4">
      <c r="A198" s="5" t="str">
        <f>F198&amp;(COUNTIFS(F$2:F198,F198,K$2:K198,"Sparse"))</f>
        <v>SD38</v>
      </c>
      <c r="B198" s="5" t="str">
        <f>J198&amp;(COUNTIF(J$2:J198,J198))</f>
        <v>Dorset4</v>
      </c>
      <c r="C198" s="8" t="s">
        <v>109</v>
      </c>
      <c r="D198" s="8" t="s">
        <v>109</v>
      </c>
      <c r="E198" s="9" t="s">
        <v>1</v>
      </c>
      <c r="F198" s="9" t="s">
        <v>380</v>
      </c>
      <c r="G198" s="9" t="s">
        <v>5</v>
      </c>
      <c r="H198" s="10" t="s">
        <v>889</v>
      </c>
      <c r="I198" s="11" t="s">
        <v>381</v>
      </c>
      <c r="J198" t="s">
        <v>309</v>
      </c>
      <c r="K198" s="21"/>
    </row>
    <row r="199" spans="1:11" ht="14.4">
      <c r="A199" s="5" t="str">
        <f>F199&amp;(COUNTIFS(F$2:F199,F199,K$2:K199,"Sparse"))</f>
        <v>SD38</v>
      </c>
      <c r="B199" s="5" t="str">
        <f>J199&amp;(COUNTIF(J$2:J199,J199))</f>
        <v>Derbyshire8</v>
      </c>
      <c r="C199" s="8" t="s">
        <v>110</v>
      </c>
      <c r="D199" s="8" t="s">
        <v>110</v>
      </c>
      <c r="E199" s="9" t="s">
        <v>366</v>
      </c>
      <c r="F199" s="9" t="s">
        <v>380</v>
      </c>
      <c r="G199" s="9" t="s">
        <v>5</v>
      </c>
      <c r="H199" s="10" t="s">
        <v>888</v>
      </c>
      <c r="I199" s="11" t="s">
        <v>383</v>
      </c>
      <c r="J199" t="s">
        <v>307</v>
      </c>
      <c r="K199" s="21"/>
    </row>
    <row r="200" spans="1:11" ht="14.4">
      <c r="A200" s="5" t="str">
        <f>F200&amp;(COUNTIFS(F$2:F200,F200,K$2:K200,"Sparse"))</f>
        <v>UA6</v>
      </c>
      <c r="B200" s="5" t="str">
        <f>J200&amp;(COUNTIF(J$2:J200,J200))</f>
        <v>Unitary29</v>
      </c>
      <c r="C200" s="8" t="s">
        <v>276</v>
      </c>
      <c r="D200" s="8" t="s">
        <v>276</v>
      </c>
      <c r="E200" s="9" t="s">
        <v>384</v>
      </c>
      <c r="F200" s="9" t="s">
        <v>386</v>
      </c>
      <c r="G200" s="9" t="s">
        <v>395</v>
      </c>
      <c r="H200" s="10" t="s">
        <v>888</v>
      </c>
      <c r="I200" s="11" t="s">
        <v>383</v>
      </c>
      <c r="J200" s="22" t="s">
        <v>395</v>
      </c>
      <c r="K200" s="21"/>
    </row>
    <row r="201" spans="1:11" ht="14.4">
      <c r="A201" s="5" t="str">
        <f>F201&amp;(COUNTIFS(F$2:F201,F201,K$2:K201,"Sparse"))</f>
        <v>SD38</v>
      </c>
      <c r="B201" s="5" t="str">
        <f>J201&amp;(COUNTIF(J$2:J201,J201))</f>
        <v>Hertfordshire6</v>
      </c>
      <c r="C201" s="8" t="s">
        <v>111</v>
      </c>
      <c r="D201" s="8" t="s">
        <v>111</v>
      </c>
      <c r="E201" s="9" t="s">
        <v>368</v>
      </c>
      <c r="F201" s="9" t="s">
        <v>380</v>
      </c>
      <c r="G201" s="9" t="s">
        <v>5</v>
      </c>
      <c r="H201" s="12" t="s">
        <v>891</v>
      </c>
      <c r="I201" s="11" t="s">
        <v>370</v>
      </c>
      <c r="J201" t="s">
        <v>314</v>
      </c>
      <c r="K201" s="21"/>
    </row>
    <row r="202" spans="1:11" ht="14.4">
      <c r="A202" s="5" t="str">
        <f>F202&amp;(COUNTIFS(F$2:F202,F202,K$2:K202,"Sparse"))</f>
        <v>SD39</v>
      </c>
      <c r="B202" s="5" t="str">
        <f>J202&amp;(COUNTIF(J$2:J202,J202))</f>
        <v>Lincolnshire5</v>
      </c>
      <c r="C202" s="8" t="s">
        <v>112</v>
      </c>
      <c r="D202" s="8" t="s">
        <v>112</v>
      </c>
      <c r="E202" s="9" t="s">
        <v>366</v>
      </c>
      <c r="F202" s="9" t="s">
        <v>380</v>
      </c>
      <c r="G202" s="9" t="s">
        <v>5</v>
      </c>
      <c r="H202" s="10" t="s">
        <v>889</v>
      </c>
      <c r="I202" s="11" t="s">
        <v>381</v>
      </c>
      <c r="J202" t="s">
        <v>318</v>
      </c>
      <c r="K202" s="21" t="s">
        <v>335</v>
      </c>
    </row>
    <row r="203" spans="1:11" ht="14.4">
      <c r="A203" s="5" t="str">
        <f>F203&amp;(COUNTIFS(F$2:F203,F203,K$2:K203,"Sparse"))</f>
        <v>UA7</v>
      </c>
      <c r="B203" s="5" t="str">
        <f>J203&amp;(COUNTIF(J$2:J203,J203))</f>
        <v>Unitary30</v>
      </c>
      <c r="C203" s="8" t="s">
        <v>277</v>
      </c>
      <c r="D203" s="8" t="s">
        <v>277</v>
      </c>
      <c r="E203" s="9" t="s">
        <v>384</v>
      </c>
      <c r="F203" s="9" t="s">
        <v>386</v>
      </c>
      <c r="G203" s="9" t="s">
        <v>395</v>
      </c>
      <c r="H203" s="10" t="s">
        <v>891</v>
      </c>
      <c r="I203" s="11" t="s">
        <v>370</v>
      </c>
      <c r="J203" s="22" t="s">
        <v>395</v>
      </c>
      <c r="K203" s="21" t="s">
        <v>335</v>
      </c>
    </row>
    <row r="204" spans="1:11" ht="14.4">
      <c r="A204" s="5" t="str">
        <f>F204&amp;(COUNTIFS(F$2:F204,F204,K$2:K204,"Sparse"))</f>
        <v>SD40</v>
      </c>
      <c r="B204" s="5" t="str">
        <f>J204&amp;(COUNTIF(J$2:J204,J204))</f>
        <v>Norfolk6</v>
      </c>
      <c r="C204" s="8" t="s">
        <v>113</v>
      </c>
      <c r="D204" s="8" t="s">
        <v>113</v>
      </c>
      <c r="E204" s="9" t="s">
        <v>368</v>
      </c>
      <c r="F204" s="9" t="s">
        <v>380</v>
      </c>
      <c r="G204" s="9" t="s">
        <v>5</v>
      </c>
      <c r="H204" s="10" t="s">
        <v>889</v>
      </c>
      <c r="I204" s="11" t="s">
        <v>381</v>
      </c>
      <c r="J204" s="22" t="s">
        <v>319</v>
      </c>
      <c r="K204" s="21" t="s">
        <v>335</v>
      </c>
    </row>
    <row r="205" spans="1:11" ht="14.4">
      <c r="A205" s="5" t="str">
        <f>F205&amp;(COUNTIFS(F$2:F205,F205,K$2:K205,"Sparse"))</f>
        <v>UA8</v>
      </c>
      <c r="B205" s="5" t="str">
        <f>J205&amp;(COUNTIF(J$2:J205,J205))</f>
        <v>Unitary31</v>
      </c>
      <c r="C205" s="8" t="s">
        <v>278</v>
      </c>
      <c r="D205" s="8" t="s">
        <v>278</v>
      </c>
      <c r="E205" s="9" t="s">
        <v>1</v>
      </c>
      <c r="F205" s="9" t="s">
        <v>386</v>
      </c>
      <c r="G205" s="9" t="s">
        <v>395</v>
      </c>
      <c r="H205" s="10" t="s">
        <v>891</v>
      </c>
      <c r="I205" s="11" t="s">
        <v>370</v>
      </c>
      <c r="J205" s="22" t="s">
        <v>395</v>
      </c>
      <c r="K205" s="21" t="s">
        <v>335</v>
      </c>
    </row>
    <row r="206" spans="1:11" ht="14.4">
      <c r="A206" s="5" t="str">
        <f>F206&amp;(COUNTIFS(F$2:F206,F206,K$2:K206,"Sparse"))</f>
        <v>MD0</v>
      </c>
      <c r="B206" s="5" t="str">
        <f>J206&amp;(COUNTIF(J$2:J206,J206))</f>
        <v>North Tyneside1</v>
      </c>
      <c r="C206" s="8" t="s">
        <v>238</v>
      </c>
      <c r="D206" s="8" t="s">
        <v>238</v>
      </c>
      <c r="E206" s="9" t="s">
        <v>389</v>
      </c>
      <c r="F206" s="9" t="s">
        <v>385</v>
      </c>
      <c r="G206" s="9" t="s">
        <v>396</v>
      </c>
      <c r="H206" s="10" t="s">
        <v>893</v>
      </c>
      <c r="I206" s="11" t="s">
        <v>383</v>
      </c>
      <c r="J206" t="str">
        <f>C206</f>
        <v>North Tyneside</v>
      </c>
      <c r="K206" s="21"/>
    </row>
    <row r="207" spans="1:11" ht="14.4">
      <c r="A207" s="5" t="str">
        <f>F207&amp;(COUNTIFS(F$2:F207,F207,K$2:K207,"Sparse"))</f>
        <v>SD40</v>
      </c>
      <c r="B207" s="5" t="str">
        <f>J207&amp;(COUNTIF(J$2:J207,J207))</f>
        <v>Warwickshire1</v>
      </c>
      <c r="C207" s="8" t="s">
        <v>114</v>
      </c>
      <c r="D207" s="8" t="s">
        <v>114</v>
      </c>
      <c r="E207" s="9" t="s">
        <v>367</v>
      </c>
      <c r="F207" s="9" t="s">
        <v>380</v>
      </c>
      <c r="G207" s="9" t="s">
        <v>5</v>
      </c>
      <c r="H207" s="10" t="s">
        <v>889</v>
      </c>
      <c r="I207" s="11" t="s">
        <v>381</v>
      </c>
      <c r="J207" t="s">
        <v>330</v>
      </c>
      <c r="K207" s="21"/>
    </row>
    <row r="208" spans="1:11" ht="14.4">
      <c r="A208" s="5" t="str">
        <f>F208&amp;(COUNTIFS(F$2:F208,F208,K$2:K208,"Sparse"))</f>
        <v>SD41</v>
      </c>
      <c r="B208" s="5" t="str">
        <f>J208&amp;(COUNTIF(J$2:J208,J208))</f>
        <v>Leicestershire7</v>
      </c>
      <c r="C208" s="8" t="s">
        <v>115</v>
      </c>
      <c r="D208" s="8" t="s">
        <v>115</v>
      </c>
      <c r="E208" s="9" t="s">
        <v>366</v>
      </c>
      <c r="F208" s="9" t="s">
        <v>380</v>
      </c>
      <c r="G208" s="9" t="s">
        <v>5</v>
      </c>
      <c r="H208" s="10" t="s">
        <v>892</v>
      </c>
      <c r="I208" s="11" t="s">
        <v>381</v>
      </c>
      <c r="J208" t="s">
        <v>317</v>
      </c>
      <c r="K208" s="21" t="s">
        <v>335</v>
      </c>
    </row>
    <row r="209" spans="1:11" ht="14.4">
      <c r="A209" s="5" t="str">
        <f>F209&amp;(COUNTIFS(F$2:F209,F209,K$2:K209,"Sparse"))</f>
        <v>SC11</v>
      </c>
      <c r="B209" s="5" t="str">
        <f>J209&amp;(COUNTIF(J$2:J209,J209))</f>
        <v>North Yorkshire4</v>
      </c>
      <c r="C209" s="11" t="s">
        <v>320</v>
      </c>
      <c r="D209" s="11" t="s">
        <v>320</v>
      </c>
      <c r="E209" s="9" t="s">
        <v>384</v>
      </c>
      <c r="F209" s="9" t="s">
        <v>388</v>
      </c>
      <c r="G209" s="9" t="s">
        <v>301</v>
      </c>
      <c r="H209" s="11" t="s">
        <v>381</v>
      </c>
      <c r="I209" s="11" t="s">
        <v>381</v>
      </c>
      <c r="J209" t="str">
        <f>C209</f>
        <v>North Yorkshire</v>
      </c>
      <c r="K209" s="21" t="s">
        <v>335</v>
      </c>
    </row>
    <row r="210" spans="1:11" ht="14.4">
      <c r="A210" s="5" t="str">
        <f>F210&amp;(COUNTIFS(F$2:F210,F210,K$2:K210,"Sparse"))</f>
        <v>SD41</v>
      </c>
      <c r="B210" s="5" t="str">
        <f>J210&amp;(COUNTIF(J$2:J210,J210))</f>
        <v>Northamptonshire5</v>
      </c>
      <c r="C210" s="8" t="s">
        <v>116</v>
      </c>
      <c r="D210" s="8" t="s">
        <v>116</v>
      </c>
      <c r="E210" s="9" t="s">
        <v>366</v>
      </c>
      <c r="F210" s="9" t="s">
        <v>380</v>
      </c>
      <c r="G210" s="9" t="s">
        <v>5</v>
      </c>
      <c r="H210" s="10" t="s">
        <v>888</v>
      </c>
      <c r="I210" s="11" t="s">
        <v>383</v>
      </c>
      <c r="J210" t="s">
        <v>321</v>
      </c>
      <c r="K210" s="21"/>
    </row>
    <row r="211" spans="1:11" ht="14.4">
      <c r="A211" s="5" t="str">
        <f>F211&amp;(COUNTIFS(F$2:F211,F211,K$2:K211,"Sparse"))</f>
        <v>SC11</v>
      </c>
      <c r="B211" s="5" t="str">
        <f>J211&amp;(COUNTIF(J$2:J211,J211))</f>
        <v>Northamptonshire6</v>
      </c>
      <c r="C211" s="11" t="s">
        <v>321</v>
      </c>
      <c r="D211" s="11" t="s">
        <v>321</v>
      </c>
      <c r="E211" s="9" t="s">
        <v>366</v>
      </c>
      <c r="F211" s="9" t="s">
        <v>388</v>
      </c>
      <c r="G211" s="9" t="s">
        <v>301</v>
      </c>
      <c r="H211" s="11" t="s">
        <v>370</v>
      </c>
      <c r="I211" s="11" t="s">
        <v>370</v>
      </c>
      <c r="J211" t="str">
        <f>C211</f>
        <v>Northamptonshire</v>
      </c>
      <c r="K211" s="21"/>
    </row>
    <row r="212" spans="1:11" ht="14.4">
      <c r="A212" s="5" t="str">
        <f>F212&amp;(COUNTIFS(F$2:F212,F212,K$2:K212,"Sparse"))</f>
        <v>UA9</v>
      </c>
      <c r="B212" s="5" t="str">
        <f>J212&amp;(COUNTIF(J$2:J212,J212))</f>
        <v>Unitary32</v>
      </c>
      <c r="C212" s="8" t="s">
        <v>322</v>
      </c>
      <c r="D212" s="8" t="s">
        <v>322</v>
      </c>
      <c r="E212" s="9" t="s">
        <v>389</v>
      </c>
      <c r="F212" s="9" t="s">
        <v>386</v>
      </c>
      <c r="G212" s="9" t="s">
        <v>395</v>
      </c>
      <c r="H212" s="12" t="s">
        <v>892</v>
      </c>
      <c r="I212" s="11" t="s">
        <v>381</v>
      </c>
      <c r="J212" s="22" t="s">
        <v>395</v>
      </c>
      <c r="K212" s="21" t="s">
        <v>335</v>
      </c>
    </row>
    <row r="213" spans="1:11" ht="14.4">
      <c r="A213" s="5" t="str">
        <f>F213&amp;(COUNTIFS(F$2:F213,F213,K$2:K213,"Sparse"))</f>
        <v>SD41</v>
      </c>
      <c r="B213" s="5" t="str">
        <f>J213&amp;(COUNTIF(J$2:J213,J213))</f>
        <v>Norfolk7</v>
      </c>
      <c r="C213" s="8" t="s">
        <v>117</v>
      </c>
      <c r="D213" s="8" t="s">
        <v>117</v>
      </c>
      <c r="E213" s="9" t="s">
        <v>368</v>
      </c>
      <c r="F213" s="9" t="s">
        <v>380</v>
      </c>
      <c r="G213" s="9" t="s">
        <v>5</v>
      </c>
      <c r="H213" s="10" t="s">
        <v>888</v>
      </c>
      <c r="I213" s="11" t="s">
        <v>383</v>
      </c>
      <c r="J213" t="s">
        <v>319</v>
      </c>
      <c r="K213" s="21"/>
    </row>
    <row r="214" spans="1:11" ht="14.4">
      <c r="A214" s="5" t="str">
        <f>F214&amp;(COUNTIFS(F$2:F214,F214,K$2:K214,"Sparse"))</f>
        <v>UA9</v>
      </c>
      <c r="B214" s="5" t="str">
        <f>J214&amp;(COUNTIF(J$2:J214,J214))</f>
        <v>Unitary33</v>
      </c>
      <c r="C214" s="8" t="s">
        <v>279</v>
      </c>
      <c r="D214" s="8" t="s">
        <v>279</v>
      </c>
      <c r="E214" s="9" t="s">
        <v>366</v>
      </c>
      <c r="F214" s="9" t="s">
        <v>386</v>
      </c>
      <c r="G214" s="9" t="s">
        <v>395</v>
      </c>
      <c r="H214" s="10" t="s">
        <v>890</v>
      </c>
      <c r="I214" s="11" t="s">
        <v>383</v>
      </c>
      <c r="J214" s="22" t="s">
        <v>395</v>
      </c>
      <c r="K214" s="21"/>
    </row>
    <row r="215" spans="1:11" ht="14.4">
      <c r="A215" s="5" t="str">
        <f>F215&amp;(COUNTIFS(F$2:F215,F215,K$2:K215,"Sparse"))</f>
        <v>SC12</v>
      </c>
      <c r="B215" s="5" t="str">
        <f>J215&amp;(COUNTIF(J$2:J215,J215))</f>
        <v>Nottinghamshire7</v>
      </c>
      <c r="C215" s="11" t="s">
        <v>323</v>
      </c>
      <c r="D215" s="11" t="s">
        <v>323</v>
      </c>
      <c r="E215" s="9" t="s">
        <v>366</v>
      </c>
      <c r="F215" s="9" t="s">
        <v>388</v>
      </c>
      <c r="G215" s="9" t="s">
        <v>301</v>
      </c>
      <c r="H215" s="11" t="s">
        <v>370</v>
      </c>
      <c r="I215" s="11" t="s">
        <v>370</v>
      </c>
      <c r="J215" t="str">
        <f>C215</f>
        <v>Nottinghamshire</v>
      </c>
      <c r="K215" s="21" t="s">
        <v>335</v>
      </c>
    </row>
    <row r="216" spans="1:11" ht="14.4">
      <c r="A216" s="5" t="str">
        <f>F216&amp;(COUNTIFS(F$2:F216,F216,K$2:K216,"Sparse"))</f>
        <v>SD41</v>
      </c>
      <c r="B216" s="5" t="str">
        <f>J216&amp;(COUNTIF(J$2:J216,J216))</f>
        <v>Warwickshire2</v>
      </c>
      <c r="C216" s="8" t="s">
        <v>346</v>
      </c>
      <c r="D216" s="8" t="s">
        <v>346</v>
      </c>
      <c r="E216" s="9" t="s">
        <v>367</v>
      </c>
      <c r="F216" s="9" t="s">
        <v>380</v>
      </c>
      <c r="G216" s="9" t="s">
        <v>5</v>
      </c>
      <c r="H216" s="10" t="s">
        <v>888</v>
      </c>
      <c r="I216" s="11" t="s">
        <v>383</v>
      </c>
      <c r="J216" t="s">
        <v>330</v>
      </c>
      <c r="K216" s="21"/>
    </row>
    <row r="217" spans="1:11" ht="14.4">
      <c r="A217" s="5" t="str">
        <f>F217&amp;(COUNTIFS(F$2:F217,F217,K$2:K217,"Sparse"))</f>
        <v>SD41</v>
      </c>
      <c r="B217" s="5" t="str">
        <f>J217&amp;(COUNTIF(J$2:J217,J217))</f>
        <v>Leicestershire8</v>
      </c>
      <c r="C217" s="8" t="s">
        <v>347</v>
      </c>
      <c r="D217" s="8" t="s">
        <v>347</v>
      </c>
      <c r="E217" s="9" t="s">
        <v>366</v>
      </c>
      <c r="F217" s="9" t="s">
        <v>380</v>
      </c>
      <c r="G217" s="9" t="s">
        <v>5</v>
      </c>
      <c r="H217" s="10" t="s">
        <v>888</v>
      </c>
      <c r="I217" s="11" t="s">
        <v>383</v>
      </c>
      <c r="J217" t="s">
        <v>317</v>
      </c>
      <c r="K217" s="21"/>
    </row>
    <row r="218" spans="1:11" ht="14.4">
      <c r="A218" s="5" t="str">
        <f>F218&amp;(COUNTIFS(F$2:F218,F218,K$2:K218,"Sparse"))</f>
        <v>MD0</v>
      </c>
      <c r="B218" s="5" t="str">
        <f>J218&amp;(COUNTIF(J$2:J218,J218))</f>
        <v>Oldham1</v>
      </c>
      <c r="C218" s="8" t="s">
        <v>239</v>
      </c>
      <c r="D218" s="8" t="s">
        <v>239</v>
      </c>
      <c r="E218" s="9" t="s">
        <v>375</v>
      </c>
      <c r="F218" s="9" t="s">
        <v>385</v>
      </c>
      <c r="G218" s="9" t="s">
        <v>396</v>
      </c>
      <c r="H218" s="10" t="s">
        <v>893</v>
      </c>
      <c r="I218" s="11" t="s">
        <v>383</v>
      </c>
      <c r="J218" t="str">
        <f>C218</f>
        <v>Oldham</v>
      </c>
      <c r="K218" s="21"/>
    </row>
    <row r="219" spans="1:11" ht="14.4">
      <c r="A219" s="5" t="str">
        <f>F219&amp;(COUNTIFS(F$2:F219,F219,K$2:K219,"Sparse"))</f>
        <v>SD41</v>
      </c>
      <c r="B219" s="5" t="str">
        <f>J219&amp;(COUNTIF(J$2:J219,J219))</f>
        <v>Oxfordshire2</v>
      </c>
      <c r="C219" s="8" t="s">
        <v>118</v>
      </c>
      <c r="D219" s="8" t="s">
        <v>118</v>
      </c>
      <c r="E219" s="9" t="s">
        <v>0</v>
      </c>
      <c r="F219" s="9" t="s">
        <v>380</v>
      </c>
      <c r="G219" s="9" t="s">
        <v>5</v>
      </c>
      <c r="H219" s="10" t="s">
        <v>888</v>
      </c>
      <c r="I219" s="11" t="s">
        <v>383</v>
      </c>
      <c r="J219" t="s">
        <v>324</v>
      </c>
      <c r="K219" s="21"/>
    </row>
    <row r="220" spans="1:11" ht="14.4">
      <c r="A220" s="5" t="str">
        <f>F220&amp;(COUNTIFS(F$2:F220,F220,K$2:K220,"Sparse"))</f>
        <v>SC12</v>
      </c>
      <c r="B220" s="5" t="str">
        <f>J220&amp;(COUNTIF(J$2:J220,J220))</f>
        <v>Oxfordshire3</v>
      </c>
      <c r="C220" s="11" t="s">
        <v>324</v>
      </c>
      <c r="D220" s="11" t="s">
        <v>324</v>
      </c>
      <c r="E220" s="9" t="s">
        <v>0</v>
      </c>
      <c r="F220" s="9" t="s">
        <v>388</v>
      </c>
      <c r="G220" s="9" t="s">
        <v>301</v>
      </c>
      <c r="H220" s="11" t="s">
        <v>381</v>
      </c>
      <c r="I220" s="11" t="s">
        <v>381</v>
      </c>
      <c r="J220" t="str">
        <f>C220</f>
        <v>Oxfordshire</v>
      </c>
      <c r="K220" s="21"/>
    </row>
    <row r="221" spans="1:11" ht="14.4">
      <c r="A221" s="5" t="str">
        <f>F221&amp;(COUNTIFS(F$2:F221,F221,K$2:K221,"Sparse"))</f>
        <v>SD41</v>
      </c>
      <c r="B221" s="5" t="str">
        <f>J221&amp;(COUNTIF(J$2:J221,J221))</f>
        <v>Lancashire7</v>
      </c>
      <c r="C221" s="8" t="s">
        <v>119</v>
      </c>
      <c r="D221" s="8" t="s">
        <v>119</v>
      </c>
      <c r="E221" s="9" t="s">
        <v>375</v>
      </c>
      <c r="F221" s="9" t="s">
        <v>380</v>
      </c>
      <c r="G221" s="9" t="s">
        <v>5</v>
      </c>
      <c r="H221" s="10" t="s">
        <v>888</v>
      </c>
      <c r="I221" s="11" t="s">
        <v>383</v>
      </c>
      <c r="J221" t="s">
        <v>316</v>
      </c>
      <c r="K221" s="21"/>
    </row>
    <row r="222" spans="1:11" ht="14.4">
      <c r="A222" s="5" t="str">
        <f>F222&amp;(COUNTIFS(F$2:F222,F222,K$2:K222,"Sparse"))</f>
        <v>UA9</v>
      </c>
      <c r="B222" s="5" t="str">
        <f>J222&amp;(COUNTIF(J$2:J222,J222))</f>
        <v>Unitary34</v>
      </c>
      <c r="C222" s="8" t="s">
        <v>280</v>
      </c>
      <c r="D222" s="8" t="s">
        <v>280</v>
      </c>
      <c r="E222" s="9" t="s">
        <v>368</v>
      </c>
      <c r="F222" s="9" t="s">
        <v>386</v>
      </c>
      <c r="G222" s="9" t="s">
        <v>395</v>
      </c>
      <c r="H222" s="10" t="s">
        <v>888</v>
      </c>
      <c r="I222" s="11" t="s">
        <v>383</v>
      </c>
      <c r="J222" s="22" t="s">
        <v>395</v>
      </c>
      <c r="K222" s="21"/>
    </row>
    <row r="223" spans="1:11" ht="14.4">
      <c r="A223" s="5" t="str">
        <f>F223&amp;(COUNTIFS(F$2:F223,F223,K$2:K223,"Sparse"))</f>
        <v>UA9</v>
      </c>
      <c r="B223" s="5" t="str">
        <f>J223&amp;(COUNTIF(J$2:J223,J223))</f>
        <v>Unitary35</v>
      </c>
      <c r="C223" s="8" t="s">
        <v>281</v>
      </c>
      <c r="D223" s="8" t="s">
        <v>281</v>
      </c>
      <c r="E223" s="9" t="s">
        <v>1</v>
      </c>
      <c r="F223" s="9" t="s">
        <v>386</v>
      </c>
      <c r="G223" s="9" t="s">
        <v>395</v>
      </c>
      <c r="H223" s="10" t="s">
        <v>888</v>
      </c>
      <c r="I223" s="11" t="s">
        <v>383</v>
      </c>
      <c r="J223" s="22" t="s">
        <v>395</v>
      </c>
      <c r="K223" s="21"/>
    </row>
    <row r="224" spans="1:11" ht="14.4">
      <c r="A224" s="5" t="str">
        <f>F224&amp;(COUNTIFS(F$2:F224,F224,K$2:K224,"Sparse"))</f>
        <v>UA9</v>
      </c>
      <c r="B224" s="5" t="str">
        <f>J224&amp;(COUNTIF(J$2:J224,J224))</f>
        <v>Unitary36</v>
      </c>
      <c r="C224" s="8" t="s">
        <v>282</v>
      </c>
      <c r="D224" s="8" t="s">
        <v>282</v>
      </c>
      <c r="E224" s="9" t="s">
        <v>1</v>
      </c>
      <c r="F224" s="9" t="s">
        <v>386</v>
      </c>
      <c r="G224" s="9" t="s">
        <v>395</v>
      </c>
      <c r="H224" s="10" t="s">
        <v>888</v>
      </c>
      <c r="I224" s="11" t="s">
        <v>383</v>
      </c>
      <c r="J224" s="22" t="s">
        <v>395</v>
      </c>
      <c r="K224" s="21"/>
    </row>
    <row r="225" spans="1:11" ht="14.4">
      <c r="A225" s="5" t="str">
        <f>F225&amp;(COUNTIFS(F$2:F225,F225,K$2:K225,"Sparse"))</f>
        <v>UA9</v>
      </c>
      <c r="B225" s="5" t="str">
        <f>J225&amp;(COUNTIF(J$2:J225,J225))</f>
        <v>Unitary37</v>
      </c>
      <c r="C225" s="8" t="s">
        <v>283</v>
      </c>
      <c r="D225" s="8" t="s">
        <v>283</v>
      </c>
      <c r="E225" s="9" t="s">
        <v>0</v>
      </c>
      <c r="F225" s="9" t="s">
        <v>386</v>
      </c>
      <c r="G225" s="9" t="s">
        <v>395</v>
      </c>
      <c r="H225" s="10" t="s">
        <v>888</v>
      </c>
      <c r="I225" s="11" t="s">
        <v>383</v>
      </c>
      <c r="J225" s="22" t="s">
        <v>395</v>
      </c>
      <c r="K225" s="21"/>
    </row>
    <row r="226" spans="1:11" ht="14.4">
      <c r="A226" s="5" t="str">
        <f>F226&amp;(COUNTIFS(F$2:F226,F226,K$2:K226,"Sparse"))</f>
        <v>SD41</v>
      </c>
      <c r="B226" s="5" t="str">
        <f>J226&amp;(COUNTIF(J$2:J226,J226))</f>
        <v>Lancashire8</v>
      </c>
      <c r="C226" s="8" t="s">
        <v>120</v>
      </c>
      <c r="D226" s="8" t="s">
        <v>120</v>
      </c>
      <c r="E226" s="9" t="s">
        <v>375</v>
      </c>
      <c r="F226" s="9" t="s">
        <v>380</v>
      </c>
      <c r="G226" s="9" t="s">
        <v>5</v>
      </c>
      <c r="H226" s="10" t="s">
        <v>888</v>
      </c>
      <c r="I226" s="11" t="s">
        <v>383</v>
      </c>
      <c r="J226" t="s">
        <v>316</v>
      </c>
      <c r="K226" s="21"/>
    </row>
    <row r="227" spans="1:11" ht="14.4">
      <c r="A227" s="5" t="str">
        <f>F227&amp;(COUNTIFS(F$2:F227,F227,K$2:K227,"Sparse"))</f>
        <v>SD41</v>
      </c>
      <c r="B227" s="5" t="str">
        <f>J227&amp;(COUNTIF(J$2:J227,J227))</f>
        <v>Dorset5</v>
      </c>
      <c r="C227" s="8" t="s">
        <v>121</v>
      </c>
      <c r="D227" s="8" t="s">
        <v>121</v>
      </c>
      <c r="E227" s="9" t="s">
        <v>1</v>
      </c>
      <c r="F227" s="9" t="s">
        <v>380</v>
      </c>
      <c r="G227" s="9" t="s">
        <v>5</v>
      </c>
      <c r="H227" s="10" t="s">
        <v>889</v>
      </c>
      <c r="I227" s="11" t="s">
        <v>381</v>
      </c>
      <c r="J227" t="s">
        <v>309</v>
      </c>
      <c r="K227" s="21"/>
    </row>
    <row r="228" spans="1:11" ht="14.4">
      <c r="A228" s="5" t="str">
        <f>F228&amp;(COUNTIFS(F$2:F228,F228,K$2:K228,"Sparse"))</f>
        <v>UA9</v>
      </c>
      <c r="B228" s="5" t="str">
        <f>J228&amp;(COUNTIF(J$2:J228,J228))</f>
        <v>Unitary38</v>
      </c>
      <c r="C228" s="8" t="s">
        <v>284</v>
      </c>
      <c r="D228" s="8" t="s">
        <v>284</v>
      </c>
      <c r="E228" s="9" t="s">
        <v>0</v>
      </c>
      <c r="F228" s="9" t="s">
        <v>386</v>
      </c>
      <c r="G228" s="9" t="s">
        <v>395</v>
      </c>
      <c r="H228" s="10" t="s">
        <v>888</v>
      </c>
      <c r="I228" s="11" t="s">
        <v>383</v>
      </c>
      <c r="J228" s="22" t="s">
        <v>395</v>
      </c>
      <c r="K228" s="21"/>
    </row>
    <row r="229" spans="1:11" ht="14.4">
      <c r="A229" s="5" t="str">
        <f>F229&amp;(COUNTIFS(F$2:F229,F229,K$2:K229,"Sparse"))</f>
        <v>L0</v>
      </c>
      <c r="B229" s="5" t="str">
        <f>J229&amp;(COUNTIF(J$2:J229,J229))</f>
        <v>London26</v>
      </c>
      <c r="C229" s="8" t="s">
        <v>216</v>
      </c>
      <c r="D229" s="8" t="s">
        <v>216</v>
      </c>
      <c r="E229" s="9" t="s">
        <v>382</v>
      </c>
      <c r="F229" s="9" t="s">
        <v>358</v>
      </c>
      <c r="G229" s="9" t="s">
        <v>382</v>
      </c>
      <c r="H229" s="10" t="s">
        <v>893</v>
      </c>
      <c r="I229" s="11" t="s">
        <v>383</v>
      </c>
      <c r="J229" t="str">
        <f>G229</f>
        <v>London</v>
      </c>
      <c r="K229" s="21"/>
    </row>
    <row r="230" spans="1:11" ht="14.4">
      <c r="A230" s="5" t="str">
        <f>F230&amp;(COUNTIFS(F$2:F230,F230,K$2:K230,"Sparse"))</f>
        <v>UA9</v>
      </c>
      <c r="B230" s="5" t="str">
        <f>J230&amp;(COUNTIF(J$2:J230,J230))</f>
        <v>Unitary39</v>
      </c>
      <c r="C230" s="8" t="s">
        <v>809</v>
      </c>
      <c r="D230" s="8" t="s">
        <v>809</v>
      </c>
      <c r="E230" s="9" t="s">
        <v>389</v>
      </c>
      <c r="F230" s="9" t="s">
        <v>386</v>
      </c>
      <c r="G230" s="9" t="s">
        <v>395</v>
      </c>
      <c r="H230" s="12" t="s">
        <v>891</v>
      </c>
      <c r="I230" s="11" t="s">
        <v>370</v>
      </c>
      <c r="J230" s="22" t="s">
        <v>395</v>
      </c>
      <c r="K230" s="21"/>
    </row>
    <row r="231" spans="1:11" ht="14.4">
      <c r="A231" s="5" t="str">
        <f>F231&amp;(COUNTIFS(F$2:F231,F231,K$2:K231,"Sparse"))</f>
        <v>SD41</v>
      </c>
      <c r="B231" s="5" t="str">
        <f>J231&amp;(COUNTIF(J$2:J231,J231))</f>
        <v>Worcestershire3</v>
      </c>
      <c r="C231" s="8" t="s">
        <v>122</v>
      </c>
      <c r="D231" s="8" t="s">
        <v>122</v>
      </c>
      <c r="E231" s="9" t="s">
        <v>367</v>
      </c>
      <c r="F231" s="9" t="s">
        <v>380</v>
      </c>
      <c r="G231" s="9" t="s">
        <v>5</v>
      </c>
      <c r="H231" s="10" t="s">
        <v>888</v>
      </c>
      <c r="I231" s="11" t="s">
        <v>383</v>
      </c>
      <c r="J231" t="s">
        <v>332</v>
      </c>
      <c r="K231" s="21"/>
    </row>
    <row r="232" spans="1:11" ht="14.4">
      <c r="A232" s="5" t="str">
        <f>F232&amp;(COUNTIFS(F$2:F232,F232,K$2:K232,"Sparse"))</f>
        <v>SD41</v>
      </c>
      <c r="B232" s="5" t="str">
        <f>J232&amp;(COUNTIF(J$2:J232,J232))</f>
        <v>Surrey5</v>
      </c>
      <c r="C232" s="8" t="s">
        <v>348</v>
      </c>
      <c r="D232" s="8" t="s">
        <v>348</v>
      </c>
      <c r="E232" s="9" t="s">
        <v>0</v>
      </c>
      <c r="F232" s="9" t="s">
        <v>380</v>
      </c>
      <c r="G232" s="9" t="s">
        <v>5</v>
      </c>
      <c r="H232" s="10" t="s">
        <v>888</v>
      </c>
      <c r="I232" s="11" t="s">
        <v>383</v>
      </c>
      <c r="J232" t="s">
        <v>329</v>
      </c>
      <c r="K232" s="21"/>
    </row>
    <row r="233" spans="1:11" ht="14.4">
      <c r="A233" s="5" t="str">
        <f>F233&amp;(COUNTIFS(F$2:F233,F233,K$2:K233,"Sparse"))</f>
        <v>SD42</v>
      </c>
      <c r="B233" s="5" t="str">
        <f>J233&amp;(COUNTIF(J$2:J233,J233))</f>
        <v>Lancashire9</v>
      </c>
      <c r="C233" s="8" t="s">
        <v>123</v>
      </c>
      <c r="D233" s="8" t="s">
        <v>123</v>
      </c>
      <c r="E233" s="9" t="s">
        <v>375</v>
      </c>
      <c r="F233" s="9" t="s">
        <v>380</v>
      </c>
      <c r="G233" s="9" t="s">
        <v>5</v>
      </c>
      <c r="H233" s="10" t="s">
        <v>889</v>
      </c>
      <c r="I233" s="11" t="s">
        <v>381</v>
      </c>
      <c r="J233" t="s">
        <v>316</v>
      </c>
      <c r="K233" s="21" t="s">
        <v>335</v>
      </c>
    </row>
    <row r="234" spans="1:11" ht="14.4">
      <c r="A234" s="5" t="str">
        <f>F234&amp;(COUNTIFS(F$2:F234,F234,K$2:K234,"Sparse"))</f>
        <v>L0</v>
      </c>
      <c r="B234" s="5" t="str">
        <f>J234&amp;(COUNTIF(J$2:J234,J234))</f>
        <v>London27</v>
      </c>
      <c r="C234" s="8" t="s">
        <v>393</v>
      </c>
      <c r="D234" s="8" t="s">
        <v>393</v>
      </c>
      <c r="E234" s="9" t="s">
        <v>382</v>
      </c>
      <c r="F234" s="9" t="s">
        <v>358</v>
      </c>
      <c r="G234" s="9" t="s">
        <v>382</v>
      </c>
      <c r="H234" s="10" t="s">
        <v>893</v>
      </c>
      <c r="I234" s="11" t="s">
        <v>383</v>
      </c>
      <c r="J234" t="str">
        <f>G234</f>
        <v>London</v>
      </c>
      <c r="K234" s="21"/>
    </row>
    <row r="235" spans="1:11" ht="14.4">
      <c r="A235" s="5" t="str">
        <f>F235&amp;(COUNTIFS(F$2:F235,F235,K$2:K235,"Sparse"))</f>
        <v>SD43</v>
      </c>
      <c r="B235" s="5" t="str">
        <f>J235&amp;(COUNTIF(J$2:J235,J235))</f>
        <v>North Yorkshire5</v>
      </c>
      <c r="C235" s="8" t="s">
        <v>124</v>
      </c>
      <c r="D235" s="8" t="s">
        <v>124</v>
      </c>
      <c r="E235" s="9" t="s">
        <v>384</v>
      </c>
      <c r="F235" s="9" t="s">
        <v>380</v>
      </c>
      <c r="G235" s="9" t="s">
        <v>5</v>
      </c>
      <c r="H235" s="10" t="s">
        <v>889</v>
      </c>
      <c r="I235" s="11" t="s">
        <v>381</v>
      </c>
      <c r="J235" t="s">
        <v>320</v>
      </c>
      <c r="K235" s="21" t="s">
        <v>335</v>
      </c>
    </row>
    <row r="236" spans="1:11" ht="14.4">
      <c r="A236" s="5" t="str">
        <f>F236&amp;(COUNTIFS(F$2:F236,F236,K$2:K236,"Sparse"))</f>
        <v>MD0</v>
      </c>
      <c r="B236" s="5" t="str">
        <f>J236&amp;(COUNTIF(J$2:J236,J236))</f>
        <v>Rochdale1</v>
      </c>
      <c r="C236" s="8" t="s">
        <v>240</v>
      </c>
      <c r="D236" s="8" t="s">
        <v>240</v>
      </c>
      <c r="E236" s="9" t="s">
        <v>375</v>
      </c>
      <c r="F236" s="9" t="s">
        <v>385</v>
      </c>
      <c r="G236" s="9" t="s">
        <v>396</v>
      </c>
      <c r="H236" s="10" t="s">
        <v>893</v>
      </c>
      <c r="I236" s="11" t="s">
        <v>383</v>
      </c>
      <c r="J236" t="str">
        <f>C236</f>
        <v>Rochdale</v>
      </c>
      <c r="K236" s="21"/>
    </row>
    <row r="237" spans="1:11" ht="14.4">
      <c r="A237" s="5" t="str">
        <f>F237&amp;(COUNTIFS(F$2:F237,F237,K$2:K237,"Sparse"))</f>
        <v>SD43</v>
      </c>
      <c r="B237" s="5" t="str">
        <f>J237&amp;(COUNTIF(J$2:J237,J237))</f>
        <v>Essex11</v>
      </c>
      <c r="C237" s="8" t="s">
        <v>125</v>
      </c>
      <c r="D237" s="8" t="s">
        <v>125</v>
      </c>
      <c r="E237" s="9" t="s">
        <v>368</v>
      </c>
      <c r="F237" s="9" t="s">
        <v>380</v>
      </c>
      <c r="G237" s="9" t="s">
        <v>5</v>
      </c>
      <c r="H237" s="10" t="s">
        <v>888</v>
      </c>
      <c r="I237" s="11" t="s">
        <v>383</v>
      </c>
      <c r="J237" t="s">
        <v>311</v>
      </c>
      <c r="K237" s="21"/>
    </row>
    <row r="238" spans="1:11" ht="14.4">
      <c r="A238" s="5" t="str">
        <f>F238&amp;(COUNTIFS(F$2:F238,F238,K$2:K238,"Sparse"))</f>
        <v>SD43</v>
      </c>
      <c r="B238" s="5" t="str">
        <f>J238&amp;(COUNTIF(J$2:J238,J238))</f>
        <v>Lancashire10</v>
      </c>
      <c r="C238" s="8" t="s">
        <v>126</v>
      </c>
      <c r="D238" s="8" t="s">
        <v>126</v>
      </c>
      <c r="E238" s="9" t="s">
        <v>375</v>
      </c>
      <c r="F238" s="9" t="s">
        <v>380</v>
      </c>
      <c r="G238" s="9" t="s">
        <v>5</v>
      </c>
      <c r="H238" s="10" t="s">
        <v>888</v>
      </c>
      <c r="I238" s="11" t="s">
        <v>383</v>
      </c>
      <c r="J238" t="s">
        <v>316</v>
      </c>
      <c r="K238" s="21"/>
    </row>
    <row r="239" spans="1:11" ht="14.4">
      <c r="A239" s="5" t="str">
        <f>F239&amp;(COUNTIFS(F$2:F239,F239,K$2:K239,"Sparse"))</f>
        <v>SD44</v>
      </c>
      <c r="B239" s="5" t="str">
        <f>J239&amp;(COUNTIF(J$2:J239,J239))</f>
        <v>East Sussex5</v>
      </c>
      <c r="C239" s="8" t="s">
        <v>127</v>
      </c>
      <c r="D239" s="8" t="s">
        <v>127</v>
      </c>
      <c r="E239" s="9" t="s">
        <v>0</v>
      </c>
      <c r="F239" s="9" t="s">
        <v>380</v>
      </c>
      <c r="G239" s="9" t="s">
        <v>5</v>
      </c>
      <c r="H239" s="10" t="s">
        <v>892</v>
      </c>
      <c r="I239" s="11" t="s">
        <v>381</v>
      </c>
      <c r="J239" t="s">
        <v>310</v>
      </c>
      <c r="K239" s="21" t="s">
        <v>335</v>
      </c>
    </row>
    <row r="240" spans="1:11" ht="14.4">
      <c r="A240" s="5" t="str">
        <f>F240&amp;(COUNTIFS(F$2:F240,F240,K$2:K240,"Sparse"))</f>
        <v>MD0</v>
      </c>
      <c r="B240" s="5" t="str">
        <f>J240&amp;(COUNTIF(J$2:J240,J240))</f>
        <v>Rotherham1</v>
      </c>
      <c r="C240" s="8" t="s">
        <v>241</v>
      </c>
      <c r="D240" s="8" t="s">
        <v>241</v>
      </c>
      <c r="E240" s="9" t="s">
        <v>384</v>
      </c>
      <c r="F240" s="9" t="s">
        <v>385</v>
      </c>
      <c r="G240" s="9" t="s">
        <v>396</v>
      </c>
      <c r="H240" s="10" t="s">
        <v>890</v>
      </c>
      <c r="I240" s="11" t="s">
        <v>383</v>
      </c>
      <c r="J240" t="str">
        <f>C240</f>
        <v>Rotherham</v>
      </c>
      <c r="K240" s="21"/>
    </row>
    <row r="241" spans="1:11" ht="14.4">
      <c r="A241" s="5" t="str">
        <f>F241&amp;(COUNTIFS(F$2:F241,F241,K$2:K241,"Sparse"))</f>
        <v>SD45</v>
      </c>
      <c r="B241" s="5" t="str">
        <f>J241&amp;(COUNTIF(J$2:J241,J241))</f>
        <v>Warwickshire3</v>
      </c>
      <c r="C241" s="8" t="s">
        <v>128</v>
      </c>
      <c r="D241" s="8" t="s">
        <v>128</v>
      </c>
      <c r="E241" s="9" t="s">
        <v>367</v>
      </c>
      <c r="F241" s="9" t="s">
        <v>380</v>
      </c>
      <c r="G241" s="9" t="s">
        <v>5</v>
      </c>
      <c r="H241" s="12" t="s">
        <v>888</v>
      </c>
      <c r="I241" s="11" t="s">
        <v>383</v>
      </c>
      <c r="J241" t="s">
        <v>330</v>
      </c>
      <c r="K241" s="21" t="s">
        <v>335</v>
      </c>
    </row>
    <row r="242" spans="1:11" ht="14.4">
      <c r="A242" s="5" t="str">
        <f>F242&amp;(COUNTIFS(F$2:F242,F242,K$2:K242,"Sparse"))</f>
        <v>SD45</v>
      </c>
      <c r="B242" s="5" t="str">
        <f>J242&amp;(COUNTIF(J$2:J242,J242))</f>
        <v>Surrey6</v>
      </c>
      <c r="C242" s="8" t="s">
        <v>129</v>
      </c>
      <c r="D242" s="8" t="s">
        <v>129</v>
      </c>
      <c r="E242" s="9" t="s">
        <v>0</v>
      </c>
      <c r="F242" s="9" t="s">
        <v>380</v>
      </c>
      <c r="G242" s="9" t="s">
        <v>5</v>
      </c>
      <c r="H242" s="10" t="s">
        <v>893</v>
      </c>
      <c r="I242" s="11" t="s">
        <v>383</v>
      </c>
      <c r="J242" t="s">
        <v>329</v>
      </c>
      <c r="K242" s="21"/>
    </row>
    <row r="243" spans="1:11" ht="14.4">
      <c r="A243" s="5" t="str">
        <f>F243&amp;(COUNTIFS(F$2:F243,F243,K$2:K243,"Sparse"))</f>
        <v>SD45</v>
      </c>
      <c r="B243" s="5" t="str">
        <f>J243&amp;(COUNTIF(J$2:J243,J243))</f>
        <v>Nottinghamshire8</v>
      </c>
      <c r="C243" s="8" t="s">
        <v>130</v>
      </c>
      <c r="D243" s="8" t="s">
        <v>130</v>
      </c>
      <c r="E243" s="9" t="s">
        <v>366</v>
      </c>
      <c r="F243" s="9" t="s">
        <v>380</v>
      </c>
      <c r="G243" s="9" t="s">
        <v>5</v>
      </c>
      <c r="H243" s="10" t="s">
        <v>892</v>
      </c>
      <c r="I243" s="11" t="s">
        <v>381</v>
      </c>
      <c r="J243" t="s">
        <v>323</v>
      </c>
      <c r="K243" s="21"/>
    </row>
    <row r="244" spans="1:11" ht="14.4">
      <c r="A244" s="5" t="str">
        <f>F244&amp;(COUNTIFS(F$2:F244,F244,K$2:K244,"Sparse"))</f>
        <v>SD45</v>
      </c>
      <c r="B244" s="5" t="str">
        <f>J244&amp;(COUNTIF(J$2:J244,J244))</f>
        <v>Hampshire10</v>
      </c>
      <c r="C244" s="8" t="s">
        <v>131</v>
      </c>
      <c r="D244" s="8" t="s">
        <v>131</v>
      </c>
      <c r="E244" s="9" t="s">
        <v>0</v>
      </c>
      <c r="F244" s="9" t="s">
        <v>380</v>
      </c>
      <c r="G244" s="9" t="s">
        <v>5</v>
      </c>
      <c r="H244" s="10" t="s">
        <v>888</v>
      </c>
      <c r="I244" s="11" t="s">
        <v>383</v>
      </c>
      <c r="J244" t="s">
        <v>313</v>
      </c>
      <c r="K244" s="21"/>
    </row>
    <row r="245" spans="1:11" ht="14.4">
      <c r="A245" s="5" t="str">
        <f>F245&amp;(COUNTIFS(F$2:F245,F245,K$2:K245,"Sparse"))</f>
        <v>UA10</v>
      </c>
      <c r="B245" s="5" t="str">
        <f>J245&amp;(COUNTIF(J$2:J245,J245))</f>
        <v>Unitary40</v>
      </c>
      <c r="C245" s="8" t="s">
        <v>285</v>
      </c>
      <c r="D245" s="8" t="s">
        <v>285</v>
      </c>
      <c r="E245" s="9" t="s">
        <v>366</v>
      </c>
      <c r="F245" s="9" t="s">
        <v>386</v>
      </c>
      <c r="G245" s="9" t="s">
        <v>395</v>
      </c>
      <c r="H245" s="10" t="s">
        <v>889</v>
      </c>
      <c r="I245" s="11" t="s">
        <v>381</v>
      </c>
      <c r="J245" s="22" t="s">
        <v>395</v>
      </c>
      <c r="K245" s="21" t="s">
        <v>335</v>
      </c>
    </row>
    <row r="246" spans="1:11" ht="14.4">
      <c r="A246" s="5" t="str">
        <f>F246&amp;(COUNTIFS(F$2:F246,F246,K$2:K246,"Sparse"))</f>
        <v>SD46</v>
      </c>
      <c r="B246" s="5" t="str">
        <f>J246&amp;(COUNTIF(J$2:J246,J246))</f>
        <v>North Yorkshire6</v>
      </c>
      <c r="C246" s="8" t="s">
        <v>132</v>
      </c>
      <c r="D246" s="8" t="s">
        <v>132</v>
      </c>
      <c r="E246" s="9" t="s">
        <v>384</v>
      </c>
      <c r="F246" s="9" t="s">
        <v>380</v>
      </c>
      <c r="G246" s="9" t="s">
        <v>5</v>
      </c>
      <c r="H246" s="10" t="s">
        <v>889</v>
      </c>
      <c r="I246" s="11" t="s">
        <v>381</v>
      </c>
      <c r="J246" t="s">
        <v>320</v>
      </c>
      <c r="K246" s="21" t="s">
        <v>335</v>
      </c>
    </row>
    <row r="247" spans="1:11" ht="14.4">
      <c r="A247" s="5" t="str">
        <f>F247&amp;(COUNTIFS(F$2:F247,F247,K$2:K247,"Sparse"))</f>
        <v>MD0</v>
      </c>
      <c r="B247" s="5" t="str">
        <f>J247&amp;(COUNTIF(J$2:J247,J247))</f>
        <v>Salford1</v>
      </c>
      <c r="C247" s="8" t="s">
        <v>242</v>
      </c>
      <c r="D247" s="8" t="s">
        <v>242</v>
      </c>
      <c r="E247" s="9" t="s">
        <v>375</v>
      </c>
      <c r="F247" s="9" t="s">
        <v>385</v>
      </c>
      <c r="G247" s="9" t="s">
        <v>396</v>
      </c>
      <c r="H247" s="10" t="s">
        <v>893</v>
      </c>
      <c r="I247" s="11" t="s">
        <v>383</v>
      </c>
      <c r="J247" t="str">
        <f>C247</f>
        <v>Salford</v>
      </c>
      <c r="K247" s="21"/>
    </row>
    <row r="248" spans="1:11" ht="14.4">
      <c r="A248" s="5" t="str">
        <f>F248&amp;(COUNTIFS(F$2:F248,F248,K$2:K248,"Sparse"))</f>
        <v>MD0</v>
      </c>
      <c r="B248" s="5" t="str">
        <f>J248&amp;(COUNTIF(J$2:J248,J248))</f>
        <v>Sandwell1</v>
      </c>
      <c r="C248" s="8" t="s">
        <v>243</v>
      </c>
      <c r="D248" s="8" t="s">
        <v>243</v>
      </c>
      <c r="E248" s="9" t="s">
        <v>367</v>
      </c>
      <c r="F248" s="9" t="s">
        <v>385</v>
      </c>
      <c r="G248" s="9" t="s">
        <v>396</v>
      </c>
      <c r="H248" s="10" t="s">
        <v>893</v>
      </c>
      <c r="I248" s="11" t="s">
        <v>383</v>
      </c>
      <c r="J248" t="str">
        <f>C248</f>
        <v>Sandwell</v>
      </c>
      <c r="K248" s="21"/>
    </row>
    <row r="249" spans="1:11" ht="14.4">
      <c r="A249" s="5" t="str">
        <f>F249&amp;(COUNTIFS(F$2:F249,F249,K$2:K249,"Sparse"))</f>
        <v>SD47</v>
      </c>
      <c r="B249" s="5" t="str">
        <f>J249&amp;(COUNTIF(J$2:J249,J249))</f>
        <v>North Yorkshire7</v>
      </c>
      <c r="C249" s="8" t="s">
        <v>133</v>
      </c>
      <c r="D249" s="8" t="s">
        <v>133</v>
      </c>
      <c r="E249" s="9" t="s">
        <v>384</v>
      </c>
      <c r="F249" s="9" t="s">
        <v>380</v>
      </c>
      <c r="G249" s="9" t="s">
        <v>5</v>
      </c>
      <c r="H249" s="12" t="s">
        <v>891</v>
      </c>
      <c r="I249" s="11" t="s">
        <v>370</v>
      </c>
      <c r="J249" t="s">
        <v>320</v>
      </c>
      <c r="K249" s="21" t="s">
        <v>335</v>
      </c>
    </row>
    <row r="250" spans="1:11" ht="14.4">
      <c r="A250" s="5" t="str">
        <f>F250&amp;(COUNTIFS(F$2:F250,F250,K$2:K250,"Sparse"))</f>
        <v>SD48</v>
      </c>
      <c r="B250" s="5" t="str">
        <f>J250&amp;(COUNTIF(J$2:J250,J250))</f>
        <v>Somerset2</v>
      </c>
      <c r="C250" s="8" t="s">
        <v>134</v>
      </c>
      <c r="D250" s="8" t="s">
        <v>134</v>
      </c>
      <c r="E250" s="9" t="s">
        <v>1</v>
      </c>
      <c r="F250" s="9" t="s">
        <v>380</v>
      </c>
      <c r="G250" s="9" t="s">
        <v>5</v>
      </c>
      <c r="H250" s="10" t="s">
        <v>892</v>
      </c>
      <c r="I250" s="11" t="s">
        <v>381</v>
      </c>
      <c r="J250" t="s">
        <v>326</v>
      </c>
      <c r="K250" s="21" t="s">
        <v>335</v>
      </c>
    </row>
    <row r="251" spans="1:11" ht="14.4">
      <c r="A251" s="5" t="str">
        <f>F251&amp;(COUNTIFS(F$2:F251,F251,K$2:K251,"Sparse"))</f>
        <v>MD0</v>
      </c>
      <c r="B251" s="5" t="str">
        <f>J251&amp;(COUNTIF(J$2:J251,J251))</f>
        <v>Sefton1</v>
      </c>
      <c r="C251" s="8" t="s">
        <v>244</v>
      </c>
      <c r="D251" s="8" t="s">
        <v>244</v>
      </c>
      <c r="E251" s="9" t="s">
        <v>375</v>
      </c>
      <c r="F251" s="9" t="s">
        <v>385</v>
      </c>
      <c r="G251" s="9" t="s">
        <v>396</v>
      </c>
      <c r="H251" s="10" t="s">
        <v>893</v>
      </c>
      <c r="I251" s="11" t="s">
        <v>383</v>
      </c>
      <c r="J251" t="str">
        <f>C251</f>
        <v>Sefton</v>
      </c>
      <c r="K251" s="21"/>
    </row>
    <row r="252" spans="1:11" ht="14.4">
      <c r="A252" s="5" t="str">
        <f>F252&amp;(COUNTIFS(F$2:F252,F252,K$2:K252,"Sparse"))</f>
        <v>SD49</v>
      </c>
      <c r="B252" s="5" t="str">
        <f>J252&amp;(COUNTIF(J$2:J252,J252))</f>
        <v>North Yorkshire8</v>
      </c>
      <c r="C252" s="8" t="s">
        <v>135</v>
      </c>
      <c r="D252" s="8" t="s">
        <v>135</v>
      </c>
      <c r="E252" s="9" t="s">
        <v>384</v>
      </c>
      <c r="F252" s="9" t="s">
        <v>380</v>
      </c>
      <c r="G252" s="9" t="s">
        <v>5</v>
      </c>
      <c r="H252" s="10" t="s">
        <v>889</v>
      </c>
      <c r="I252" s="11" t="s">
        <v>381</v>
      </c>
      <c r="J252" t="s">
        <v>320</v>
      </c>
      <c r="K252" s="21" t="s">
        <v>335</v>
      </c>
    </row>
    <row r="253" spans="1:11" ht="14.4">
      <c r="A253" s="5" t="str">
        <f>F253&amp;(COUNTIFS(F$2:F253,F253,K$2:K253,"Sparse"))</f>
        <v>SD50</v>
      </c>
      <c r="B253" s="5" t="str">
        <f>J253&amp;(COUNTIF(J$2:J253,J253))</f>
        <v>Kent8</v>
      </c>
      <c r="C253" s="8" t="s">
        <v>136</v>
      </c>
      <c r="D253" s="8" t="s">
        <v>136</v>
      </c>
      <c r="E253" s="9" t="s">
        <v>0</v>
      </c>
      <c r="F253" s="9" t="s">
        <v>380</v>
      </c>
      <c r="G253" s="9" t="s">
        <v>5</v>
      </c>
      <c r="H253" s="10" t="s">
        <v>892</v>
      </c>
      <c r="I253" s="11" t="s">
        <v>381</v>
      </c>
      <c r="J253" t="s">
        <v>315</v>
      </c>
      <c r="K253" s="21" t="s">
        <v>335</v>
      </c>
    </row>
    <row r="254" spans="1:11" ht="14.4">
      <c r="A254" s="5" t="str">
        <f>F254&amp;(COUNTIFS(F$2:F254,F254,K$2:K254,"Sparse"))</f>
        <v>MD0</v>
      </c>
      <c r="B254" s="5" t="str">
        <f>J254&amp;(COUNTIF(J$2:J254,J254))</f>
        <v>Sheffield1</v>
      </c>
      <c r="C254" s="8" t="s">
        <v>245</v>
      </c>
      <c r="D254" s="8" t="s">
        <v>245</v>
      </c>
      <c r="E254" s="9" t="s">
        <v>384</v>
      </c>
      <c r="F254" s="9" t="s">
        <v>385</v>
      </c>
      <c r="G254" s="9" t="s">
        <v>396</v>
      </c>
      <c r="H254" s="10" t="s">
        <v>890</v>
      </c>
      <c r="I254" s="11" t="s">
        <v>383</v>
      </c>
      <c r="J254" t="str">
        <f>C254</f>
        <v>Sheffield</v>
      </c>
      <c r="K254" s="21"/>
    </row>
    <row r="255" spans="1:11" ht="14.4">
      <c r="A255" s="5" t="str">
        <f>F255&amp;(COUNTIFS(F$2:F255,F255,K$2:K255,"Sparse"))</f>
        <v>SD50</v>
      </c>
      <c r="B255" s="5" t="str">
        <f>J255&amp;(COUNTIF(J$2:J255,J255))</f>
        <v>Kent9</v>
      </c>
      <c r="C255" s="8" t="s">
        <v>897</v>
      </c>
      <c r="D255" s="8" t="s">
        <v>897</v>
      </c>
      <c r="E255" s="9" t="s">
        <v>0</v>
      </c>
      <c r="F255" s="9" t="s">
        <v>380</v>
      </c>
      <c r="G255" s="9" t="s">
        <v>5</v>
      </c>
      <c r="H255" s="12" t="s">
        <v>891</v>
      </c>
      <c r="I255" s="11" t="s">
        <v>370</v>
      </c>
      <c r="J255" t="s">
        <v>315</v>
      </c>
      <c r="K255" s="21"/>
    </row>
    <row r="256" spans="1:11" ht="14.4">
      <c r="A256" s="5" t="str">
        <f>F256&amp;(COUNTIFS(F$2:F256,F256,K$2:K256,"Sparse"))</f>
        <v>UA11</v>
      </c>
      <c r="B256" s="5" t="str">
        <f>J256&amp;(COUNTIF(J$2:J256,J256))</f>
        <v>Unitary41</v>
      </c>
      <c r="C256" s="8" t="s">
        <v>325</v>
      </c>
      <c r="D256" s="8" t="s">
        <v>325</v>
      </c>
      <c r="E256" s="9" t="s">
        <v>367</v>
      </c>
      <c r="F256" s="9" t="s">
        <v>386</v>
      </c>
      <c r="G256" s="9" t="s">
        <v>395</v>
      </c>
      <c r="H256" s="12" t="s">
        <v>892</v>
      </c>
      <c r="I256" s="11" t="s">
        <v>381</v>
      </c>
      <c r="J256" s="22" t="s">
        <v>395</v>
      </c>
      <c r="K256" s="21" t="s">
        <v>335</v>
      </c>
    </row>
    <row r="257" spans="1:11" ht="14.4">
      <c r="A257" s="5" t="str">
        <f>F257&amp;(COUNTIFS(F$2:F257,F257,K$2:K257,"Sparse"))</f>
        <v>UA11</v>
      </c>
      <c r="B257" s="5" t="str">
        <f>J257&amp;(COUNTIF(J$2:J257,J257))</f>
        <v>Unitary42</v>
      </c>
      <c r="C257" s="8" t="s">
        <v>286</v>
      </c>
      <c r="D257" s="8" t="s">
        <v>286</v>
      </c>
      <c r="E257" s="9" t="s">
        <v>0</v>
      </c>
      <c r="F257" s="9" t="s">
        <v>386</v>
      </c>
      <c r="G257" s="9" t="s">
        <v>395</v>
      </c>
      <c r="H257" s="10" t="s">
        <v>888</v>
      </c>
      <c r="I257" s="11" t="s">
        <v>383</v>
      </c>
      <c r="J257" s="22" t="s">
        <v>395</v>
      </c>
      <c r="K257" s="21"/>
    </row>
    <row r="258" spans="1:11" ht="14.4">
      <c r="A258" s="5" t="str">
        <f>F258&amp;(COUNTIFS(F$2:F258,F258,K$2:K258,"Sparse"))</f>
        <v>MD0</v>
      </c>
      <c r="B258" s="5" t="str">
        <f>J258&amp;(COUNTIF(J$2:J258,J258))</f>
        <v>Solihull1</v>
      </c>
      <c r="C258" s="8" t="s">
        <v>246</v>
      </c>
      <c r="D258" s="8" t="s">
        <v>246</v>
      </c>
      <c r="E258" s="9" t="s">
        <v>367</v>
      </c>
      <c r="F258" s="9" t="s">
        <v>385</v>
      </c>
      <c r="G258" s="9" t="s">
        <v>396</v>
      </c>
      <c r="H258" s="10" t="s">
        <v>893</v>
      </c>
      <c r="I258" s="11" t="s">
        <v>383</v>
      </c>
      <c r="J258" t="str">
        <f>C258</f>
        <v>Solihull</v>
      </c>
      <c r="K258" s="21"/>
    </row>
    <row r="259" spans="1:11" ht="14.4">
      <c r="A259" s="5" t="str">
        <f>F259&amp;(COUNTIFS(F$2:F259,F259,K$2:K259,"Sparse"))</f>
        <v>SC12</v>
      </c>
      <c r="B259" s="5" t="str">
        <f>J259&amp;(COUNTIF(J$2:J259,J259))</f>
        <v>Somerset3</v>
      </c>
      <c r="C259" s="11" t="s">
        <v>326</v>
      </c>
      <c r="D259" s="11" t="s">
        <v>326</v>
      </c>
      <c r="E259" s="9" t="s">
        <v>1</v>
      </c>
      <c r="F259" s="9" t="s">
        <v>388</v>
      </c>
      <c r="G259" s="9" t="s">
        <v>301</v>
      </c>
      <c r="H259" s="11" t="s">
        <v>381</v>
      </c>
      <c r="I259" s="11" t="s">
        <v>381</v>
      </c>
      <c r="J259" t="str">
        <f>C259</f>
        <v>Somerset</v>
      </c>
      <c r="K259" s="21"/>
    </row>
    <row r="260" spans="1:11" ht="14.4">
      <c r="A260" s="5" t="str">
        <f>F260&amp;(COUNTIFS(F$2:F260,F260,K$2:K260,"Sparse"))</f>
        <v>SD51</v>
      </c>
      <c r="B260" s="5" t="str">
        <f>J260&amp;(COUNTIF(J$2:J260,J260))</f>
        <v>Somerset4</v>
      </c>
      <c r="C260" t="s">
        <v>909</v>
      </c>
      <c r="D260" t="s">
        <v>909</v>
      </c>
      <c r="E260" s="285" t="s">
        <v>1</v>
      </c>
      <c r="F260" s="285" t="s">
        <v>380</v>
      </c>
      <c r="G260" s="285" t="s">
        <v>5</v>
      </c>
      <c r="H260" s="286" t="s">
        <v>912</v>
      </c>
      <c r="I260" s="287" t="s">
        <v>381</v>
      </c>
      <c r="J260" t="s">
        <v>326</v>
      </c>
      <c r="K260" t="s">
        <v>335</v>
      </c>
    </row>
    <row r="261" spans="1:11" ht="14.4">
      <c r="A261" s="5" t="str">
        <f>F261&amp;(COUNTIFS(F$2:F261,F261,K$2:K261,"Sparse"))</f>
        <v>SD51</v>
      </c>
      <c r="B261" s="5" t="str">
        <f>J261&amp;(COUNTIF(J$2:J261,J261))</f>
        <v>Buckinghamshire4</v>
      </c>
      <c r="C261" s="8" t="s">
        <v>137</v>
      </c>
      <c r="D261" s="8" t="s">
        <v>137</v>
      </c>
      <c r="E261" s="9" t="s">
        <v>0</v>
      </c>
      <c r="F261" s="9" t="s">
        <v>380</v>
      </c>
      <c r="G261" s="9" t="s">
        <v>5</v>
      </c>
      <c r="H261" s="10" t="s">
        <v>891</v>
      </c>
      <c r="I261" s="11" t="s">
        <v>370</v>
      </c>
      <c r="J261" t="s">
        <v>300</v>
      </c>
      <c r="K261" s="21"/>
    </row>
    <row r="262" spans="1:11" ht="14.4">
      <c r="A262" s="5" t="str">
        <f>F262&amp;(COUNTIFS(F$2:F262,F262,K$2:K262,"Sparse"))</f>
        <v>SD52</v>
      </c>
      <c r="B262" s="5" t="str">
        <f>J262&amp;(COUNTIF(J$2:J262,J262))</f>
        <v>Cambridgeshire6</v>
      </c>
      <c r="C262" s="8" t="s">
        <v>138</v>
      </c>
      <c r="D262" s="8" t="s">
        <v>138</v>
      </c>
      <c r="E262" s="9" t="s">
        <v>368</v>
      </c>
      <c r="F262" s="9" t="s">
        <v>380</v>
      </c>
      <c r="G262" s="9" t="s">
        <v>5</v>
      </c>
      <c r="H262" s="10" t="s">
        <v>892</v>
      </c>
      <c r="I262" s="11" t="s">
        <v>381</v>
      </c>
      <c r="J262" t="s">
        <v>302</v>
      </c>
      <c r="K262" s="21" t="s">
        <v>335</v>
      </c>
    </row>
    <row r="263" spans="1:11" ht="14.4">
      <c r="A263" s="5" t="str">
        <f>F263&amp;(COUNTIFS(F$2:F263,F263,K$2:K263,"Sparse"))</f>
        <v>SD53</v>
      </c>
      <c r="B263" s="5" t="str">
        <f>J263&amp;(COUNTIF(J$2:J263,J263))</f>
        <v>Derbyshire9</v>
      </c>
      <c r="C263" s="8" t="s">
        <v>139</v>
      </c>
      <c r="D263" s="8" t="s">
        <v>139</v>
      </c>
      <c r="E263" s="9" t="s">
        <v>366</v>
      </c>
      <c r="F263" s="9" t="s">
        <v>380</v>
      </c>
      <c r="G263" s="9" t="s">
        <v>5</v>
      </c>
      <c r="H263" s="12" t="s">
        <v>891</v>
      </c>
      <c r="I263" s="11" t="s">
        <v>370</v>
      </c>
      <c r="J263" t="s">
        <v>307</v>
      </c>
      <c r="K263" s="21" t="s">
        <v>335</v>
      </c>
    </row>
    <row r="264" spans="1:11" ht="14.4">
      <c r="A264" s="5" t="str">
        <f>F264&amp;(COUNTIFS(F$2:F264,F264,K$2:K264,"Sparse"))</f>
        <v>UA11</v>
      </c>
      <c r="B264" s="5" t="str">
        <f>J264&amp;(COUNTIF(J$2:J264,J264))</f>
        <v>Unitary43</v>
      </c>
      <c r="C264" s="8" t="s">
        <v>287</v>
      </c>
      <c r="D264" s="8" t="s">
        <v>287</v>
      </c>
      <c r="E264" s="9" t="s">
        <v>1</v>
      </c>
      <c r="F264" s="9" t="s">
        <v>386</v>
      </c>
      <c r="G264" s="9" t="s">
        <v>395</v>
      </c>
      <c r="H264" s="10" t="s">
        <v>888</v>
      </c>
      <c r="I264" s="11" t="s">
        <v>383</v>
      </c>
      <c r="J264" s="22" t="s">
        <v>395</v>
      </c>
      <c r="K264" s="21"/>
    </row>
    <row r="265" spans="1:11" ht="14.4">
      <c r="A265" s="5" t="str">
        <f>F265&amp;(COUNTIFS(F$2:F265,F265,K$2:K265,"Sparse"))</f>
        <v>SD54</v>
      </c>
      <c r="B265" s="5" t="str">
        <f>J265&amp;(COUNTIF(J$2:J265,J265))</f>
        <v>Devon6</v>
      </c>
      <c r="C265" s="8" t="s">
        <v>140</v>
      </c>
      <c r="D265" s="8" t="s">
        <v>140</v>
      </c>
      <c r="E265" s="9" t="s">
        <v>1</v>
      </c>
      <c r="F265" s="9" t="s">
        <v>380</v>
      </c>
      <c r="G265" s="9" t="s">
        <v>5</v>
      </c>
      <c r="H265" s="10" t="s">
        <v>889</v>
      </c>
      <c r="I265" s="11" t="s">
        <v>381</v>
      </c>
      <c r="J265" t="s">
        <v>308</v>
      </c>
      <c r="K265" s="21" t="s">
        <v>335</v>
      </c>
    </row>
    <row r="266" spans="1:11" ht="14.4">
      <c r="A266" s="5" t="str">
        <f>F266&amp;(COUNTIFS(F$2:F266,F266,K$2:K266,"Sparse"))</f>
        <v>SD55</v>
      </c>
      <c r="B266" s="5" t="str">
        <f>J266&amp;(COUNTIF(J$2:J266,J266))</f>
        <v>Lincolnshire6</v>
      </c>
      <c r="C266" s="8" t="s">
        <v>141</v>
      </c>
      <c r="D266" s="8" t="s">
        <v>141</v>
      </c>
      <c r="E266" s="9" t="s">
        <v>366</v>
      </c>
      <c r="F266" s="9" t="s">
        <v>380</v>
      </c>
      <c r="G266" s="9" t="s">
        <v>5</v>
      </c>
      <c r="H266" s="10" t="s">
        <v>892</v>
      </c>
      <c r="I266" s="11" t="s">
        <v>381</v>
      </c>
      <c r="J266" t="s">
        <v>318</v>
      </c>
      <c r="K266" s="21" t="s">
        <v>335</v>
      </c>
    </row>
    <row r="267" spans="1:11" ht="14.4">
      <c r="A267" s="5" t="str">
        <f>F267&amp;(COUNTIFS(F$2:F267,F267,K$2:K267,"Sparse"))</f>
        <v>SD56</v>
      </c>
      <c r="B267" s="5" t="str">
        <f>J267&amp;(COUNTIF(J$2:J267,J267))</f>
        <v>Lincolnshire7</v>
      </c>
      <c r="C267" s="8" t="s">
        <v>142</v>
      </c>
      <c r="D267" s="8" t="s">
        <v>142</v>
      </c>
      <c r="E267" s="9" t="s">
        <v>366</v>
      </c>
      <c r="F267" s="9" t="s">
        <v>380</v>
      </c>
      <c r="G267" s="9" t="s">
        <v>5</v>
      </c>
      <c r="H267" s="10" t="s">
        <v>892</v>
      </c>
      <c r="I267" s="11" t="s">
        <v>381</v>
      </c>
      <c r="J267" t="s">
        <v>318</v>
      </c>
      <c r="K267" s="21" t="s">
        <v>335</v>
      </c>
    </row>
    <row r="268" spans="1:11" ht="14.4">
      <c r="A268" s="5" t="str">
        <f>F268&amp;(COUNTIFS(F$2:F268,F268,K$2:K268,"Sparse"))</f>
        <v>SD57</v>
      </c>
      <c r="B268" s="5" t="str">
        <f>J268&amp;(COUNTIF(J$2:J268,J268))</f>
        <v>Cumbria7</v>
      </c>
      <c r="C268" s="8" t="s">
        <v>143</v>
      </c>
      <c r="D268" s="8" t="s">
        <v>143</v>
      </c>
      <c r="E268" s="9" t="s">
        <v>375</v>
      </c>
      <c r="F268" s="9" t="s">
        <v>380</v>
      </c>
      <c r="G268" s="9" t="s">
        <v>5</v>
      </c>
      <c r="H268" s="10" t="s">
        <v>889</v>
      </c>
      <c r="I268" s="11" t="s">
        <v>381</v>
      </c>
      <c r="J268" t="s">
        <v>306</v>
      </c>
      <c r="K268" s="21" t="s">
        <v>335</v>
      </c>
    </row>
    <row r="269" spans="1:11" ht="14.4">
      <c r="A269" s="5" t="str">
        <f>F269&amp;(COUNTIFS(F$2:F269,F269,K$2:K269,"Sparse"))</f>
        <v>SD58</v>
      </c>
      <c r="B269" s="5" t="str">
        <f>J269&amp;(COUNTIF(J$2:J269,J269))</f>
        <v>Norfolk8</v>
      </c>
      <c r="C269" s="8" t="s">
        <v>144</v>
      </c>
      <c r="D269" s="8" t="s">
        <v>144</v>
      </c>
      <c r="E269" s="9" t="s">
        <v>368</v>
      </c>
      <c r="F269" s="9" t="s">
        <v>380</v>
      </c>
      <c r="G269" s="9" t="s">
        <v>5</v>
      </c>
      <c r="H269" s="10" t="s">
        <v>889</v>
      </c>
      <c r="I269" s="11" t="s">
        <v>381</v>
      </c>
      <c r="J269" t="s">
        <v>319</v>
      </c>
      <c r="K269" s="21" t="s">
        <v>335</v>
      </c>
    </row>
    <row r="270" spans="1:11" ht="14.4">
      <c r="A270" s="5" t="str">
        <f>F270&amp;(COUNTIFS(F$2:F270,F270,K$2:K270,"Sparse"))</f>
        <v>SD59</v>
      </c>
      <c r="B270" s="5" t="str">
        <f>J270&amp;(COUNTIF(J$2:J270,J270))</f>
        <v>Northamptonshire7</v>
      </c>
      <c r="C270" s="8" t="s">
        <v>145</v>
      </c>
      <c r="D270" s="8" t="s">
        <v>145</v>
      </c>
      <c r="E270" s="9" t="s">
        <v>366</v>
      </c>
      <c r="F270" s="9" t="s">
        <v>380</v>
      </c>
      <c r="G270" s="9" t="s">
        <v>5</v>
      </c>
      <c r="H270" s="10" t="s">
        <v>889</v>
      </c>
      <c r="I270" s="11" t="s">
        <v>381</v>
      </c>
      <c r="J270" t="s">
        <v>321</v>
      </c>
      <c r="K270" s="21" t="s">
        <v>335</v>
      </c>
    </row>
    <row r="271" spans="1:11" ht="14.4">
      <c r="A271" s="5" t="str">
        <f>F271&amp;(COUNTIFS(F$2:F271,F271,K$2:K271,"Sparse"))</f>
        <v>SD60</v>
      </c>
      <c r="B271" s="5" t="str">
        <f>J271&amp;(COUNTIF(J$2:J271,J271))</f>
        <v>Oxfordshire4</v>
      </c>
      <c r="C271" s="8" t="s">
        <v>146</v>
      </c>
      <c r="D271" s="8" t="s">
        <v>146</v>
      </c>
      <c r="E271" s="9" t="s">
        <v>0</v>
      </c>
      <c r="F271" s="9" t="s">
        <v>380</v>
      </c>
      <c r="G271" s="9" t="s">
        <v>5</v>
      </c>
      <c r="H271" s="10" t="s">
        <v>889</v>
      </c>
      <c r="I271" s="11" t="s">
        <v>381</v>
      </c>
      <c r="J271" t="s">
        <v>324</v>
      </c>
      <c r="K271" s="21" t="s">
        <v>335</v>
      </c>
    </row>
    <row r="272" spans="1:11" ht="14.4">
      <c r="A272" s="5" t="str">
        <f>F272&amp;(COUNTIFS(F$2:F272,F272,K$2:K272,"Sparse"))</f>
        <v>SD60</v>
      </c>
      <c r="B272" s="5" t="str">
        <f>J272&amp;(COUNTIF(J$2:J272,J272))</f>
        <v>Lancashire11</v>
      </c>
      <c r="C272" s="8" t="s">
        <v>147</v>
      </c>
      <c r="D272" s="8" t="s">
        <v>147</v>
      </c>
      <c r="E272" s="9" t="s">
        <v>375</v>
      </c>
      <c r="F272" s="9" t="s">
        <v>380</v>
      </c>
      <c r="G272" s="9" t="s">
        <v>5</v>
      </c>
      <c r="H272" s="10" t="s">
        <v>888</v>
      </c>
      <c r="I272" s="11" t="s">
        <v>383</v>
      </c>
      <c r="J272" t="s">
        <v>316</v>
      </c>
      <c r="K272" s="21"/>
    </row>
    <row r="273" spans="1:11" ht="14.4">
      <c r="A273" s="5" t="str">
        <f>F273&amp;(COUNTIFS(F$2:F273,F273,K$2:K273,"Sparse"))</f>
        <v>SD61</v>
      </c>
      <c r="B273" s="5" t="str">
        <f>J273&amp;(COUNTIF(J$2:J273,J273))</f>
        <v>Somerset5</v>
      </c>
      <c r="C273" s="8" t="s">
        <v>148</v>
      </c>
      <c r="D273" s="8" t="s">
        <v>148</v>
      </c>
      <c r="E273" s="9" t="s">
        <v>1</v>
      </c>
      <c r="F273" s="9" t="s">
        <v>380</v>
      </c>
      <c r="G273" s="9" t="s">
        <v>5</v>
      </c>
      <c r="H273" s="10" t="s">
        <v>892</v>
      </c>
      <c r="I273" s="11" t="s">
        <v>381</v>
      </c>
      <c r="J273" t="s">
        <v>326</v>
      </c>
      <c r="K273" s="21" t="s">
        <v>335</v>
      </c>
    </row>
    <row r="274" spans="1:11" ht="14.4">
      <c r="A274" s="5" t="str">
        <f>F274&amp;(COUNTIFS(F$2:F274,F274,K$2:K274,"Sparse"))</f>
        <v>SD62</v>
      </c>
      <c r="B274" s="5" t="str">
        <f>J274&amp;(COUNTIF(J$2:J274,J274))</f>
        <v>Staffordshire5</v>
      </c>
      <c r="C274" s="8" t="s">
        <v>149</v>
      </c>
      <c r="D274" s="8" t="s">
        <v>149</v>
      </c>
      <c r="E274" s="9" t="s">
        <v>367</v>
      </c>
      <c r="F274" s="9" t="s">
        <v>380</v>
      </c>
      <c r="G274" s="9" t="s">
        <v>5</v>
      </c>
      <c r="H274" s="12" t="s">
        <v>891</v>
      </c>
      <c r="I274" s="11" t="s">
        <v>370</v>
      </c>
      <c r="J274" t="s">
        <v>327</v>
      </c>
      <c r="K274" s="21" t="s">
        <v>335</v>
      </c>
    </row>
    <row r="275" spans="1:11" ht="14.4">
      <c r="A275" s="5" t="str">
        <f>F275&amp;(COUNTIFS(F$2:F275,F275,K$2:K275,"Sparse"))</f>
        <v>MD0</v>
      </c>
      <c r="B275" s="5" t="str">
        <f>J275&amp;(COUNTIF(J$2:J275,J275))</f>
        <v>South Tyneside1</v>
      </c>
      <c r="C275" s="8" t="s">
        <v>247</v>
      </c>
      <c r="D275" s="8" t="s">
        <v>247</v>
      </c>
      <c r="E275" s="9" t="s">
        <v>389</v>
      </c>
      <c r="F275" s="9" t="s">
        <v>385</v>
      </c>
      <c r="G275" s="9" t="s">
        <v>396</v>
      </c>
      <c r="H275" s="10" t="s">
        <v>893</v>
      </c>
      <c r="I275" s="11" t="s">
        <v>383</v>
      </c>
      <c r="J275" t="str">
        <f>C275</f>
        <v>South Tyneside</v>
      </c>
      <c r="K275" s="21"/>
    </row>
    <row r="276" spans="1:11" ht="14.4">
      <c r="A276" s="5" t="str">
        <f>F276&amp;(COUNTIFS(F$2:F276,F276,K$2:K276,"Sparse"))</f>
        <v>UA11</v>
      </c>
      <c r="B276" s="5" t="str">
        <f>J276&amp;(COUNTIF(J$2:J276,J276))</f>
        <v>Unitary44</v>
      </c>
      <c r="C276" s="8" t="s">
        <v>288</v>
      </c>
      <c r="D276" s="8" t="s">
        <v>288</v>
      </c>
      <c r="E276" s="9" t="s">
        <v>0</v>
      </c>
      <c r="F276" s="9" t="s">
        <v>386</v>
      </c>
      <c r="G276" s="9" t="s">
        <v>395</v>
      </c>
      <c r="H276" s="10" t="s">
        <v>888</v>
      </c>
      <c r="I276" s="11" t="s">
        <v>383</v>
      </c>
      <c r="J276" s="22" t="s">
        <v>395</v>
      </c>
      <c r="K276" s="21"/>
    </row>
    <row r="277" spans="1:11" ht="14.4">
      <c r="A277" s="5" t="str">
        <f>F277&amp;(COUNTIFS(F$2:F277,F277,K$2:K277,"Sparse"))</f>
        <v>UA11</v>
      </c>
      <c r="B277" s="5" t="str">
        <f>J277&amp;(COUNTIF(J$2:J277,J277))</f>
        <v>Unitary45</v>
      </c>
      <c r="C277" s="8" t="s">
        <v>289</v>
      </c>
      <c r="D277" s="8" t="s">
        <v>289</v>
      </c>
      <c r="E277" s="9" t="s">
        <v>368</v>
      </c>
      <c r="F277" s="9" t="s">
        <v>386</v>
      </c>
      <c r="G277" s="9" t="s">
        <v>395</v>
      </c>
      <c r="H277" s="10" t="s">
        <v>888</v>
      </c>
      <c r="I277" s="11" t="s">
        <v>383</v>
      </c>
      <c r="J277" s="22" t="s">
        <v>395</v>
      </c>
      <c r="K277" s="21"/>
    </row>
    <row r="278" spans="1:11" ht="14.4">
      <c r="A278" s="5" t="str">
        <f>F278&amp;(COUNTIFS(F$2:F278,F278,K$2:K278,"Sparse"))</f>
        <v>L0</v>
      </c>
      <c r="B278" s="5" t="str">
        <f>J278&amp;(COUNTIF(J$2:J278,J278))</f>
        <v>London28</v>
      </c>
      <c r="C278" s="8" t="s">
        <v>217</v>
      </c>
      <c r="D278" s="8" t="s">
        <v>217</v>
      </c>
      <c r="E278" s="9" t="s">
        <v>382</v>
      </c>
      <c r="F278" s="9" t="s">
        <v>358</v>
      </c>
      <c r="G278" s="9" t="s">
        <v>382</v>
      </c>
      <c r="H278" s="10" t="s">
        <v>893</v>
      </c>
      <c r="I278" s="11" t="s">
        <v>383</v>
      </c>
      <c r="J278" t="str">
        <f>G278</f>
        <v>London</v>
      </c>
      <c r="K278" s="21"/>
    </row>
    <row r="279" spans="1:11" ht="14.4">
      <c r="A279" s="5" t="str">
        <f>F279&amp;(COUNTIFS(F$2:F279,F279,K$2:K279,"Sparse"))</f>
        <v>SD62</v>
      </c>
      <c r="B279" s="5" t="str">
        <f>J279&amp;(COUNTIF(J$2:J279,J279))</f>
        <v>Surrey7</v>
      </c>
      <c r="C279" s="8" t="s">
        <v>150</v>
      </c>
      <c r="D279" s="8" t="s">
        <v>150</v>
      </c>
      <c r="E279" s="9" t="s">
        <v>0</v>
      </c>
      <c r="F279" s="9" t="s">
        <v>380</v>
      </c>
      <c r="G279" s="9" t="s">
        <v>5</v>
      </c>
      <c r="H279" s="10" t="s">
        <v>893</v>
      </c>
      <c r="I279" s="11" t="s">
        <v>383</v>
      </c>
      <c r="J279" t="s">
        <v>329</v>
      </c>
      <c r="K279" s="21"/>
    </row>
    <row r="280" spans="1:11" ht="14.4">
      <c r="A280" s="5" t="str">
        <f>F280&amp;(COUNTIFS(F$2:F280,F280,K$2:K280,"Sparse"))</f>
        <v>SD62</v>
      </c>
      <c r="B280" s="5" t="str">
        <f>J280&amp;(COUNTIF(J$2:J280,J280))</f>
        <v>Hertfordshire7</v>
      </c>
      <c r="C280" s="8" t="s">
        <v>151</v>
      </c>
      <c r="D280" s="8" t="s">
        <v>151</v>
      </c>
      <c r="E280" s="9" t="s">
        <v>368</v>
      </c>
      <c r="F280" s="9" t="s">
        <v>380</v>
      </c>
      <c r="G280" s="9" t="s">
        <v>5</v>
      </c>
      <c r="H280" s="12" t="s">
        <v>888</v>
      </c>
      <c r="I280" s="11" t="s">
        <v>383</v>
      </c>
      <c r="J280" t="s">
        <v>314</v>
      </c>
      <c r="K280" s="21"/>
    </row>
    <row r="281" spans="1:11" ht="14.4">
      <c r="A281" s="5" t="str">
        <f>F281&amp;(COUNTIFS(F$2:F281,F281,K$2:K281,"Sparse"))</f>
        <v>SD63</v>
      </c>
      <c r="B281" s="5" t="str">
        <f>J281&amp;(COUNTIF(J$2:J281,J281))</f>
        <v>Suffolk6</v>
      </c>
      <c r="C281" s="8" t="s">
        <v>152</v>
      </c>
      <c r="D281" s="8" t="s">
        <v>152</v>
      </c>
      <c r="E281" s="9" t="s">
        <v>368</v>
      </c>
      <c r="F281" s="9" t="s">
        <v>380</v>
      </c>
      <c r="G281" s="9" t="s">
        <v>5</v>
      </c>
      <c r="H281" s="10" t="s">
        <v>892</v>
      </c>
      <c r="I281" s="11" t="s">
        <v>381</v>
      </c>
      <c r="J281" t="s">
        <v>328</v>
      </c>
      <c r="K281" s="21" t="s">
        <v>335</v>
      </c>
    </row>
    <row r="282" spans="1:11" ht="14.4">
      <c r="A282" s="5" t="str">
        <f>F282&amp;(COUNTIFS(F$2:F282,F282,K$2:K282,"Sparse"))</f>
        <v>MD0</v>
      </c>
      <c r="B282" s="5" t="str">
        <f>J282&amp;(COUNTIF(J$2:J282,J282))</f>
        <v>St Helens1</v>
      </c>
      <c r="C282" s="8" t="s">
        <v>248</v>
      </c>
      <c r="D282" s="8" t="s">
        <v>394</v>
      </c>
      <c r="E282" s="9" t="s">
        <v>375</v>
      </c>
      <c r="F282" s="9" t="s">
        <v>385</v>
      </c>
      <c r="G282" s="9" t="s">
        <v>396</v>
      </c>
      <c r="H282" s="10" t="s">
        <v>893</v>
      </c>
      <c r="I282" s="11" t="s">
        <v>383</v>
      </c>
      <c r="J282" t="str">
        <f>C282</f>
        <v>St Helens</v>
      </c>
      <c r="K282" s="21"/>
    </row>
    <row r="283" spans="1:11" ht="14.4">
      <c r="A283" s="5" t="str">
        <f>F283&amp;(COUNTIFS(F$2:F283,F283,K$2:K283,"Sparse"))</f>
        <v>SD64</v>
      </c>
      <c r="B283" s="5" t="str">
        <f>J283&amp;(COUNTIF(J$2:J283,J283))</f>
        <v>Staffordshire6</v>
      </c>
      <c r="C283" s="8" t="s">
        <v>153</v>
      </c>
      <c r="D283" s="8" t="s">
        <v>153</v>
      </c>
      <c r="E283" s="9" t="s">
        <v>367</v>
      </c>
      <c r="F283" s="9" t="s">
        <v>380</v>
      </c>
      <c r="G283" s="9" t="s">
        <v>5</v>
      </c>
      <c r="H283" s="12" t="s">
        <v>891</v>
      </c>
      <c r="I283" s="11" t="s">
        <v>370</v>
      </c>
      <c r="J283" t="s">
        <v>327</v>
      </c>
      <c r="K283" s="21" t="s">
        <v>335</v>
      </c>
    </row>
    <row r="284" spans="1:11" ht="14.4">
      <c r="A284" s="5" t="str">
        <f>F284&amp;(COUNTIFS(F$2:F284,F284,K$2:K284,"Sparse"))</f>
        <v>SC13</v>
      </c>
      <c r="B284" s="5" t="str">
        <f>J284&amp;(COUNTIF(J$2:J284,J284))</f>
        <v>Staffordshire7</v>
      </c>
      <c r="C284" s="11" t="s">
        <v>327</v>
      </c>
      <c r="D284" s="11" t="s">
        <v>327</v>
      </c>
      <c r="E284" s="9" t="s">
        <v>367</v>
      </c>
      <c r="F284" s="9" t="s">
        <v>388</v>
      </c>
      <c r="G284" s="9" t="s">
        <v>301</v>
      </c>
      <c r="H284" s="11" t="s">
        <v>370</v>
      </c>
      <c r="I284" s="11" t="s">
        <v>370</v>
      </c>
      <c r="J284" t="str">
        <f>C284</f>
        <v>Staffordshire</v>
      </c>
      <c r="K284" s="21" t="s">
        <v>335</v>
      </c>
    </row>
    <row r="285" spans="1:11" ht="14.4">
      <c r="A285" s="5" t="str">
        <f>F285&amp;(COUNTIFS(F$2:F285,F285,K$2:K285,"Sparse"))</f>
        <v>SD64</v>
      </c>
      <c r="B285" s="5" t="str">
        <f>J285&amp;(COUNTIF(J$2:J285,J285))</f>
        <v>Staffordshire8</v>
      </c>
      <c r="C285" s="8" t="s">
        <v>154</v>
      </c>
      <c r="D285" s="8" t="s">
        <v>154</v>
      </c>
      <c r="E285" s="9" t="s">
        <v>367</v>
      </c>
      <c r="F285" s="9" t="s">
        <v>380</v>
      </c>
      <c r="G285" s="9" t="s">
        <v>5</v>
      </c>
      <c r="H285" s="10" t="s">
        <v>892</v>
      </c>
      <c r="I285" s="11" t="s">
        <v>381</v>
      </c>
      <c r="J285" t="s">
        <v>327</v>
      </c>
      <c r="K285" s="21"/>
    </row>
    <row r="286" spans="1:11" ht="14.4">
      <c r="A286" s="5" t="str">
        <f>F286&amp;(COUNTIFS(F$2:F286,F286,K$2:K286,"Sparse"))</f>
        <v>SD64</v>
      </c>
      <c r="B286" s="5" t="str">
        <f>J286&amp;(COUNTIF(J$2:J286,J286))</f>
        <v>Hertfordshire8</v>
      </c>
      <c r="C286" s="8" t="s">
        <v>155</v>
      </c>
      <c r="D286" s="8" t="s">
        <v>155</v>
      </c>
      <c r="E286" s="9" t="s">
        <v>368</v>
      </c>
      <c r="F286" s="9" t="s">
        <v>380</v>
      </c>
      <c r="G286" s="9" t="s">
        <v>5</v>
      </c>
      <c r="H286" s="10" t="s">
        <v>888</v>
      </c>
      <c r="I286" s="11" t="s">
        <v>383</v>
      </c>
      <c r="J286" t="s">
        <v>314</v>
      </c>
      <c r="K286" s="21"/>
    </row>
    <row r="287" spans="1:11" ht="14.4">
      <c r="A287" s="5" t="str">
        <f>F287&amp;(COUNTIFS(F$2:F287,F287,K$2:K287,"Sparse"))</f>
        <v>MD0</v>
      </c>
      <c r="B287" s="5" t="str">
        <f>J287&amp;(COUNTIF(J$2:J287,J287))</f>
        <v>Stockport1</v>
      </c>
      <c r="C287" s="8" t="s">
        <v>249</v>
      </c>
      <c r="D287" s="8" t="s">
        <v>249</v>
      </c>
      <c r="E287" s="9" t="s">
        <v>375</v>
      </c>
      <c r="F287" s="9" t="s">
        <v>385</v>
      </c>
      <c r="G287" s="9" t="s">
        <v>396</v>
      </c>
      <c r="H287" s="10" t="s">
        <v>893</v>
      </c>
      <c r="I287" s="11" t="s">
        <v>383</v>
      </c>
      <c r="J287" t="str">
        <f>C287</f>
        <v>Stockport</v>
      </c>
      <c r="K287" s="21"/>
    </row>
    <row r="288" spans="1:11" ht="14.4">
      <c r="A288" s="5" t="str">
        <f>F288&amp;(COUNTIFS(F$2:F288,F288,K$2:K288,"Sparse"))</f>
        <v>UA11</v>
      </c>
      <c r="B288" s="5" t="str">
        <f>J288&amp;(COUNTIF(J$2:J288,J288))</f>
        <v>Unitary46</v>
      </c>
      <c r="C288" s="8" t="s">
        <v>290</v>
      </c>
      <c r="D288" s="8" t="s">
        <v>290</v>
      </c>
      <c r="E288" s="9" t="s">
        <v>389</v>
      </c>
      <c r="F288" s="9" t="s">
        <v>386</v>
      </c>
      <c r="G288" s="9" t="s">
        <v>395</v>
      </c>
      <c r="H288" s="10" t="s">
        <v>888</v>
      </c>
      <c r="I288" s="11" t="s">
        <v>383</v>
      </c>
      <c r="J288" s="22" t="s">
        <v>395</v>
      </c>
      <c r="K288" s="21"/>
    </row>
    <row r="289" spans="1:11" ht="14.4">
      <c r="A289" s="5" t="str">
        <f>F289&amp;(COUNTIFS(F$2:F289,F289,K$2:K289,"Sparse"))</f>
        <v>UA11</v>
      </c>
      <c r="B289" s="5" t="str">
        <f>J289&amp;(COUNTIF(J$2:J289,J289))</f>
        <v>Unitary47</v>
      </c>
      <c r="C289" s="8" t="s">
        <v>291</v>
      </c>
      <c r="D289" s="8" t="s">
        <v>291</v>
      </c>
      <c r="E289" s="9" t="s">
        <v>367</v>
      </c>
      <c r="F289" s="9" t="s">
        <v>386</v>
      </c>
      <c r="G289" s="9" t="s">
        <v>395</v>
      </c>
      <c r="H289" s="10" t="s">
        <v>888</v>
      </c>
      <c r="I289" s="11" t="s">
        <v>383</v>
      </c>
      <c r="J289" s="22" t="s">
        <v>395</v>
      </c>
      <c r="K289" s="21"/>
    </row>
    <row r="290" spans="1:11" ht="14.4">
      <c r="A290" s="5" t="str">
        <f>F290&amp;(COUNTIFS(F$2:F290,F290,K$2:K290,"Sparse"))</f>
        <v>SD65</v>
      </c>
      <c r="B290" s="5" t="str">
        <f>J290&amp;(COUNTIF(J$2:J290,J290))</f>
        <v>Warwickshire4</v>
      </c>
      <c r="C290" s="8" t="s">
        <v>156</v>
      </c>
      <c r="D290" s="8" t="s">
        <v>156</v>
      </c>
      <c r="E290" s="9" t="s">
        <v>367</v>
      </c>
      <c r="F290" s="9" t="s">
        <v>380</v>
      </c>
      <c r="G290" s="9" t="s">
        <v>5</v>
      </c>
      <c r="H290" s="10" t="s">
        <v>889</v>
      </c>
      <c r="I290" s="11" t="s">
        <v>381</v>
      </c>
      <c r="J290" t="s">
        <v>330</v>
      </c>
      <c r="K290" s="21" t="s">
        <v>335</v>
      </c>
    </row>
    <row r="291" spans="1:11" ht="14.4">
      <c r="A291" s="5" t="str">
        <f>F291&amp;(COUNTIFS(F$2:F291,F291,K$2:K291,"Sparse"))</f>
        <v>SD66</v>
      </c>
      <c r="B291" s="5" t="str">
        <f>J291&amp;(COUNTIF(J$2:J291,J291))</f>
        <v>Gloucestershire6</v>
      </c>
      <c r="C291" s="8" t="s">
        <v>157</v>
      </c>
      <c r="D291" s="8" t="s">
        <v>157</v>
      </c>
      <c r="E291" s="9" t="s">
        <v>1</v>
      </c>
      <c r="F291" s="9" t="s">
        <v>380</v>
      </c>
      <c r="G291" s="9" t="s">
        <v>5</v>
      </c>
      <c r="H291" s="10" t="s">
        <v>891</v>
      </c>
      <c r="I291" s="11" t="s">
        <v>370</v>
      </c>
      <c r="J291" t="s">
        <v>312</v>
      </c>
      <c r="K291" s="21" t="s">
        <v>335</v>
      </c>
    </row>
    <row r="292" spans="1:11" ht="14.4">
      <c r="A292" s="5" t="str">
        <f>F292&amp;(COUNTIFS(F$2:F292,F292,K$2:K292,"Sparse"))</f>
        <v>SC14</v>
      </c>
      <c r="B292" s="5" t="str">
        <f>J292&amp;(COUNTIF(J$2:J292,J292))</f>
        <v>Suffolk7</v>
      </c>
      <c r="C292" s="11" t="s">
        <v>328</v>
      </c>
      <c r="D292" s="11" t="s">
        <v>328</v>
      </c>
      <c r="E292" s="9" t="s">
        <v>368</v>
      </c>
      <c r="F292" s="9" t="s">
        <v>388</v>
      </c>
      <c r="G292" s="9" t="s">
        <v>301</v>
      </c>
      <c r="H292" s="11" t="s">
        <v>381</v>
      </c>
      <c r="I292" s="11" t="s">
        <v>381</v>
      </c>
      <c r="J292" t="str">
        <f>C292</f>
        <v>Suffolk</v>
      </c>
      <c r="K292" s="21" t="s">
        <v>335</v>
      </c>
    </row>
    <row r="293" spans="1:11" ht="14.4">
      <c r="A293" s="5" t="str">
        <f>F293&amp;(COUNTIFS(F$2:F293,F293,K$2:K293,"Sparse"))</f>
        <v>SD67</v>
      </c>
      <c r="B293" s="5" t="str">
        <f>J293&amp;(COUNTIF(J$2:J293,J293))</f>
        <v>Suffolk8</v>
      </c>
      <c r="C293" s="8" t="s">
        <v>158</v>
      </c>
      <c r="D293" s="8" t="s">
        <v>158</v>
      </c>
      <c r="E293" s="9" t="s">
        <v>368</v>
      </c>
      <c r="F293" s="9" t="s">
        <v>380</v>
      </c>
      <c r="G293" s="9" t="s">
        <v>5</v>
      </c>
      <c r="H293" s="10" t="s">
        <v>892</v>
      </c>
      <c r="I293" s="11" t="s">
        <v>381</v>
      </c>
      <c r="J293" t="s">
        <v>328</v>
      </c>
      <c r="K293" s="21" t="s">
        <v>335</v>
      </c>
    </row>
    <row r="294" spans="1:11" ht="14.4">
      <c r="A294" s="5" t="str">
        <f>F294&amp;(COUNTIFS(F$2:F294,F294,K$2:K294,"Sparse"))</f>
        <v>MD0</v>
      </c>
      <c r="B294" s="5" t="str">
        <f>J294&amp;(COUNTIF(J$2:J294,J294))</f>
        <v>Sunderland1</v>
      </c>
      <c r="C294" s="8" t="s">
        <v>250</v>
      </c>
      <c r="D294" s="8" t="s">
        <v>250</v>
      </c>
      <c r="E294" s="9" t="s">
        <v>389</v>
      </c>
      <c r="F294" s="9" t="s">
        <v>385</v>
      </c>
      <c r="G294" s="9" t="s">
        <v>396</v>
      </c>
      <c r="H294" s="10" t="s">
        <v>893</v>
      </c>
      <c r="I294" s="11" t="s">
        <v>383</v>
      </c>
      <c r="J294" t="str">
        <f>C294</f>
        <v>Sunderland</v>
      </c>
      <c r="K294" s="21"/>
    </row>
    <row r="295" spans="1:11" ht="14.4">
      <c r="A295" s="5" t="str">
        <f>F295&amp;(COUNTIFS(F$2:F295,F295,K$2:K295,"Sparse"))</f>
        <v>SC14</v>
      </c>
      <c r="B295" s="5" t="str">
        <f>J295&amp;(COUNTIF(J$2:J295,J295))</f>
        <v>Surrey8</v>
      </c>
      <c r="C295" s="11" t="s">
        <v>329</v>
      </c>
      <c r="D295" s="11" t="s">
        <v>329</v>
      </c>
      <c r="E295" s="9" t="s">
        <v>0</v>
      </c>
      <c r="F295" s="9" t="s">
        <v>388</v>
      </c>
      <c r="G295" s="9" t="s">
        <v>301</v>
      </c>
      <c r="H295" s="11" t="s">
        <v>383</v>
      </c>
      <c r="I295" s="11" t="s">
        <v>383</v>
      </c>
      <c r="J295" t="str">
        <f>C295</f>
        <v>Surrey</v>
      </c>
      <c r="K295" s="21"/>
    </row>
    <row r="296" spans="1:11" ht="14.4">
      <c r="A296" s="5" t="str">
        <f>F296&amp;(COUNTIFS(F$2:F296,F296,K$2:K296,"Sparse"))</f>
        <v>SD67</v>
      </c>
      <c r="B296" s="5" t="str">
        <f>J296&amp;(COUNTIF(J$2:J296,J296))</f>
        <v>Surrey9</v>
      </c>
      <c r="C296" s="8" t="s">
        <v>159</v>
      </c>
      <c r="D296" s="8" t="s">
        <v>159</v>
      </c>
      <c r="E296" s="9" t="s">
        <v>0</v>
      </c>
      <c r="F296" s="9" t="s">
        <v>380</v>
      </c>
      <c r="G296" s="9" t="s">
        <v>5</v>
      </c>
      <c r="H296" s="10" t="s">
        <v>888</v>
      </c>
      <c r="I296" s="11" t="s">
        <v>383</v>
      </c>
      <c r="J296" t="s">
        <v>329</v>
      </c>
      <c r="K296" s="21"/>
    </row>
    <row r="297" spans="1:11" ht="14.4">
      <c r="A297" s="5" t="str">
        <f>F297&amp;(COUNTIFS(F$2:F297,F297,K$2:K297,"Sparse"))</f>
        <v>L0</v>
      </c>
      <c r="B297" s="5" t="str">
        <f>J297&amp;(COUNTIF(J$2:J297,J297))</f>
        <v>London29</v>
      </c>
      <c r="C297" s="8" t="s">
        <v>218</v>
      </c>
      <c r="D297" s="8" t="s">
        <v>218</v>
      </c>
      <c r="E297" s="9" t="s">
        <v>382</v>
      </c>
      <c r="F297" s="9" t="s">
        <v>358</v>
      </c>
      <c r="G297" s="9" t="s">
        <v>382</v>
      </c>
      <c r="H297" s="10" t="s">
        <v>893</v>
      </c>
      <c r="I297" s="11" t="s">
        <v>383</v>
      </c>
      <c r="J297" t="str">
        <f>G297</f>
        <v>London</v>
      </c>
      <c r="K297" s="21"/>
    </row>
    <row r="298" spans="1:11" ht="14.4">
      <c r="A298" s="5" t="str">
        <f>F298&amp;(COUNTIFS(F$2:F298,F298,K$2:K298,"Sparse"))</f>
        <v>SD67</v>
      </c>
      <c r="B298" s="5" t="str">
        <f>J298&amp;(COUNTIF(J$2:J298,J298))</f>
        <v>Kent10</v>
      </c>
      <c r="C298" s="8" t="s">
        <v>160</v>
      </c>
      <c r="D298" s="8" t="s">
        <v>160</v>
      </c>
      <c r="E298" s="9" t="s">
        <v>0</v>
      </c>
      <c r="F298" s="9" t="s">
        <v>380</v>
      </c>
      <c r="G298" s="9" t="s">
        <v>5</v>
      </c>
      <c r="H298" s="12" t="s">
        <v>892</v>
      </c>
      <c r="I298" s="11" t="s">
        <v>381</v>
      </c>
      <c r="J298" t="s">
        <v>315</v>
      </c>
      <c r="K298" s="21"/>
    </row>
    <row r="299" spans="1:11" ht="14.4">
      <c r="A299" s="5" t="str">
        <f>F299&amp;(COUNTIFS(F$2:F299,F299,K$2:K299,"Sparse"))</f>
        <v>UA11</v>
      </c>
      <c r="B299" s="5" t="str">
        <f>J299&amp;(COUNTIF(J$2:J299,J299))</f>
        <v>Unitary48</v>
      </c>
      <c r="C299" s="8" t="s">
        <v>292</v>
      </c>
      <c r="D299" s="8" t="s">
        <v>292</v>
      </c>
      <c r="E299" s="9" t="s">
        <v>1</v>
      </c>
      <c r="F299" s="9" t="s">
        <v>386</v>
      </c>
      <c r="G299" s="9" t="s">
        <v>395</v>
      </c>
      <c r="H299" s="10" t="s">
        <v>888</v>
      </c>
      <c r="I299" s="11" t="s">
        <v>383</v>
      </c>
      <c r="J299" s="22" t="s">
        <v>395</v>
      </c>
      <c r="K299" s="21"/>
    </row>
    <row r="300" spans="1:11" ht="14.4">
      <c r="A300" s="5" t="str">
        <f>F300&amp;(COUNTIFS(F$2:F300,F300,K$2:K300,"Sparse"))</f>
        <v>MD0</v>
      </c>
      <c r="B300" s="5" t="str">
        <f>J300&amp;(COUNTIF(J$2:J300,J300))</f>
        <v>Tameside1</v>
      </c>
      <c r="C300" s="8" t="s">
        <v>251</v>
      </c>
      <c r="D300" s="8" t="s">
        <v>251</v>
      </c>
      <c r="E300" s="9" t="s">
        <v>375</v>
      </c>
      <c r="F300" s="9" t="s">
        <v>385</v>
      </c>
      <c r="G300" s="9" t="s">
        <v>396</v>
      </c>
      <c r="H300" s="10" t="s">
        <v>893</v>
      </c>
      <c r="I300" s="11" t="s">
        <v>383</v>
      </c>
      <c r="J300" t="str">
        <f>C300</f>
        <v>Tameside</v>
      </c>
      <c r="K300" s="21"/>
    </row>
    <row r="301" spans="1:11" ht="14.4">
      <c r="A301" s="5" t="str">
        <f>F301&amp;(COUNTIFS(F$2:F301,F301,K$2:K301,"Sparse"))</f>
        <v>SD67</v>
      </c>
      <c r="B301" s="5" t="str">
        <f>J301&amp;(COUNTIF(J$2:J301,J301))</f>
        <v>Staffordshire9</v>
      </c>
      <c r="C301" s="8" t="s">
        <v>161</v>
      </c>
      <c r="D301" s="8" t="s">
        <v>161</v>
      </c>
      <c r="E301" s="9" t="s">
        <v>367</v>
      </c>
      <c r="F301" s="9" t="s">
        <v>380</v>
      </c>
      <c r="G301" s="9" t="s">
        <v>5</v>
      </c>
      <c r="H301" s="10" t="s">
        <v>888</v>
      </c>
      <c r="I301" s="11" t="s">
        <v>383</v>
      </c>
      <c r="J301" t="s">
        <v>327</v>
      </c>
      <c r="K301" s="21"/>
    </row>
    <row r="302" spans="1:11" ht="14.4">
      <c r="A302" s="5" t="str">
        <f>F302&amp;(COUNTIFS(F$2:F302,F302,K$2:K302,"Sparse"))</f>
        <v>SD68</v>
      </c>
      <c r="B302" s="5" t="str">
        <f>J302&amp;(COUNTIF(J$2:J302,J302))</f>
        <v>Surrey10</v>
      </c>
      <c r="C302" s="8" t="s">
        <v>162</v>
      </c>
      <c r="D302" s="8" t="s">
        <v>162</v>
      </c>
      <c r="E302" s="9" t="s">
        <v>0</v>
      </c>
      <c r="F302" s="9" t="s">
        <v>380</v>
      </c>
      <c r="G302" s="9" t="s">
        <v>5</v>
      </c>
      <c r="H302" s="10" t="s">
        <v>891</v>
      </c>
      <c r="I302" s="11" t="s">
        <v>370</v>
      </c>
      <c r="J302" t="s">
        <v>329</v>
      </c>
      <c r="K302" s="21" t="s">
        <v>335</v>
      </c>
    </row>
    <row r="303" spans="1:11" ht="14.4">
      <c r="A303" s="5" t="str">
        <f>F303&amp;(COUNTIFS(F$2:F303,F303,K$2:K303,"Sparse"))</f>
        <v>SD69</v>
      </c>
      <c r="B303" s="5" t="str">
        <f>J303&amp;(COUNTIF(J$2:J303,J303))</f>
        <v>Somerset6</v>
      </c>
      <c r="C303" s="8" t="s">
        <v>163</v>
      </c>
      <c r="D303" s="8" t="s">
        <v>163</v>
      </c>
      <c r="E303" s="9" t="s">
        <v>1</v>
      </c>
      <c r="F303" s="9" t="s">
        <v>380</v>
      </c>
      <c r="G303" s="9" t="s">
        <v>5</v>
      </c>
      <c r="H303" s="12" t="s">
        <v>891</v>
      </c>
      <c r="I303" s="11" t="s">
        <v>370</v>
      </c>
      <c r="J303" t="s">
        <v>326</v>
      </c>
      <c r="K303" s="21" t="s">
        <v>335</v>
      </c>
    </row>
    <row r="304" spans="1:11" ht="14.4">
      <c r="A304" s="5" t="str">
        <f>F304&amp;(COUNTIFS(F$2:F304,F304,K$2:K304,"Sparse"))</f>
        <v>SD70</v>
      </c>
      <c r="B304" s="5" t="str">
        <f>J304&amp;(COUNTIF(J$2:J304,J304))</f>
        <v>Devon7</v>
      </c>
      <c r="C304" s="8" t="s">
        <v>164</v>
      </c>
      <c r="D304" s="8" t="s">
        <v>164</v>
      </c>
      <c r="E304" s="9" t="s">
        <v>1</v>
      </c>
      <c r="F304" s="9" t="s">
        <v>380</v>
      </c>
      <c r="G304" s="9" t="s">
        <v>5</v>
      </c>
      <c r="H304" s="10" t="s">
        <v>892</v>
      </c>
      <c r="I304" s="11" t="s">
        <v>381</v>
      </c>
      <c r="J304" t="s">
        <v>308</v>
      </c>
      <c r="K304" s="21" t="s">
        <v>335</v>
      </c>
    </row>
    <row r="305" spans="1:11" ht="14.4">
      <c r="A305" s="5" t="str">
        <f>F305&amp;(COUNTIFS(F$2:F305,F305,K$2:K305,"Sparse"))</f>
        <v>UA11</v>
      </c>
      <c r="B305" s="5" t="str">
        <f>J305&amp;(COUNTIF(J$2:J305,J305))</f>
        <v>Unitary49</v>
      </c>
      <c r="C305" s="8" t="s">
        <v>813</v>
      </c>
      <c r="D305" s="8" t="s">
        <v>813</v>
      </c>
      <c r="E305" s="9" t="s">
        <v>367</v>
      </c>
      <c r="F305" s="9" t="s">
        <v>386</v>
      </c>
      <c r="G305" s="9" t="s">
        <v>395</v>
      </c>
      <c r="H305" s="10" t="s">
        <v>888</v>
      </c>
      <c r="I305" s="11" t="s">
        <v>383</v>
      </c>
      <c r="J305" s="22" t="s">
        <v>395</v>
      </c>
      <c r="K305" s="21"/>
    </row>
    <row r="306" spans="1:11" ht="14.4">
      <c r="A306" s="5" t="str">
        <f>F306&amp;(COUNTIFS(F$2:F306,F306,K$2:K306,"Sparse"))</f>
        <v>SD70</v>
      </c>
      <c r="B306" s="5" t="str">
        <f>J306&amp;(COUNTIF(J$2:J306,J306))</f>
        <v>Essex12</v>
      </c>
      <c r="C306" s="8" t="s">
        <v>165</v>
      </c>
      <c r="D306" s="8" t="s">
        <v>165</v>
      </c>
      <c r="E306" s="9" t="s">
        <v>368</v>
      </c>
      <c r="F306" s="9" t="s">
        <v>380</v>
      </c>
      <c r="G306" s="9" t="s">
        <v>5</v>
      </c>
      <c r="H306" s="10" t="s">
        <v>892</v>
      </c>
      <c r="I306" s="11" t="s">
        <v>381</v>
      </c>
      <c r="J306" t="s">
        <v>311</v>
      </c>
      <c r="K306" s="21"/>
    </row>
    <row r="307" spans="1:11" ht="14.4">
      <c r="A307" s="5" t="str">
        <f>F307&amp;(COUNTIFS(F$2:F307,F307,K$2:K307,"Sparse"))</f>
        <v>SD70</v>
      </c>
      <c r="B307" s="5" t="str">
        <f>J307&amp;(COUNTIF(J$2:J307,J307))</f>
        <v>Hampshire11</v>
      </c>
      <c r="C307" s="8" t="s">
        <v>166</v>
      </c>
      <c r="D307" s="8" t="s">
        <v>166</v>
      </c>
      <c r="E307" s="9" t="s">
        <v>0</v>
      </c>
      <c r="F307" s="9" t="s">
        <v>380</v>
      </c>
      <c r="G307" s="9" t="s">
        <v>5</v>
      </c>
      <c r="H307" s="10" t="s">
        <v>891</v>
      </c>
      <c r="I307" s="11" t="s">
        <v>370</v>
      </c>
      <c r="J307" t="s">
        <v>313</v>
      </c>
      <c r="K307" s="21"/>
    </row>
    <row r="308" spans="1:11" ht="14.4">
      <c r="A308" s="5" t="str">
        <f>F308&amp;(COUNTIFS(F$2:F308,F308,K$2:K308,"Sparse"))</f>
        <v>SD71</v>
      </c>
      <c r="B308" s="5" t="str">
        <f>J308&amp;(COUNTIF(J$2:J308,J308))</f>
        <v>Gloucestershire7</v>
      </c>
      <c r="C308" s="8" t="s">
        <v>167</v>
      </c>
      <c r="D308" s="8" t="s">
        <v>167</v>
      </c>
      <c r="E308" s="9" t="s">
        <v>1</v>
      </c>
      <c r="F308" s="9" t="s">
        <v>380</v>
      </c>
      <c r="G308" s="9" t="s">
        <v>5</v>
      </c>
      <c r="H308" s="10" t="s">
        <v>892</v>
      </c>
      <c r="I308" s="11" t="s">
        <v>381</v>
      </c>
      <c r="J308" t="s">
        <v>312</v>
      </c>
      <c r="K308" s="21" t="s">
        <v>335</v>
      </c>
    </row>
    <row r="309" spans="1:11" ht="14.4">
      <c r="A309" s="5" t="str">
        <f>F309&amp;(COUNTIFS(F$2:F309,F309,K$2:K309,"Sparse"))</f>
        <v>SD71</v>
      </c>
      <c r="B309" s="5" t="str">
        <f>J309&amp;(COUNTIF(J$2:J309,J309))</f>
        <v>Kent11</v>
      </c>
      <c r="C309" s="8" t="s">
        <v>168</v>
      </c>
      <c r="D309" s="8" t="s">
        <v>168</v>
      </c>
      <c r="E309" s="9" t="s">
        <v>0</v>
      </c>
      <c r="F309" s="9" t="s">
        <v>380</v>
      </c>
      <c r="G309" s="9" t="s">
        <v>5</v>
      </c>
      <c r="H309" s="10" t="s">
        <v>888</v>
      </c>
      <c r="I309" s="11" t="s">
        <v>383</v>
      </c>
      <c r="J309" t="s">
        <v>315</v>
      </c>
      <c r="K309" s="21"/>
    </row>
    <row r="310" spans="1:11" ht="14.4">
      <c r="A310" s="5" t="str">
        <f>F310&amp;(COUNTIFS(F$2:F310,F310,K$2:K310,"Sparse"))</f>
        <v>SD71</v>
      </c>
      <c r="B310" s="5" t="str">
        <f>J310&amp;(COUNTIF(J$2:J310,J310))</f>
        <v>Hertfordshire9</v>
      </c>
      <c r="C310" s="8" t="s">
        <v>169</v>
      </c>
      <c r="D310" s="8" t="s">
        <v>169</v>
      </c>
      <c r="E310" s="9" t="s">
        <v>368</v>
      </c>
      <c r="F310" s="9" t="s">
        <v>380</v>
      </c>
      <c r="G310" s="9" t="s">
        <v>5</v>
      </c>
      <c r="H310" s="10" t="s">
        <v>893</v>
      </c>
      <c r="I310" s="11" t="s">
        <v>383</v>
      </c>
      <c r="J310" t="s">
        <v>314</v>
      </c>
      <c r="K310" s="21"/>
    </row>
    <row r="311" spans="1:11" ht="14.4">
      <c r="A311" s="5" t="str">
        <f>F311&amp;(COUNTIFS(F$2:F311,F311,K$2:K311,"Sparse"))</f>
        <v>UA11</v>
      </c>
      <c r="B311" s="5" t="str">
        <f>J311&amp;(COUNTIF(J$2:J311,J311))</f>
        <v>Unitary50</v>
      </c>
      <c r="C311" s="8" t="s">
        <v>293</v>
      </c>
      <c r="D311" s="8" t="s">
        <v>293</v>
      </c>
      <c r="E311" s="9" t="s">
        <v>368</v>
      </c>
      <c r="F311" s="9" t="s">
        <v>386</v>
      </c>
      <c r="G311" s="9" t="s">
        <v>395</v>
      </c>
      <c r="H311" s="10" t="s">
        <v>893</v>
      </c>
      <c r="I311" s="11" t="s">
        <v>383</v>
      </c>
      <c r="J311" s="22" t="s">
        <v>395</v>
      </c>
      <c r="K311" s="21"/>
    </row>
    <row r="312" spans="1:11" ht="14.4">
      <c r="A312" s="5" t="str">
        <f>F312&amp;(COUNTIFS(F$2:F312,F312,K$2:K312,"Sparse"))</f>
        <v>SD71</v>
      </c>
      <c r="B312" s="5" t="str">
        <f>J312&amp;(COUNTIF(J$2:J312,J312))</f>
        <v>Kent12</v>
      </c>
      <c r="C312" s="8" t="s">
        <v>349</v>
      </c>
      <c r="D312" s="8" t="s">
        <v>349</v>
      </c>
      <c r="E312" s="9" t="s">
        <v>0</v>
      </c>
      <c r="F312" s="9" t="s">
        <v>380</v>
      </c>
      <c r="G312" s="9" t="s">
        <v>5</v>
      </c>
      <c r="H312" s="10" t="s">
        <v>891</v>
      </c>
      <c r="I312" s="11" t="s">
        <v>370</v>
      </c>
      <c r="J312" t="s">
        <v>315</v>
      </c>
      <c r="K312" s="21"/>
    </row>
    <row r="313" spans="1:11" ht="14.4">
      <c r="A313" s="5" t="str">
        <f>F313&amp;(COUNTIFS(F$2:F313,F313,K$2:K313,"Sparse"))</f>
        <v>UA11</v>
      </c>
      <c r="B313" s="5" t="str">
        <f>J313&amp;(COUNTIF(J$2:J313,J313))</f>
        <v>Unitary51</v>
      </c>
      <c r="C313" s="8" t="s">
        <v>294</v>
      </c>
      <c r="D313" s="8" t="s">
        <v>294</v>
      </c>
      <c r="E313" s="9" t="s">
        <v>1</v>
      </c>
      <c r="F313" s="9" t="s">
        <v>386</v>
      </c>
      <c r="G313" s="9" t="s">
        <v>395</v>
      </c>
      <c r="H313" s="10" t="s">
        <v>888</v>
      </c>
      <c r="I313" s="11" t="s">
        <v>383</v>
      </c>
      <c r="J313" s="22" t="s">
        <v>395</v>
      </c>
      <c r="K313" s="21"/>
    </row>
    <row r="314" spans="1:11" ht="14.4">
      <c r="A314" s="5" t="str">
        <f>F314&amp;(COUNTIFS(F$2:F314,F314,K$2:K314,"Sparse"))</f>
        <v>SD72</v>
      </c>
      <c r="B314" s="5" t="str">
        <f>J314&amp;(COUNTIF(J$2:J314,J314))</f>
        <v>Devon8</v>
      </c>
      <c r="C314" s="8" t="s">
        <v>170</v>
      </c>
      <c r="D314" s="8" t="s">
        <v>170</v>
      </c>
      <c r="E314" s="9" t="s">
        <v>1</v>
      </c>
      <c r="F314" s="9" t="s">
        <v>380</v>
      </c>
      <c r="G314" s="9" t="s">
        <v>5</v>
      </c>
      <c r="H314" s="10" t="s">
        <v>889</v>
      </c>
      <c r="I314" s="11" t="s">
        <v>381</v>
      </c>
      <c r="J314" t="s">
        <v>308</v>
      </c>
      <c r="K314" s="21" t="s">
        <v>335</v>
      </c>
    </row>
    <row r="315" spans="1:11" ht="14.4">
      <c r="A315" s="5" t="str">
        <f>F315&amp;(COUNTIFS(F$2:F315,F315,K$2:K315,"Sparse"))</f>
        <v>L0</v>
      </c>
      <c r="B315" s="5" t="str">
        <f>J315&amp;(COUNTIF(J$2:J315,J315))</f>
        <v>London30</v>
      </c>
      <c r="C315" s="8" t="s">
        <v>219</v>
      </c>
      <c r="D315" s="8" t="s">
        <v>219</v>
      </c>
      <c r="E315" s="9" t="s">
        <v>382</v>
      </c>
      <c r="F315" s="9" t="s">
        <v>358</v>
      </c>
      <c r="G315" s="9" t="s">
        <v>382</v>
      </c>
      <c r="H315" s="10" t="s">
        <v>893</v>
      </c>
      <c r="I315" s="11" t="s">
        <v>383</v>
      </c>
      <c r="J315" t="str">
        <f>G315</f>
        <v>London</v>
      </c>
      <c r="K315" s="21"/>
    </row>
    <row r="316" spans="1:11" ht="14.4">
      <c r="A316" s="5" t="str">
        <f>F316&amp;(COUNTIFS(F$2:F316,F316,K$2:K316,"Sparse"))</f>
        <v>MD0</v>
      </c>
      <c r="B316" s="5" t="str">
        <f>J316&amp;(COUNTIF(J$2:J316,J316))</f>
        <v>Trafford1</v>
      </c>
      <c r="C316" s="8" t="s">
        <v>252</v>
      </c>
      <c r="D316" s="8" t="s">
        <v>252</v>
      </c>
      <c r="E316" s="9" t="s">
        <v>375</v>
      </c>
      <c r="F316" s="9" t="s">
        <v>385</v>
      </c>
      <c r="G316" s="9" t="s">
        <v>396</v>
      </c>
      <c r="H316" s="10" t="s">
        <v>893</v>
      </c>
      <c r="I316" s="11" t="s">
        <v>383</v>
      </c>
      <c r="J316" t="str">
        <f>C316</f>
        <v>Trafford</v>
      </c>
      <c r="K316" s="21"/>
    </row>
    <row r="317" spans="1:11" ht="14.4">
      <c r="A317" s="5" t="str">
        <f>F317&amp;(COUNTIFS(F$2:F317,F317,K$2:K317,"Sparse"))</f>
        <v>SD73</v>
      </c>
      <c r="B317" s="5" t="str">
        <f>J317&amp;(COUNTIF(J$2:J317,J317))</f>
        <v>Kent13</v>
      </c>
      <c r="C317" s="8" t="s">
        <v>171</v>
      </c>
      <c r="D317" s="8" t="s">
        <v>171</v>
      </c>
      <c r="E317" s="9" t="s">
        <v>0</v>
      </c>
      <c r="F317" s="9" t="s">
        <v>380</v>
      </c>
      <c r="G317" s="9" t="s">
        <v>5</v>
      </c>
      <c r="H317" s="12" t="s">
        <v>891</v>
      </c>
      <c r="I317" s="11" t="s">
        <v>370</v>
      </c>
      <c r="J317" t="s">
        <v>315</v>
      </c>
      <c r="K317" s="21" t="s">
        <v>335</v>
      </c>
    </row>
    <row r="318" spans="1:11" ht="14.4">
      <c r="A318" s="5" t="str">
        <f>F318&amp;(COUNTIFS(F$2:F318,F318,K$2:K318,"Sparse"))</f>
        <v>SD74</v>
      </c>
      <c r="B318" s="5" t="str">
        <f>J318&amp;(COUNTIF(J$2:J318,J318))</f>
        <v>Essex13</v>
      </c>
      <c r="C318" s="8" t="s">
        <v>172</v>
      </c>
      <c r="D318" s="8" t="s">
        <v>172</v>
      </c>
      <c r="E318" s="9" t="s">
        <v>368</v>
      </c>
      <c r="F318" s="9" t="s">
        <v>380</v>
      </c>
      <c r="G318" s="9" t="s">
        <v>5</v>
      </c>
      <c r="H318" s="10" t="s">
        <v>889</v>
      </c>
      <c r="I318" s="11" t="s">
        <v>381</v>
      </c>
      <c r="J318" t="s">
        <v>311</v>
      </c>
      <c r="K318" s="21" t="s">
        <v>335</v>
      </c>
    </row>
    <row r="319" spans="1:11" ht="14.4">
      <c r="A319" s="5" t="str">
        <f>F319&amp;(COUNTIFS(F$2:F319,F319,K$2:K319,"Sparse"))</f>
        <v>SD75</v>
      </c>
      <c r="B319" s="5" t="str">
        <f>J319&amp;(COUNTIF(J$2:J319,J319))</f>
        <v>Oxfordshire5</v>
      </c>
      <c r="C319" s="8" t="s">
        <v>173</v>
      </c>
      <c r="D319" s="8" t="s">
        <v>173</v>
      </c>
      <c r="E319" s="9" t="s">
        <v>0</v>
      </c>
      <c r="F319" s="9" t="s">
        <v>380</v>
      </c>
      <c r="G319" s="9" t="s">
        <v>5</v>
      </c>
      <c r="H319" s="10" t="s">
        <v>892</v>
      </c>
      <c r="I319" s="11" t="s">
        <v>381</v>
      </c>
      <c r="J319" t="s">
        <v>324</v>
      </c>
      <c r="K319" s="21" t="s">
        <v>335</v>
      </c>
    </row>
    <row r="320" spans="1:11" ht="14.4">
      <c r="A320" s="5" t="str">
        <f>F320&amp;(COUNTIFS(F$2:F320,F320,K$2:K320,"Sparse"))</f>
        <v>MD0</v>
      </c>
      <c r="B320" s="5" t="str">
        <f>J320&amp;(COUNTIF(J$2:J320,J320))</f>
        <v>Wakefield1</v>
      </c>
      <c r="C320" s="8" t="s">
        <v>253</v>
      </c>
      <c r="D320" s="8" t="s">
        <v>253</v>
      </c>
      <c r="E320" s="9" t="s">
        <v>384</v>
      </c>
      <c r="F320" s="9" t="s">
        <v>385</v>
      </c>
      <c r="G320" s="9" t="s">
        <v>396</v>
      </c>
      <c r="H320" s="12" t="s">
        <v>888</v>
      </c>
      <c r="I320" s="11" t="s">
        <v>383</v>
      </c>
      <c r="J320" t="str">
        <f>C320</f>
        <v>Wakefield</v>
      </c>
      <c r="K320" s="21"/>
    </row>
    <row r="321" spans="1:11" ht="14.4">
      <c r="A321" s="5" t="str">
        <f>F321&amp;(COUNTIFS(F$2:F321,F321,K$2:K321,"Sparse"))</f>
        <v>MD0</v>
      </c>
      <c r="B321" s="5" t="str">
        <f>J321&amp;(COUNTIF(J$2:J321,J321))</f>
        <v>Walsall1</v>
      </c>
      <c r="C321" s="8" t="s">
        <v>254</v>
      </c>
      <c r="D321" s="8" t="s">
        <v>254</v>
      </c>
      <c r="E321" s="9" t="s">
        <v>367</v>
      </c>
      <c r="F321" s="9" t="s">
        <v>385</v>
      </c>
      <c r="G321" s="9" t="s">
        <v>396</v>
      </c>
      <c r="H321" s="10" t="s">
        <v>893</v>
      </c>
      <c r="I321" s="11" t="s">
        <v>383</v>
      </c>
      <c r="J321" t="str">
        <f>C321</f>
        <v>Walsall</v>
      </c>
      <c r="K321" s="21"/>
    </row>
    <row r="322" spans="1:11" ht="14.4">
      <c r="A322" s="5" t="str">
        <f>F322&amp;(COUNTIFS(F$2:F322,F322,K$2:K322,"Sparse"))</f>
        <v>L0</v>
      </c>
      <c r="B322" s="5" t="str">
        <f>J322&amp;(COUNTIF(J$2:J322,J322))</f>
        <v>London31</v>
      </c>
      <c r="C322" s="8" t="s">
        <v>220</v>
      </c>
      <c r="D322" s="8" t="s">
        <v>220</v>
      </c>
      <c r="E322" s="9" t="s">
        <v>382</v>
      </c>
      <c r="F322" s="9" t="s">
        <v>358</v>
      </c>
      <c r="G322" s="9" t="s">
        <v>382</v>
      </c>
      <c r="H322" s="10" t="s">
        <v>893</v>
      </c>
      <c r="I322" s="11" t="s">
        <v>383</v>
      </c>
      <c r="J322" t="str">
        <f>G322</f>
        <v>London</v>
      </c>
      <c r="K322" s="21"/>
    </row>
    <row r="323" spans="1:11" ht="14.4">
      <c r="A323" s="5" t="str">
        <f>F323&amp;(COUNTIFS(F$2:F323,F323,K$2:K323,"Sparse"))</f>
        <v>L0</v>
      </c>
      <c r="B323" s="5" t="str">
        <f>J323&amp;(COUNTIF(J$2:J323,J323))</f>
        <v>London32</v>
      </c>
      <c r="C323" s="8" t="s">
        <v>221</v>
      </c>
      <c r="D323" s="8" t="s">
        <v>221</v>
      </c>
      <c r="E323" s="9" t="s">
        <v>382</v>
      </c>
      <c r="F323" s="9" t="s">
        <v>358</v>
      </c>
      <c r="G323" s="9" t="s">
        <v>382</v>
      </c>
      <c r="H323" s="10" t="s">
        <v>893</v>
      </c>
      <c r="I323" s="11" t="s">
        <v>383</v>
      </c>
      <c r="J323" t="str">
        <f>G323</f>
        <v>London</v>
      </c>
      <c r="K323" s="21"/>
    </row>
    <row r="324" spans="1:11" ht="14.4">
      <c r="A324" s="5" t="str">
        <f>F324&amp;(COUNTIFS(F$2:F324,F324,K$2:K324,"Sparse"))</f>
        <v>UA11</v>
      </c>
      <c r="B324" s="5" t="str">
        <f>J324&amp;(COUNTIF(J$2:J324,J324))</f>
        <v>Unitary52</v>
      </c>
      <c r="C324" s="8" t="s">
        <v>295</v>
      </c>
      <c r="D324" s="8" t="s">
        <v>295</v>
      </c>
      <c r="E324" s="9" t="s">
        <v>375</v>
      </c>
      <c r="F324" s="9" t="s">
        <v>386</v>
      </c>
      <c r="G324" s="9" t="s">
        <v>395</v>
      </c>
      <c r="H324" s="10" t="s">
        <v>888</v>
      </c>
      <c r="I324" s="11" t="s">
        <v>383</v>
      </c>
      <c r="J324" s="22" t="s">
        <v>395</v>
      </c>
      <c r="K324" s="21"/>
    </row>
    <row r="325" spans="1:11" ht="14.4">
      <c r="A325" s="5" t="str">
        <f>F325&amp;(COUNTIFS(F$2:F325,F325,K$2:K325,"Sparse"))</f>
        <v>SD75</v>
      </c>
      <c r="B325" s="5" t="str">
        <f>J325&amp;(COUNTIF(J$2:J325,J325))</f>
        <v>Warwickshire5</v>
      </c>
      <c r="C325" s="8" t="s">
        <v>174</v>
      </c>
      <c r="D325" s="8" t="s">
        <v>174</v>
      </c>
      <c r="E325" s="9" t="s">
        <v>367</v>
      </c>
      <c r="F325" s="9" t="s">
        <v>380</v>
      </c>
      <c r="G325" s="9" t="s">
        <v>5</v>
      </c>
      <c r="H325" s="12" t="s">
        <v>888</v>
      </c>
      <c r="I325" s="11" t="s">
        <v>383</v>
      </c>
      <c r="J325" t="s">
        <v>330</v>
      </c>
      <c r="K325" s="21"/>
    </row>
    <row r="326" spans="1:11" ht="14.4">
      <c r="A326" s="5" t="str">
        <f>F326&amp;(COUNTIFS(F$2:F326,F326,K$2:K326,"Sparse"))</f>
        <v>SC15</v>
      </c>
      <c r="B326" s="5" t="str">
        <f>J326&amp;(COUNTIF(J$2:J326,J326))</f>
        <v>Warwickshire6</v>
      </c>
      <c r="C326" s="11" t="s">
        <v>330</v>
      </c>
      <c r="D326" s="11" t="s">
        <v>330</v>
      </c>
      <c r="E326" s="9" t="s">
        <v>367</v>
      </c>
      <c r="F326" s="9" t="s">
        <v>388</v>
      </c>
      <c r="G326" s="9" t="s">
        <v>301</v>
      </c>
      <c r="H326" s="11" t="s">
        <v>370</v>
      </c>
      <c r="I326" s="11" t="s">
        <v>370</v>
      </c>
      <c r="J326" t="str">
        <f>C326</f>
        <v>Warwickshire</v>
      </c>
      <c r="K326" s="21" t="s">
        <v>335</v>
      </c>
    </row>
    <row r="327" spans="1:11" ht="14.4">
      <c r="A327" s="5" t="str">
        <f>F327&amp;(COUNTIFS(F$2:F327,F327,K$2:K327,"Sparse"))</f>
        <v>SD75</v>
      </c>
      <c r="B327" s="5" t="str">
        <f>J327&amp;(COUNTIF(J$2:J327,J327))</f>
        <v>Hertfordshire10</v>
      </c>
      <c r="C327" s="8" t="s">
        <v>175</v>
      </c>
      <c r="D327" s="8" t="s">
        <v>175</v>
      </c>
      <c r="E327" s="9" t="s">
        <v>368</v>
      </c>
      <c r="F327" s="9" t="s">
        <v>380</v>
      </c>
      <c r="G327" s="9" t="s">
        <v>5</v>
      </c>
      <c r="H327" s="10" t="s">
        <v>893</v>
      </c>
      <c r="I327" s="11" t="s">
        <v>383</v>
      </c>
      <c r="J327" t="s">
        <v>314</v>
      </c>
      <c r="K327" s="21"/>
    </row>
    <row r="328" spans="1:11" ht="14.4">
      <c r="A328" s="5" t="str">
        <f>F328&amp;(COUNTIFS(F$2:F328,F328,K$2:K328,"Sparse"))</f>
        <v>SD76</v>
      </c>
      <c r="B328" s="5" t="str">
        <f>J328&amp;(COUNTIF(J$2:J328,J328))</f>
        <v>Suffolk9</v>
      </c>
      <c r="C328" s="8" t="s">
        <v>176</v>
      </c>
      <c r="D328" s="8" t="s">
        <v>176</v>
      </c>
      <c r="E328" s="9" t="s">
        <v>368</v>
      </c>
      <c r="F328" s="9" t="s">
        <v>380</v>
      </c>
      <c r="G328" s="9" t="s">
        <v>5</v>
      </c>
      <c r="H328" s="12" t="s">
        <v>891</v>
      </c>
      <c r="I328" s="11" t="s">
        <v>370</v>
      </c>
      <c r="J328" t="s">
        <v>328</v>
      </c>
      <c r="K328" s="21" t="s">
        <v>335</v>
      </c>
    </row>
    <row r="329" spans="1:11" ht="14.4">
      <c r="A329" s="5" t="str">
        <f>F329&amp;(COUNTIFS(F$2:F329,F329,K$2:K329,"Sparse"))</f>
        <v>SD76</v>
      </c>
      <c r="B329" s="5" t="str">
        <f>J329&amp;(COUNTIF(J$2:J329,J329))</f>
        <v>Surrey11</v>
      </c>
      <c r="C329" s="8" t="s">
        <v>177</v>
      </c>
      <c r="D329" s="8" t="s">
        <v>177</v>
      </c>
      <c r="E329" s="9" t="s">
        <v>0</v>
      </c>
      <c r="F329" s="9" t="s">
        <v>380</v>
      </c>
      <c r="G329" s="9" t="s">
        <v>5</v>
      </c>
      <c r="H329" s="10" t="s">
        <v>892</v>
      </c>
      <c r="I329" s="11" t="s">
        <v>381</v>
      </c>
      <c r="J329" t="s">
        <v>329</v>
      </c>
      <c r="K329" s="21"/>
    </row>
    <row r="330" spans="1:11" ht="14.4">
      <c r="A330" s="5" t="str">
        <f>F330&amp;(COUNTIFS(F$2:F330,F330,K$2:K330,"Sparse"))</f>
        <v>SD77</v>
      </c>
      <c r="B330" s="5" t="str">
        <f>J330&amp;(COUNTIF(J$2:J330,J330))</f>
        <v>East Sussex6</v>
      </c>
      <c r="C330" s="8" t="s">
        <v>178</v>
      </c>
      <c r="D330" s="8" t="s">
        <v>178</v>
      </c>
      <c r="E330" s="9" t="s">
        <v>0</v>
      </c>
      <c r="F330" s="9" t="s">
        <v>380</v>
      </c>
      <c r="G330" s="9" t="s">
        <v>5</v>
      </c>
      <c r="H330" s="10" t="s">
        <v>889</v>
      </c>
      <c r="I330" s="11" t="s">
        <v>381</v>
      </c>
      <c r="J330" t="s">
        <v>310</v>
      </c>
      <c r="K330" s="21" t="s">
        <v>335</v>
      </c>
    </row>
    <row r="331" spans="1:11" ht="14.4">
      <c r="A331" s="5" t="str">
        <f>F331&amp;(COUNTIFS(F$2:F331,F331,K$2:K331,"Sparse"))</f>
        <v>SD77</v>
      </c>
      <c r="B331" s="5" t="str">
        <f>J331&amp;(COUNTIF(J$2:J331,J331))</f>
        <v>Northamptonshire8</v>
      </c>
      <c r="C331" s="8" t="s">
        <v>179</v>
      </c>
      <c r="D331" s="8" t="s">
        <v>179</v>
      </c>
      <c r="E331" s="9" t="s">
        <v>366</v>
      </c>
      <c r="F331" s="9" t="s">
        <v>380</v>
      </c>
      <c r="G331" s="9" t="s">
        <v>5</v>
      </c>
      <c r="H331" s="12" t="s">
        <v>891</v>
      </c>
      <c r="I331" s="11" t="s">
        <v>370</v>
      </c>
      <c r="J331" t="s">
        <v>321</v>
      </c>
      <c r="K331" s="21"/>
    </row>
    <row r="332" spans="1:11" ht="14.4">
      <c r="A332" s="5" t="str">
        <f>F332&amp;(COUNTIFS(F$2:F332,F332,K$2:K332,"Sparse"))</f>
        <v>SD77</v>
      </c>
      <c r="B332" s="5" t="str">
        <f>J332&amp;(COUNTIF(J$2:J332,J332))</f>
        <v>Hertfordshire11</v>
      </c>
      <c r="C332" s="8" t="s">
        <v>180</v>
      </c>
      <c r="D332" s="8" t="s">
        <v>180</v>
      </c>
      <c r="E332" s="9" t="s">
        <v>368</v>
      </c>
      <c r="F332" s="9" t="s">
        <v>380</v>
      </c>
      <c r="G332" s="9" t="s">
        <v>5</v>
      </c>
      <c r="H332" s="10" t="s">
        <v>888</v>
      </c>
      <c r="I332" s="11" t="s">
        <v>383</v>
      </c>
      <c r="J332" t="s">
        <v>314</v>
      </c>
      <c r="K332" s="21"/>
    </row>
    <row r="333" spans="1:11" ht="14.4">
      <c r="A333" s="5" t="str">
        <f>F333&amp;(COUNTIFS(F$2:F333,F333,K$2:K333,"Sparse"))</f>
        <v>UA11</v>
      </c>
      <c r="B333" s="5" t="str">
        <f>J333&amp;(COUNTIF(J$2:J333,J333))</f>
        <v>Unitary53</v>
      </c>
      <c r="C333" s="8" t="s">
        <v>296</v>
      </c>
      <c r="D333" s="8" t="s">
        <v>296</v>
      </c>
      <c r="E333" s="9" t="s">
        <v>0</v>
      </c>
      <c r="F333" s="9" t="s">
        <v>386</v>
      </c>
      <c r="G333" s="9" t="s">
        <v>395</v>
      </c>
      <c r="H333" s="12" t="s">
        <v>891</v>
      </c>
      <c r="I333" s="11" t="s">
        <v>370</v>
      </c>
      <c r="J333" s="22" t="s">
        <v>395</v>
      </c>
      <c r="K333" s="21"/>
    </row>
    <row r="334" spans="1:11" ht="14.4">
      <c r="A334" s="5" t="str">
        <f>F334&amp;(COUNTIFS(F$2:F334,F334,K$2:K334,"Sparse"))</f>
        <v>SD78</v>
      </c>
      <c r="B334" s="5" t="str">
        <f>J334&amp;(COUNTIF(J$2:J334,J334))</f>
        <v>Devon9</v>
      </c>
      <c r="C334" s="8" t="s">
        <v>181</v>
      </c>
      <c r="D334" s="8" t="s">
        <v>181</v>
      </c>
      <c r="E334" s="9" t="s">
        <v>1</v>
      </c>
      <c r="F334" s="9" t="s">
        <v>380</v>
      </c>
      <c r="G334" s="9" t="s">
        <v>5</v>
      </c>
      <c r="H334" s="10" t="s">
        <v>889</v>
      </c>
      <c r="I334" s="11" t="s">
        <v>381</v>
      </c>
      <c r="J334" t="s">
        <v>308</v>
      </c>
      <c r="K334" s="21" t="s">
        <v>335</v>
      </c>
    </row>
    <row r="335" spans="1:11" ht="14.4">
      <c r="A335" s="5" t="str">
        <f>F335&amp;(COUNTIFS(F$2:F335,F335,K$2:K335,"Sparse"))</f>
        <v>SD78</v>
      </c>
      <c r="B335" s="5" t="str">
        <f>J335&amp;(COUNTIF(J$2:J335,J335))</f>
        <v>Dorset6</v>
      </c>
      <c r="C335" s="8" t="s">
        <v>182</v>
      </c>
      <c r="D335" s="8" t="s">
        <v>182</v>
      </c>
      <c r="E335" s="9" t="s">
        <v>1</v>
      </c>
      <c r="F335" s="9" t="s">
        <v>380</v>
      </c>
      <c r="G335" s="9" t="s">
        <v>5</v>
      </c>
      <c r="H335" s="10" t="s">
        <v>889</v>
      </c>
      <c r="I335" s="11" t="s">
        <v>381</v>
      </c>
      <c r="J335" t="s">
        <v>309</v>
      </c>
      <c r="K335" s="21"/>
    </row>
    <row r="336" spans="1:11" ht="14.4">
      <c r="A336" s="5" t="str">
        <f>F336&amp;(COUNTIFS(F$2:F336,F336,K$2:K336,"Sparse"))</f>
        <v>SD78</v>
      </c>
      <c r="B336" s="5" t="str">
        <f>J336&amp;(COUNTIF(J$2:J336,J336))</f>
        <v>Lancashire12</v>
      </c>
      <c r="C336" s="8" t="s">
        <v>183</v>
      </c>
      <c r="D336" s="8" t="s">
        <v>183</v>
      </c>
      <c r="E336" s="9" t="s">
        <v>375</v>
      </c>
      <c r="F336" s="9" t="s">
        <v>380</v>
      </c>
      <c r="G336" s="9" t="s">
        <v>5</v>
      </c>
      <c r="H336" s="10" t="s">
        <v>891</v>
      </c>
      <c r="I336" s="11" t="s">
        <v>370</v>
      </c>
      <c r="J336" t="s">
        <v>316</v>
      </c>
      <c r="K336" s="21"/>
    </row>
    <row r="337" spans="1:11" ht="14.4">
      <c r="A337" s="5" t="str">
        <f>F337&amp;(COUNTIFS(F$2:F337,F337,K$2:K337,"Sparse"))</f>
        <v>SD79</v>
      </c>
      <c r="B337" s="5" t="str">
        <f>J337&amp;(COUNTIF(J$2:J337,J337))</f>
        <v>Lincolnshire8</v>
      </c>
      <c r="C337" s="8" t="s">
        <v>184</v>
      </c>
      <c r="D337" s="8" t="s">
        <v>184</v>
      </c>
      <c r="E337" s="9" t="s">
        <v>366</v>
      </c>
      <c r="F337" s="9" t="s">
        <v>380</v>
      </c>
      <c r="G337" s="9" t="s">
        <v>5</v>
      </c>
      <c r="H337" s="10" t="s">
        <v>889</v>
      </c>
      <c r="I337" s="11" t="s">
        <v>381</v>
      </c>
      <c r="J337" t="s">
        <v>318</v>
      </c>
      <c r="K337" s="21" t="s">
        <v>335</v>
      </c>
    </row>
    <row r="338" spans="1:11" ht="14.4">
      <c r="A338" s="5" t="str">
        <f>F338&amp;(COUNTIFS(F$2:F338,F338,K$2:K338,"Sparse"))</f>
        <v>SD80</v>
      </c>
      <c r="B338" s="5" t="str">
        <f>J338&amp;(COUNTIF(J$2:J338,J338))</f>
        <v>Oxfordshire6</v>
      </c>
      <c r="C338" s="8" t="s">
        <v>185</v>
      </c>
      <c r="D338" s="8" t="s">
        <v>185</v>
      </c>
      <c r="E338" s="9" t="s">
        <v>0</v>
      </c>
      <c r="F338" s="9" t="s">
        <v>380</v>
      </c>
      <c r="G338" s="9" t="s">
        <v>5</v>
      </c>
      <c r="H338" s="10" t="s">
        <v>889</v>
      </c>
      <c r="I338" s="11" t="s">
        <v>381</v>
      </c>
      <c r="J338" t="s">
        <v>324</v>
      </c>
      <c r="K338" s="21" t="s">
        <v>335</v>
      </c>
    </row>
    <row r="339" spans="1:11" ht="14.4">
      <c r="A339" s="5" t="str">
        <f>F339&amp;(COUNTIFS(F$2:F339,F339,K$2:K339,"Sparse"))</f>
        <v>SD81</v>
      </c>
      <c r="B339" s="5" t="str">
        <f>J339&amp;(COUNTIF(J$2:J339,J339))</f>
        <v>Somerset7</v>
      </c>
      <c r="C339" s="8" t="s">
        <v>186</v>
      </c>
      <c r="D339" s="8" t="s">
        <v>186</v>
      </c>
      <c r="E339" s="9" t="s">
        <v>1</v>
      </c>
      <c r="F339" s="9" t="s">
        <v>380</v>
      </c>
      <c r="G339" s="9" t="s">
        <v>5</v>
      </c>
      <c r="H339" s="10" t="s">
        <v>889</v>
      </c>
      <c r="I339" s="11" t="s">
        <v>381</v>
      </c>
      <c r="J339" t="s">
        <v>326</v>
      </c>
      <c r="K339" s="21" t="s">
        <v>335</v>
      </c>
    </row>
    <row r="340" spans="1:11" ht="14.4">
      <c r="A340" s="5" t="str">
        <f>F340&amp;(COUNTIFS(F$2:F340,F340,K$2:K340,"Sparse"))</f>
        <v>SD82</v>
      </c>
      <c r="B340" s="5" t="str">
        <f>J340&amp;(COUNTIF(J$2:J340,J340))</f>
        <v>Suffolk10</v>
      </c>
      <c r="C340" t="s">
        <v>910</v>
      </c>
      <c r="D340" t="s">
        <v>910</v>
      </c>
      <c r="E340" s="285" t="s">
        <v>368</v>
      </c>
      <c r="F340" s="285" t="s">
        <v>380</v>
      </c>
      <c r="G340" s="285" t="s">
        <v>5</v>
      </c>
      <c r="H340" s="286" t="s">
        <v>912</v>
      </c>
      <c r="I340" s="287" t="s">
        <v>381</v>
      </c>
      <c r="J340" t="s">
        <v>328</v>
      </c>
      <c r="K340" t="s">
        <v>335</v>
      </c>
    </row>
    <row r="341" spans="1:11" ht="14.4">
      <c r="A341" s="5" t="str">
        <f>F341&amp;(COUNTIFS(F$2:F341,F341,K$2:K341,"Sparse"))</f>
        <v>SC15</v>
      </c>
      <c r="B341" s="5" t="str">
        <f>J341&amp;(COUNTIF(J$2:J341,J341))</f>
        <v>West Sussex7</v>
      </c>
      <c r="C341" s="11" t="s">
        <v>331</v>
      </c>
      <c r="D341" s="11" t="s">
        <v>331</v>
      </c>
      <c r="E341" s="9" t="s">
        <v>0</v>
      </c>
      <c r="F341" s="9" t="s">
        <v>388</v>
      </c>
      <c r="G341" s="9" t="s">
        <v>301</v>
      </c>
      <c r="H341" s="11" t="s">
        <v>370</v>
      </c>
      <c r="I341" s="11" t="s">
        <v>370</v>
      </c>
      <c r="J341" t="str">
        <f>C341</f>
        <v>West Sussex</v>
      </c>
      <c r="K341" s="21"/>
    </row>
    <row r="342" spans="1:11" ht="14.4">
      <c r="A342" s="5" t="str">
        <f>F342&amp;(COUNTIFS(F$2:F342,F342,K$2:K342,"Sparse"))</f>
        <v>L0</v>
      </c>
      <c r="B342" s="5" t="str">
        <f>J342&amp;(COUNTIF(J$2:J342,J342))</f>
        <v>London33</v>
      </c>
      <c r="C342" s="8" t="s">
        <v>187</v>
      </c>
      <c r="D342" s="8" t="s">
        <v>187</v>
      </c>
      <c r="E342" s="9" t="s">
        <v>382</v>
      </c>
      <c r="F342" s="9" t="s">
        <v>358</v>
      </c>
      <c r="G342" s="9" t="s">
        <v>382</v>
      </c>
      <c r="H342" s="10" t="s">
        <v>893</v>
      </c>
      <c r="I342" s="11" t="s">
        <v>383</v>
      </c>
      <c r="J342" t="str">
        <f>G342</f>
        <v>London</v>
      </c>
      <c r="K342" s="21"/>
    </row>
    <row r="343" spans="1:11" ht="14.4">
      <c r="A343" s="5" t="str">
        <f>F343&amp;(COUNTIFS(F$2:F343,F343,K$2:K343,"Sparse"))</f>
        <v>SD82</v>
      </c>
      <c r="B343" s="5" t="str">
        <f>J343&amp;(COUNTIF(J$2:J343,J343))</f>
        <v>Dorset7</v>
      </c>
      <c r="C343" s="8" t="s">
        <v>350</v>
      </c>
      <c r="D343" s="8" t="s">
        <v>350</v>
      </c>
      <c r="E343" s="9" t="s">
        <v>1</v>
      </c>
      <c r="F343" s="9" t="s">
        <v>380</v>
      </c>
      <c r="G343" s="9" t="s">
        <v>5</v>
      </c>
      <c r="H343" s="10" t="s">
        <v>888</v>
      </c>
      <c r="I343" s="11" t="s">
        <v>383</v>
      </c>
      <c r="J343" t="s">
        <v>309</v>
      </c>
      <c r="K343" s="21"/>
    </row>
    <row r="344" spans="1:11" ht="14.4">
      <c r="A344" s="5" t="str">
        <f>F344&amp;(COUNTIFS(F$2:F344,F344,K$2:K344,"Sparse"))</f>
        <v>MD0</v>
      </c>
      <c r="B344" s="5" t="str">
        <f>J344&amp;(COUNTIF(J$2:J344,J344))</f>
        <v>Wigan1</v>
      </c>
      <c r="C344" s="8" t="s">
        <v>255</v>
      </c>
      <c r="D344" s="8" t="s">
        <v>255</v>
      </c>
      <c r="E344" s="9" t="s">
        <v>375</v>
      </c>
      <c r="F344" s="9" t="s">
        <v>385</v>
      </c>
      <c r="G344" s="9" t="s">
        <v>396</v>
      </c>
      <c r="H344" s="10" t="s">
        <v>893</v>
      </c>
      <c r="I344" s="11" t="s">
        <v>383</v>
      </c>
      <c r="J344" t="str">
        <f>C344</f>
        <v>Wigan</v>
      </c>
      <c r="K344" s="21"/>
    </row>
    <row r="345" spans="1:11" ht="14.4">
      <c r="A345" s="5" t="str">
        <f>F345&amp;(COUNTIFS(F$2:F345,F345,K$2:K345,"Sparse"))</f>
        <v>UA11</v>
      </c>
      <c r="B345" s="5" t="str">
        <f>J345&amp;(COUNTIF(J$2:J345,J345))</f>
        <v>Unitary54</v>
      </c>
      <c r="C345" s="8" t="s">
        <v>297</v>
      </c>
      <c r="D345" s="8" t="s">
        <v>297</v>
      </c>
      <c r="E345" s="9" t="s">
        <v>1</v>
      </c>
      <c r="F345" s="9" t="s">
        <v>386</v>
      </c>
      <c r="G345" s="9" t="s">
        <v>395</v>
      </c>
      <c r="H345" s="12" t="s">
        <v>892</v>
      </c>
      <c r="I345" s="11" t="s">
        <v>381</v>
      </c>
      <c r="J345" s="22" t="s">
        <v>395</v>
      </c>
      <c r="K345" s="21"/>
    </row>
    <row r="346" spans="1:11" ht="14.4">
      <c r="A346" s="5" t="str">
        <f>F346&amp;(COUNTIFS(F$2:F346,F346,K$2:K346,"Sparse"))</f>
        <v>SD82</v>
      </c>
      <c r="B346" s="5" t="str">
        <f>J346&amp;(COUNTIF(J$2:J346,J346))</f>
        <v>Hampshire12</v>
      </c>
      <c r="C346" s="8" t="s">
        <v>188</v>
      </c>
      <c r="D346" s="8" t="s">
        <v>188</v>
      </c>
      <c r="E346" s="9" t="s">
        <v>0</v>
      </c>
      <c r="F346" s="9" t="s">
        <v>380</v>
      </c>
      <c r="G346" s="9" t="s">
        <v>5</v>
      </c>
      <c r="H346" s="10" t="s">
        <v>892</v>
      </c>
      <c r="I346" s="11" t="s">
        <v>381</v>
      </c>
      <c r="J346" t="s">
        <v>313</v>
      </c>
      <c r="K346" s="21"/>
    </row>
    <row r="347" spans="1:11" ht="14.4">
      <c r="A347" s="5" t="str">
        <f>F347&amp;(COUNTIFS(F$2:F347,F347,K$2:K347,"Sparse"))</f>
        <v>UA11</v>
      </c>
      <c r="B347" s="5" t="str">
        <f>J347&amp;(COUNTIF(J$2:J347,J347))</f>
        <v>Unitary55</v>
      </c>
      <c r="C347" s="8" t="s">
        <v>814</v>
      </c>
      <c r="D347" s="8" t="s">
        <v>814</v>
      </c>
      <c r="E347" s="9" t="s">
        <v>0</v>
      </c>
      <c r="F347" s="9" t="s">
        <v>386</v>
      </c>
      <c r="G347" s="9" t="s">
        <v>395</v>
      </c>
      <c r="H347" s="10" t="s">
        <v>888</v>
      </c>
      <c r="I347" s="11" t="s">
        <v>383</v>
      </c>
      <c r="J347" s="22" t="s">
        <v>395</v>
      </c>
      <c r="K347" s="21"/>
    </row>
    <row r="348" spans="1:11" ht="14.4">
      <c r="A348" s="5" t="str">
        <f>F348&amp;(COUNTIFS(F$2:F348,F348,K$2:K348,"Sparse"))</f>
        <v>MD0</v>
      </c>
      <c r="B348" s="5" t="str">
        <f>J348&amp;(COUNTIF(J$2:J348,J348))</f>
        <v>Wirral1</v>
      </c>
      <c r="C348" s="8" t="s">
        <v>256</v>
      </c>
      <c r="D348" s="8" t="s">
        <v>256</v>
      </c>
      <c r="E348" s="9" t="s">
        <v>375</v>
      </c>
      <c r="F348" s="9" t="s">
        <v>385</v>
      </c>
      <c r="G348" s="9" t="s">
        <v>396</v>
      </c>
      <c r="H348" s="10" t="s">
        <v>893</v>
      </c>
      <c r="I348" s="11" t="s">
        <v>383</v>
      </c>
      <c r="J348" t="str">
        <f>C348</f>
        <v>Wirral</v>
      </c>
      <c r="K348" s="21"/>
    </row>
    <row r="349" spans="1:11" ht="14.4">
      <c r="A349" s="5" t="str">
        <f>F349&amp;(COUNTIFS(F$2:F349,F349,K$2:K349,"Sparse"))</f>
        <v>SD82</v>
      </c>
      <c r="B349" s="5" t="str">
        <f>J349&amp;(COUNTIF(J$2:J349,J349))</f>
        <v>Surrey12</v>
      </c>
      <c r="C349" s="8" t="s">
        <v>189</v>
      </c>
      <c r="D349" s="8" t="s">
        <v>189</v>
      </c>
      <c r="E349" s="9" t="s">
        <v>0</v>
      </c>
      <c r="F349" s="9" t="s">
        <v>380</v>
      </c>
      <c r="G349" s="9" t="s">
        <v>5</v>
      </c>
      <c r="H349" s="10" t="s">
        <v>893</v>
      </c>
      <c r="I349" s="11" t="s">
        <v>383</v>
      </c>
      <c r="J349" t="s">
        <v>329</v>
      </c>
      <c r="K349" s="21"/>
    </row>
    <row r="350" spans="1:11" ht="14.4">
      <c r="A350" s="5" t="str">
        <f>F350&amp;(COUNTIFS(F$2:F350,F350,K$2:K350,"Sparse"))</f>
        <v>UA11</v>
      </c>
      <c r="B350" s="5" t="str">
        <f>J350&amp;(COUNTIF(J$2:J350,J350))</f>
        <v>Unitary56</v>
      </c>
      <c r="C350" s="8" t="s">
        <v>298</v>
      </c>
      <c r="D350" s="8" t="s">
        <v>298</v>
      </c>
      <c r="E350" s="9" t="s">
        <v>0</v>
      </c>
      <c r="F350" s="9" t="s">
        <v>386</v>
      </c>
      <c r="G350" s="9" t="s">
        <v>395</v>
      </c>
      <c r="H350" s="10" t="s">
        <v>888</v>
      </c>
      <c r="I350" s="11" t="s">
        <v>383</v>
      </c>
      <c r="J350" s="22" t="s">
        <v>395</v>
      </c>
      <c r="K350" s="21"/>
    </row>
    <row r="351" spans="1:11" ht="14.4">
      <c r="A351" s="5" t="str">
        <f>F351&amp;(COUNTIFS(F$2:F351,F351,K$2:K351,"Sparse"))</f>
        <v>MD0</v>
      </c>
      <c r="B351" s="5" t="str">
        <f>J351&amp;(COUNTIF(J$2:J351,J351))</f>
        <v>Wolverhampton1</v>
      </c>
      <c r="C351" s="8" t="s">
        <v>257</v>
      </c>
      <c r="D351" s="8" t="s">
        <v>257</v>
      </c>
      <c r="E351" s="9" t="s">
        <v>367</v>
      </c>
      <c r="F351" s="9" t="s">
        <v>385</v>
      </c>
      <c r="G351" s="9" t="s">
        <v>396</v>
      </c>
      <c r="H351" s="10" t="s">
        <v>893</v>
      </c>
      <c r="I351" s="11" t="s">
        <v>383</v>
      </c>
      <c r="J351" t="str">
        <f>C351</f>
        <v>Wolverhampton</v>
      </c>
      <c r="K351" s="21"/>
    </row>
    <row r="352" spans="1:11" ht="14.4">
      <c r="A352" s="5" t="str">
        <f>F352&amp;(COUNTIFS(F$2:F352,F352,K$2:K352,"Sparse"))</f>
        <v>SD82</v>
      </c>
      <c r="B352" s="5" t="str">
        <f>J352&amp;(COUNTIF(J$2:J352,J352))</f>
        <v>Worcestershire4</v>
      </c>
      <c r="C352" s="8" t="s">
        <v>190</v>
      </c>
      <c r="D352" s="8" t="s">
        <v>190</v>
      </c>
      <c r="E352" s="9" t="s">
        <v>367</v>
      </c>
      <c r="F352" s="9" t="s">
        <v>380</v>
      </c>
      <c r="G352" s="9" t="s">
        <v>5</v>
      </c>
      <c r="H352" s="10" t="s">
        <v>888</v>
      </c>
      <c r="I352" s="11" t="s">
        <v>383</v>
      </c>
      <c r="J352" t="s">
        <v>332</v>
      </c>
      <c r="K352" s="21"/>
    </row>
    <row r="353" spans="1:12" ht="14.4">
      <c r="A353" s="5" t="str">
        <f>F353&amp;(COUNTIFS(F$2:F353,F353,K$2:K353,"Sparse"))</f>
        <v>SC16</v>
      </c>
      <c r="B353" s="5" t="str">
        <f>J353&amp;(COUNTIF(J$2:J353,J353))</f>
        <v>Worcestershire5</v>
      </c>
      <c r="C353" s="11" t="s">
        <v>332</v>
      </c>
      <c r="D353" s="11" t="s">
        <v>332</v>
      </c>
      <c r="E353" s="9" t="s">
        <v>367</v>
      </c>
      <c r="F353" s="9" t="s">
        <v>388</v>
      </c>
      <c r="G353" s="9" t="s">
        <v>301</v>
      </c>
      <c r="H353" s="11" t="s">
        <v>370</v>
      </c>
      <c r="I353" s="11" t="s">
        <v>370</v>
      </c>
      <c r="J353" t="str">
        <f>C353</f>
        <v>Worcestershire</v>
      </c>
      <c r="K353" s="21" t="s">
        <v>335</v>
      </c>
    </row>
    <row r="354" spans="1:12" ht="14.4">
      <c r="A354" s="5" t="str">
        <f>F354&amp;(COUNTIFS(F$2:F354,F354,K$2:K354,"Sparse"))</f>
        <v>SD82</v>
      </c>
      <c r="B354" s="5" t="str">
        <f>J354&amp;(COUNTIF(J$2:J354,J354))</f>
        <v>West Sussex8</v>
      </c>
      <c r="C354" s="8" t="s">
        <v>191</v>
      </c>
      <c r="D354" s="8" t="s">
        <v>191</v>
      </c>
      <c r="E354" s="9" t="s">
        <v>0</v>
      </c>
      <c r="F354" s="9" t="s">
        <v>380</v>
      </c>
      <c r="G354" s="9" t="s">
        <v>5</v>
      </c>
      <c r="H354" s="10" t="s">
        <v>888</v>
      </c>
      <c r="I354" s="11" t="s">
        <v>383</v>
      </c>
      <c r="J354" t="s">
        <v>331</v>
      </c>
      <c r="K354" s="21"/>
    </row>
    <row r="355" spans="1:12" ht="14.4">
      <c r="A355" s="5" t="str">
        <f>F355&amp;(COUNTIFS(F$2:F355,F355,K$2:K355,"Sparse"))</f>
        <v>SD83</v>
      </c>
      <c r="B355" s="5" t="str">
        <f>J355&amp;(COUNTIF(J$2:J355,J355))</f>
        <v>Worcestershire6</v>
      </c>
      <c r="C355" s="8" t="s">
        <v>192</v>
      </c>
      <c r="D355" s="8" t="s">
        <v>192</v>
      </c>
      <c r="E355" s="9" t="s">
        <v>367</v>
      </c>
      <c r="F355" s="9" t="s">
        <v>380</v>
      </c>
      <c r="G355" s="9" t="s">
        <v>5</v>
      </c>
      <c r="H355" s="10" t="s">
        <v>889</v>
      </c>
      <c r="I355" s="11" t="s">
        <v>381</v>
      </c>
      <c r="J355" t="s">
        <v>332</v>
      </c>
      <c r="K355" s="21" t="s">
        <v>335</v>
      </c>
    </row>
    <row r="356" spans="1:12" ht="14.4">
      <c r="A356" s="5" t="str">
        <f>F356&amp;(COUNTIFS(F$2:F356,F356,K$2:K356,"Sparse"))</f>
        <v>SD83</v>
      </c>
      <c r="B356" s="5" t="str">
        <f>J356&amp;(COUNTIF(J$2:J356,J356))</f>
        <v>Buckinghamshire5</v>
      </c>
      <c r="C356" s="8" t="s">
        <v>193</v>
      </c>
      <c r="D356" s="8" t="s">
        <v>193</v>
      </c>
      <c r="E356" s="9" t="s">
        <v>0</v>
      </c>
      <c r="F356" s="9" t="s">
        <v>380</v>
      </c>
      <c r="G356" s="9" t="s">
        <v>5</v>
      </c>
      <c r="H356" s="12" t="s">
        <v>891</v>
      </c>
      <c r="I356" s="11" t="s">
        <v>370</v>
      </c>
      <c r="J356" t="s">
        <v>300</v>
      </c>
      <c r="K356" s="21"/>
    </row>
    <row r="357" spans="1:12" ht="14.4">
      <c r="A357" s="5" t="str">
        <f>F357&amp;(COUNTIFS(F$2:F357,F357,K$2:K357,"Sparse"))</f>
        <v>SD83</v>
      </c>
      <c r="B357" s="5" t="str">
        <f>J357&amp;(COUNTIF(J$2:J357,J357))</f>
        <v>Lancashire13</v>
      </c>
      <c r="C357" s="8" t="s">
        <v>194</v>
      </c>
      <c r="D357" s="8" t="s">
        <v>194</v>
      </c>
      <c r="E357" s="9" t="s">
        <v>375</v>
      </c>
      <c r="F357" s="9" t="s">
        <v>380</v>
      </c>
      <c r="G357" s="9" t="s">
        <v>5</v>
      </c>
      <c r="H357" s="12" t="s">
        <v>892</v>
      </c>
      <c r="I357" s="11" t="s">
        <v>381</v>
      </c>
      <c r="J357" t="s">
        <v>316</v>
      </c>
      <c r="K357" s="21"/>
    </row>
    <row r="358" spans="1:12" ht="14.4">
      <c r="A358" s="5" t="str">
        <f>F358&amp;(COUNTIFS(F$2:F358,F358,K$2:K358,"Sparse"))</f>
        <v>SD83</v>
      </c>
      <c r="B358" s="5" t="str">
        <f>J358&amp;(COUNTIF(J$2:J358,J358))</f>
        <v>Worcestershire7</v>
      </c>
      <c r="C358" s="8" t="s">
        <v>195</v>
      </c>
      <c r="D358" s="8" t="s">
        <v>195</v>
      </c>
      <c r="E358" s="9" t="s">
        <v>367</v>
      </c>
      <c r="F358" s="9" t="s">
        <v>380</v>
      </c>
      <c r="G358" s="9" t="s">
        <v>5</v>
      </c>
      <c r="H358" s="12" t="s">
        <v>891</v>
      </c>
      <c r="I358" s="11" t="s">
        <v>370</v>
      </c>
      <c r="J358" t="s">
        <v>332</v>
      </c>
      <c r="K358" s="21"/>
    </row>
    <row r="359" spans="1:12" ht="14.4">
      <c r="A359" s="5" t="str">
        <f>F359&amp;(COUNTIFS(F$2:F359,F359,K$2:K359,"Sparse"))</f>
        <v>UA11</v>
      </c>
      <c r="B359" s="5" t="str">
        <f>J359&amp;(COUNTIF(J$2:J359,J359))</f>
        <v>Unitary57</v>
      </c>
      <c r="C359" s="8" t="s">
        <v>299</v>
      </c>
      <c r="D359" s="8" t="s">
        <v>299</v>
      </c>
      <c r="E359" s="9" t="s">
        <v>384</v>
      </c>
      <c r="F359" s="9" t="s">
        <v>386</v>
      </c>
      <c r="G359" s="9" t="s">
        <v>395</v>
      </c>
      <c r="H359" s="10" t="s">
        <v>888</v>
      </c>
      <c r="I359" s="11" t="s">
        <v>383</v>
      </c>
      <c r="J359" s="22" t="s">
        <v>395</v>
      </c>
      <c r="K359" s="21"/>
    </row>
    <row r="360" spans="1:12" ht="14.4">
      <c r="E360" s="14"/>
      <c r="F360" s="14"/>
      <c r="G360" s="14"/>
      <c r="H360" s="16"/>
      <c r="I360" s="17"/>
      <c r="J360" s="17"/>
      <c r="K360" s="17"/>
      <c r="L360" s="17"/>
    </row>
    <row r="361" spans="1:12" ht="14.4">
      <c r="E361" s="14"/>
      <c r="F361" s="14"/>
      <c r="G361" s="14"/>
      <c r="H361" s="16"/>
      <c r="I361" s="17"/>
      <c r="J361" s="17"/>
      <c r="K361" s="17"/>
      <c r="L361" s="17"/>
    </row>
    <row r="362" spans="1:12" ht="14.4">
      <c r="E362" s="14"/>
      <c r="F362" s="14"/>
      <c r="G362" s="14"/>
      <c r="H362" s="16"/>
      <c r="I362" s="17"/>
      <c r="J362" s="17"/>
      <c r="K362" s="17"/>
      <c r="L362" s="17"/>
    </row>
    <row r="363" spans="1:12" ht="14.4">
      <c r="E363" s="14"/>
      <c r="F363" s="14"/>
      <c r="G363" s="14"/>
      <c r="H363" s="16"/>
      <c r="I363" s="17"/>
      <c r="J363" s="17"/>
      <c r="K363" s="17"/>
      <c r="L363" s="17"/>
    </row>
    <row r="364" spans="1:12" ht="14.4">
      <c r="E364" s="14"/>
      <c r="F364" s="14"/>
      <c r="G364" s="14"/>
      <c r="H364" s="16"/>
      <c r="I364" s="17"/>
      <c r="J364" s="17"/>
      <c r="K364" s="17"/>
      <c r="L364" s="17"/>
    </row>
    <row r="365" spans="1:12" ht="14.4">
      <c r="E365" s="14"/>
      <c r="F365" s="14"/>
      <c r="G365" s="14"/>
      <c r="H365" s="16"/>
      <c r="I365" s="17"/>
      <c r="J365" s="17"/>
      <c r="K365" s="17"/>
      <c r="L365" s="17"/>
    </row>
    <row r="366" spans="1:12" ht="14.4">
      <c r="E366" s="14"/>
      <c r="F366" s="14"/>
      <c r="G366" s="14"/>
      <c r="H366" s="16"/>
      <c r="I366" s="17"/>
      <c r="J366" s="17"/>
      <c r="K366" s="17"/>
      <c r="L366" s="17"/>
    </row>
    <row r="367" spans="1:12" ht="14.4">
      <c r="E367" s="14"/>
      <c r="F367" s="14"/>
      <c r="G367" s="14"/>
      <c r="H367" s="16"/>
      <c r="I367" s="17"/>
      <c r="J367" s="17"/>
      <c r="K367" s="17"/>
      <c r="L367" s="17"/>
    </row>
    <row r="368" spans="1:12">
      <c r="F368" s="14"/>
      <c r="G368" s="14"/>
    </row>
  </sheetData>
  <autoFilter ref="A1:L359" xr:uid="{00000000-0009-0000-0000-000004000000}"/>
  <sortState xmlns:xlrd2="http://schemas.microsoft.com/office/spreadsheetml/2017/richdata2" ref="L331:L684">
    <sortCondition ref="L331"/>
  </sortState>
  <pageMargins left="0.75" right="0.75" top="1" bottom="1" header="0.5" footer="0.5"/>
  <pageSetup paperSize="9" orientation="portrait" horizontalDpi="4294967292" verticalDpi="429496729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3" tint="0.59999389629810485"/>
  </sheetPr>
  <dimension ref="A1:R365"/>
  <sheetViews>
    <sheetView workbookViewId="0">
      <pane xSplit="3" ySplit="3" topLeftCell="D4" activePane="bottomRight" state="frozen"/>
      <selection activeCell="N70" sqref="N70"/>
      <selection pane="topRight" activeCell="N70" sqref="N70"/>
      <selection pane="bottomLeft" activeCell="N70" sqref="N70"/>
      <selection pane="bottomRight" sqref="A1:XFD1048576"/>
    </sheetView>
  </sheetViews>
  <sheetFormatPr defaultColWidth="8.88671875" defaultRowHeight="13.2"/>
  <cols>
    <col min="1" max="1" width="2.6640625" style="66" customWidth="1"/>
    <col min="2" max="2" width="8.88671875" style="66"/>
    <col min="3" max="3" width="25.109375" style="66" bestFit="1" customWidth="1"/>
    <col min="4" max="18" width="25.109375" style="66" customWidth="1"/>
    <col min="19" max="237" width="8.88671875" style="66"/>
    <col min="238" max="238" width="25.109375" style="66" bestFit="1" customWidth="1"/>
    <col min="239" max="253" width="25.109375" style="66" customWidth="1"/>
    <col min="254" max="271" width="9.109375" style="66" customWidth="1"/>
    <col min="272" max="493" width="8.88671875" style="66"/>
    <col min="494" max="494" width="25.109375" style="66" bestFit="1" customWidth="1"/>
    <col min="495" max="509" width="25.109375" style="66" customWidth="1"/>
    <col min="510" max="527" width="9.109375" style="66" customWidth="1"/>
    <col min="528" max="749" width="8.88671875" style="66"/>
    <col min="750" max="750" width="25.109375" style="66" bestFit="1" customWidth="1"/>
    <col min="751" max="765" width="25.109375" style="66" customWidth="1"/>
    <col min="766" max="783" width="9.109375" style="66" customWidth="1"/>
    <col min="784" max="1005" width="8.88671875" style="66"/>
    <col min="1006" max="1006" width="25.109375" style="66" bestFit="1" customWidth="1"/>
    <col min="1007" max="1021" width="25.109375" style="66" customWidth="1"/>
    <col min="1022" max="1039" width="9.109375" style="66" customWidth="1"/>
    <col min="1040" max="1261" width="8.88671875" style="66"/>
    <col min="1262" max="1262" width="25.109375" style="66" bestFit="1" customWidth="1"/>
    <col min="1263" max="1277" width="25.109375" style="66" customWidth="1"/>
    <col min="1278" max="1295" width="9.109375" style="66" customWidth="1"/>
    <col min="1296" max="1517" width="8.88671875" style="66"/>
    <col min="1518" max="1518" width="25.109375" style="66" bestFit="1" customWidth="1"/>
    <col min="1519" max="1533" width="25.109375" style="66" customWidth="1"/>
    <col min="1534" max="1551" width="9.109375" style="66" customWidth="1"/>
    <col min="1552" max="1773" width="8.88671875" style="66"/>
    <col min="1774" max="1774" width="25.109375" style="66" bestFit="1" customWidth="1"/>
    <col min="1775" max="1789" width="25.109375" style="66" customWidth="1"/>
    <col min="1790" max="1807" width="9.109375" style="66" customWidth="1"/>
    <col min="1808" max="2029" width="8.88671875" style="66"/>
    <col min="2030" max="2030" width="25.109375" style="66" bestFit="1" customWidth="1"/>
    <col min="2031" max="2045" width="25.109375" style="66" customWidth="1"/>
    <col min="2046" max="2063" width="9.109375" style="66" customWidth="1"/>
    <col min="2064" max="2285" width="8.88671875" style="66"/>
    <col min="2286" max="2286" width="25.109375" style="66" bestFit="1" customWidth="1"/>
    <col min="2287" max="2301" width="25.109375" style="66" customWidth="1"/>
    <col min="2302" max="2319" width="9.109375" style="66" customWidth="1"/>
    <col min="2320" max="2541" width="8.88671875" style="66"/>
    <col min="2542" max="2542" width="25.109375" style="66" bestFit="1" customWidth="1"/>
    <col min="2543" max="2557" width="25.109375" style="66" customWidth="1"/>
    <col min="2558" max="2575" width="9.109375" style="66" customWidth="1"/>
    <col min="2576" max="2797" width="8.88671875" style="66"/>
    <col min="2798" max="2798" width="25.109375" style="66" bestFit="1" customWidth="1"/>
    <col min="2799" max="2813" width="25.109375" style="66" customWidth="1"/>
    <col min="2814" max="2831" width="9.109375" style="66" customWidth="1"/>
    <col min="2832" max="3053" width="8.88671875" style="66"/>
    <col min="3054" max="3054" width="25.109375" style="66" bestFit="1" customWidth="1"/>
    <col min="3055" max="3069" width="25.109375" style="66" customWidth="1"/>
    <col min="3070" max="3087" width="9.109375" style="66" customWidth="1"/>
    <col min="3088" max="3309" width="8.88671875" style="66"/>
    <col min="3310" max="3310" width="25.109375" style="66" bestFit="1" customWidth="1"/>
    <col min="3311" max="3325" width="25.109375" style="66" customWidth="1"/>
    <col min="3326" max="3343" width="9.109375" style="66" customWidth="1"/>
    <col min="3344" max="3565" width="8.88671875" style="66"/>
    <col min="3566" max="3566" width="25.109375" style="66" bestFit="1" customWidth="1"/>
    <col min="3567" max="3581" width="25.109375" style="66" customWidth="1"/>
    <col min="3582" max="3599" width="9.109375" style="66" customWidth="1"/>
    <col min="3600" max="3821" width="8.88671875" style="66"/>
    <col min="3822" max="3822" width="25.109375" style="66" bestFit="1" customWidth="1"/>
    <col min="3823" max="3837" width="25.109375" style="66" customWidth="1"/>
    <col min="3838" max="3855" width="9.109375" style="66" customWidth="1"/>
    <col min="3856" max="4077" width="8.88671875" style="66"/>
    <col min="4078" max="4078" width="25.109375" style="66" bestFit="1" customWidth="1"/>
    <col min="4079" max="4093" width="25.109375" style="66" customWidth="1"/>
    <col min="4094" max="4111" width="9.109375" style="66" customWidth="1"/>
    <col min="4112" max="4333" width="8.88671875" style="66"/>
    <col min="4334" max="4334" width="25.109375" style="66" bestFit="1" customWidth="1"/>
    <col min="4335" max="4349" width="25.109375" style="66" customWidth="1"/>
    <col min="4350" max="4367" width="9.109375" style="66" customWidth="1"/>
    <col min="4368" max="4589" width="8.88671875" style="66"/>
    <col min="4590" max="4590" width="25.109375" style="66" bestFit="1" customWidth="1"/>
    <col min="4591" max="4605" width="25.109375" style="66" customWidth="1"/>
    <col min="4606" max="4623" width="9.109375" style="66" customWidth="1"/>
    <col min="4624" max="4845" width="8.88671875" style="66"/>
    <col min="4846" max="4846" width="25.109375" style="66" bestFit="1" customWidth="1"/>
    <col min="4847" max="4861" width="25.109375" style="66" customWidth="1"/>
    <col min="4862" max="4879" width="9.109375" style="66" customWidth="1"/>
    <col min="4880" max="5101" width="8.88671875" style="66"/>
    <col min="5102" max="5102" width="25.109375" style="66" bestFit="1" customWidth="1"/>
    <col min="5103" max="5117" width="25.109375" style="66" customWidth="1"/>
    <col min="5118" max="5135" width="9.109375" style="66" customWidth="1"/>
    <col min="5136" max="5357" width="8.88671875" style="66"/>
    <col min="5358" max="5358" width="25.109375" style="66" bestFit="1" customWidth="1"/>
    <col min="5359" max="5373" width="25.109375" style="66" customWidth="1"/>
    <col min="5374" max="5391" width="9.109375" style="66" customWidth="1"/>
    <col min="5392" max="5613" width="8.88671875" style="66"/>
    <col min="5614" max="5614" width="25.109375" style="66" bestFit="1" customWidth="1"/>
    <col min="5615" max="5629" width="25.109375" style="66" customWidth="1"/>
    <col min="5630" max="5647" width="9.109375" style="66" customWidth="1"/>
    <col min="5648" max="5869" width="8.88671875" style="66"/>
    <col min="5870" max="5870" width="25.109375" style="66" bestFit="1" customWidth="1"/>
    <col min="5871" max="5885" width="25.109375" style="66" customWidth="1"/>
    <col min="5886" max="5903" width="9.109375" style="66" customWidth="1"/>
    <col min="5904" max="6125" width="8.88671875" style="66"/>
    <col min="6126" max="6126" width="25.109375" style="66" bestFit="1" customWidth="1"/>
    <col min="6127" max="6141" width="25.109375" style="66" customWidth="1"/>
    <col min="6142" max="6159" width="9.109375" style="66" customWidth="1"/>
    <col min="6160" max="6381" width="8.88671875" style="66"/>
    <col min="6382" max="6382" width="25.109375" style="66" bestFit="1" customWidth="1"/>
    <col min="6383" max="6397" width="25.109375" style="66" customWidth="1"/>
    <col min="6398" max="6415" width="9.109375" style="66" customWidth="1"/>
    <col min="6416" max="6637" width="8.88671875" style="66"/>
    <col min="6638" max="6638" width="25.109375" style="66" bestFit="1" customWidth="1"/>
    <col min="6639" max="6653" width="25.109375" style="66" customWidth="1"/>
    <col min="6654" max="6671" width="9.109375" style="66" customWidth="1"/>
    <col min="6672" max="6893" width="8.88671875" style="66"/>
    <col min="6894" max="6894" width="25.109375" style="66" bestFit="1" customWidth="1"/>
    <col min="6895" max="6909" width="25.109375" style="66" customWidth="1"/>
    <col min="6910" max="6927" width="9.109375" style="66" customWidth="1"/>
    <col min="6928" max="7149" width="8.88671875" style="66"/>
    <col min="7150" max="7150" width="25.109375" style="66" bestFit="1" customWidth="1"/>
    <col min="7151" max="7165" width="25.109375" style="66" customWidth="1"/>
    <col min="7166" max="7183" width="9.109375" style="66" customWidth="1"/>
    <col min="7184" max="7405" width="8.88671875" style="66"/>
    <col min="7406" max="7406" width="25.109375" style="66" bestFit="1" customWidth="1"/>
    <col min="7407" max="7421" width="25.109375" style="66" customWidth="1"/>
    <col min="7422" max="7439" width="9.109375" style="66" customWidth="1"/>
    <col min="7440" max="7661" width="8.88671875" style="66"/>
    <col min="7662" max="7662" width="25.109375" style="66" bestFit="1" customWidth="1"/>
    <col min="7663" max="7677" width="25.109375" style="66" customWidth="1"/>
    <col min="7678" max="7695" width="9.109375" style="66" customWidth="1"/>
    <col min="7696" max="7917" width="8.88671875" style="66"/>
    <col min="7918" max="7918" width="25.109375" style="66" bestFit="1" customWidth="1"/>
    <col min="7919" max="7933" width="25.109375" style="66" customWidth="1"/>
    <col min="7934" max="7951" width="9.109375" style="66" customWidth="1"/>
    <col min="7952" max="8173" width="8.88671875" style="66"/>
    <col min="8174" max="8174" width="25.109375" style="66" bestFit="1" customWidth="1"/>
    <col min="8175" max="8189" width="25.109375" style="66" customWidth="1"/>
    <col min="8190" max="8207" width="9.109375" style="66" customWidth="1"/>
    <col min="8208" max="8429" width="8.88671875" style="66"/>
    <col min="8430" max="8430" width="25.109375" style="66" bestFit="1" customWidth="1"/>
    <col min="8431" max="8445" width="25.109375" style="66" customWidth="1"/>
    <col min="8446" max="8463" width="9.109375" style="66" customWidth="1"/>
    <col min="8464" max="8685" width="8.88671875" style="66"/>
    <col min="8686" max="8686" width="25.109375" style="66" bestFit="1" customWidth="1"/>
    <col min="8687" max="8701" width="25.109375" style="66" customWidth="1"/>
    <col min="8702" max="8719" width="9.109375" style="66" customWidth="1"/>
    <col min="8720" max="8941" width="8.88671875" style="66"/>
    <col min="8942" max="8942" width="25.109375" style="66" bestFit="1" customWidth="1"/>
    <col min="8943" max="8957" width="25.109375" style="66" customWidth="1"/>
    <col min="8958" max="8975" width="9.109375" style="66" customWidth="1"/>
    <col min="8976" max="9197" width="8.88671875" style="66"/>
    <col min="9198" max="9198" width="25.109375" style="66" bestFit="1" customWidth="1"/>
    <col min="9199" max="9213" width="25.109375" style="66" customWidth="1"/>
    <col min="9214" max="9231" width="9.109375" style="66" customWidth="1"/>
    <col min="9232" max="9453" width="8.88671875" style="66"/>
    <col min="9454" max="9454" width="25.109375" style="66" bestFit="1" customWidth="1"/>
    <col min="9455" max="9469" width="25.109375" style="66" customWidth="1"/>
    <col min="9470" max="9487" width="9.109375" style="66" customWidth="1"/>
    <col min="9488" max="9709" width="8.88671875" style="66"/>
    <col min="9710" max="9710" width="25.109375" style="66" bestFit="1" customWidth="1"/>
    <col min="9711" max="9725" width="25.109375" style="66" customWidth="1"/>
    <col min="9726" max="9743" width="9.109375" style="66" customWidth="1"/>
    <col min="9744" max="9965" width="8.88671875" style="66"/>
    <col min="9966" max="9966" width="25.109375" style="66" bestFit="1" customWidth="1"/>
    <col min="9967" max="9981" width="25.109375" style="66" customWidth="1"/>
    <col min="9982" max="9999" width="9.109375" style="66" customWidth="1"/>
    <col min="10000" max="10221" width="8.88671875" style="66"/>
    <col min="10222" max="10222" width="25.109375" style="66" bestFit="1" customWidth="1"/>
    <col min="10223" max="10237" width="25.109375" style="66" customWidth="1"/>
    <col min="10238" max="10255" width="9.109375" style="66" customWidth="1"/>
    <col min="10256" max="10477" width="8.88671875" style="66"/>
    <col min="10478" max="10478" width="25.109375" style="66" bestFit="1" customWidth="1"/>
    <col min="10479" max="10493" width="25.109375" style="66" customWidth="1"/>
    <col min="10494" max="10511" width="9.109375" style="66" customWidth="1"/>
    <col min="10512" max="10733" width="8.88671875" style="66"/>
    <col min="10734" max="10734" width="25.109375" style="66" bestFit="1" customWidth="1"/>
    <col min="10735" max="10749" width="25.109375" style="66" customWidth="1"/>
    <col min="10750" max="10767" width="9.109375" style="66" customWidth="1"/>
    <col min="10768" max="10989" width="8.88671875" style="66"/>
    <col min="10990" max="10990" width="25.109375" style="66" bestFit="1" customWidth="1"/>
    <col min="10991" max="11005" width="25.109375" style="66" customWidth="1"/>
    <col min="11006" max="11023" width="9.109375" style="66" customWidth="1"/>
    <col min="11024" max="11245" width="8.88671875" style="66"/>
    <col min="11246" max="11246" width="25.109375" style="66" bestFit="1" customWidth="1"/>
    <col min="11247" max="11261" width="25.109375" style="66" customWidth="1"/>
    <col min="11262" max="11279" width="9.109375" style="66" customWidth="1"/>
    <col min="11280" max="11501" width="8.88671875" style="66"/>
    <col min="11502" max="11502" width="25.109375" style="66" bestFit="1" customWidth="1"/>
    <col min="11503" max="11517" width="25.109375" style="66" customWidth="1"/>
    <col min="11518" max="11535" width="9.109375" style="66" customWidth="1"/>
    <col min="11536" max="11757" width="8.88671875" style="66"/>
    <col min="11758" max="11758" width="25.109375" style="66" bestFit="1" customWidth="1"/>
    <col min="11759" max="11773" width="25.109375" style="66" customWidth="1"/>
    <col min="11774" max="11791" width="9.109375" style="66" customWidth="1"/>
    <col min="11792" max="12013" width="8.88671875" style="66"/>
    <col min="12014" max="12014" width="25.109375" style="66" bestFit="1" customWidth="1"/>
    <col min="12015" max="12029" width="25.109375" style="66" customWidth="1"/>
    <col min="12030" max="12047" width="9.109375" style="66" customWidth="1"/>
    <col min="12048" max="12269" width="8.88671875" style="66"/>
    <col min="12270" max="12270" width="25.109375" style="66" bestFit="1" customWidth="1"/>
    <col min="12271" max="12285" width="25.109375" style="66" customWidth="1"/>
    <col min="12286" max="12303" width="9.109375" style="66" customWidth="1"/>
    <col min="12304" max="12525" width="8.88671875" style="66"/>
    <col min="12526" max="12526" width="25.109375" style="66" bestFit="1" customWidth="1"/>
    <col min="12527" max="12541" width="25.109375" style="66" customWidth="1"/>
    <col min="12542" max="12559" width="9.109375" style="66" customWidth="1"/>
    <col min="12560" max="12781" width="8.88671875" style="66"/>
    <col min="12782" max="12782" width="25.109375" style="66" bestFit="1" customWidth="1"/>
    <col min="12783" max="12797" width="25.109375" style="66" customWidth="1"/>
    <col min="12798" max="12815" width="9.109375" style="66" customWidth="1"/>
    <col min="12816" max="13037" width="8.88671875" style="66"/>
    <col min="13038" max="13038" width="25.109375" style="66" bestFit="1" customWidth="1"/>
    <col min="13039" max="13053" width="25.109375" style="66" customWidth="1"/>
    <col min="13054" max="13071" width="9.109375" style="66" customWidth="1"/>
    <col min="13072" max="13293" width="8.88671875" style="66"/>
    <col min="13294" max="13294" width="25.109375" style="66" bestFit="1" customWidth="1"/>
    <col min="13295" max="13309" width="25.109375" style="66" customWidth="1"/>
    <col min="13310" max="13327" width="9.109375" style="66" customWidth="1"/>
    <col min="13328" max="13549" width="8.88671875" style="66"/>
    <col min="13550" max="13550" width="25.109375" style="66" bestFit="1" customWidth="1"/>
    <col min="13551" max="13565" width="25.109375" style="66" customWidth="1"/>
    <col min="13566" max="13583" width="9.109375" style="66" customWidth="1"/>
    <col min="13584" max="13805" width="8.88671875" style="66"/>
    <col min="13806" max="13806" width="25.109375" style="66" bestFit="1" customWidth="1"/>
    <col min="13807" max="13821" width="25.109375" style="66" customWidth="1"/>
    <col min="13822" max="13839" width="9.109375" style="66" customWidth="1"/>
    <col min="13840" max="14061" width="8.88671875" style="66"/>
    <col min="14062" max="14062" width="25.109375" style="66" bestFit="1" customWidth="1"/>
    <col min="14063" max="14077" width="25.109375" style="66" customWidth="1"/>
    <col min="14078" max="14095" width="9.109375" style="66" customWidth="1"/>
    <col min="14096" max="14317" width="8.88671875" style="66"/>
    <col min="14318" max="14318" width="25.109375" style="66" bestFit="1" customWidth="1"/>
    <col min="14319" max="14333" width="25.109375" style="66" customWidth="1"/>
    <col min="14334" max="14351" width="9.109375" style="66" customWidth="1"/>
    <col min="14352" max="14573" width="8.88671875" style="66"/>
    <col min="14574" max="14574" width="25.109375" style="66" bestFit="1" customWidth="1"/>
    <col min="14575" max="14589" width="25.109375" style="66" customWidth="1"/>
    <col min="14590" max="14607" width="9.109375" style="66" customWidth="1"/>
    <col min="14608" max="14829" width="8.88671875" style="66"/>
    <col min="14830" max="14830" width="25.109375" style="66" bestFit="1" customWidth="1"/>
    <col min="14831" max="14845" width="25.109375" style="66" customWidth="1"/>
    <col min="14846" max="14863" width="9.109375" style="66" customWidth="1"/>
    <col min="14864" max="15085" width="8.88671875" style="66"/>
    <col min="15086" max="15086" width="25.109375" style="66" bestFit="1" customWidth="1"/>
    <col min="15087" max="15101" width="25.109375" style="66" customWidth="1"/>
    <col min="15102" max="15119" width="9.109375" style="66" customWidth="1"/>
    <col min="15120" max="15341" width="8.88671875" style="66"/>
    <col min="15342" max="15342" width="25.109375" style="66" bestFit="1" customWidth="1"/>
    <col min="15343" max="15357" width="25.109375" style="66" customWidth="1"/>
    <col min="15358" max="15375" width="9.109375" style="66" customWidth="1"/>
    <col min="15376" max="15597" width="8.88671875" style="66"/>
    <col min="15598" max="15598" width="25.109375" style="66" bestFit="1" customWidth="1"/>
    <col min="15599" max="15613" width="25.109375" style="66" customWidth="1"/>
    <col min="15614" max="15631" width="9.109375" style="66" customWidth="1"/>
    <col min="15632" max="15853" width="8.88671875" style="66"/>
    <col min="15854" max="15854" width="25.109375" style="66" bestFit="1" customWidth="1"/>
    <col min="15855" max="15869" width="25.109375" style="66" customWidth="1"/>
    <col min="15870" max="15887" width="9.109375" style="66" customWidth="1"/>
    <col min="15888" max="16109" width="8.88671875" style="66"/>
    <col min="16110" max="16110" width="25.109375" style="66" bestFit="1" customWidth="1"/>
    <col min="16111" max="16125" width="25.109375" style="66" customWidth="1"/>
    <col min="16126" max="16143" width="9.109375" style="66" customWidth="1"/>
    <col min="16144" max="16384" width="8.88671875" style="66"/>
  </cols>
  <sheetData>
    <row r="1" spans="1:18">
      <c r="A1" s="65"/>
      <c r="B1" s="65" t="s">
        <v>421</v>
      </c>
      <c r="C1" s="65"/>
    </row>
    <row r="2" spans="1:18">
      <c r="A2" s="65"/>
      <c r="B2" s="65"/>
      <c r="C2" s="65"/>
    </row>
    <row r="3" spans="1:18">
      <c r="A3" s="65"/>
      <c r="B3" s="65" t="s">
        <v>422</v>
      </c>
      <c r="C3" s="65" t="s">
        <v>333</v>
      </c>
      <c r="D3" s="66" t="s">
        <v>423</v>
      </c>
      <c r="E3" s="66" t="s">
        <v>424</v>
      </c>
      <c r="F3" s="66" t="s">
        <v>425</v>
      </c>
      <c r="G3" s="66" t="s">
        <v>426</v>
      </c>
      <c r="H3" s="66" t="s">
        <v>427</v>
      </c>
      <c r="I3" s="66" t="s">
        <v>428</v>
      </c>
      <c r="J3" s="66" t="s">
        <v>429</v>
      </c>
      <c r="K3" s="66" t="s">
        <v>430</v>
      </c>
      <c r="L3" s="66" t="s">
        <v>431</v>
      </c>
      <c r="M3" s="66" t="s">
        <v>432</v>
      </c>
      <c r="N3" s="66" t="s">
        <v>433</v>
      </c>
      <c r="O3" s="66" t="s">
        <v>434</v>
      </c>
      <c r="P3" s="66" t="s">
        <v>435</v>
      </c>
      <c r="Q3" s="66" t="s">
        <v>436</v>
      </c>
      <c r="R3" s="66" t="s">
        <v>437</v>
      </c>
    </row>
    <row r="4" spans="1:18">
      <c r="A4" s="65"/>
      <c r="C4" s="65"/>
    </row>
    <row r="5" spans="1:18">
      <c r="A5" s="65"/>
      <c r="B5" s="65" t="s">
        <v>438</v>
      </c>
      <c r="C5" s="65"/>
    </row>
    <row r="6" spans="1:18">
      <c r="A6" s="66" t="str">
        <f>VLOOKUP(C6,classifications!C:F,4,FALSE)</f>
        <v>L</v>
      </c>
      <c r="B6" s="66" t="s">
        <v>439</v>
      </c>
      <c r="C6" s="66" t="s">
        <v>200</v>
      </c>
      <c r="D6" s="66" t="s">
        <v>336</v>
      </c>
      <c r="E6" s="66" t="s">
        <v>211</v>
      </c>
      <c r="F6" s="66" t="s">
        <v>337</v>
      </c>
      <c r="G6" s="66" t="s">
        <v>221</v>
      </c>
      <c r="H6" s="66" t="s">
        <v>217</v>
      </c>
      <c r="I6" s="66" t="s">
        <v>212</v>
      </c>
      <c r="J6" s="66" t="s">
        <v>206</v>
      </c>
      <c r="K6" s="66" t="s">
        <v>214</v>
      </c>
      <c r="L6" s="66" t="s">
        <v>202</v>
      </c>
      <c r="M6" s="66" t="s">
        <v>198</v>
      </c>
      <c r="N6" s="66" t="s">
        <v>219</v>
      </c>
      <c r="O6" s="66" t="s">
        <v>392</v>
      </c>
      <c r="P6" s="66" t="s">
        <v>210</v>
      </c>
      <c r="Q6" s="66" t="s">
        <v>213</v>
      </c>
      <c r="R6" s="66" t="s">
        <v>207</v>
      </c>
    </row>
    <row r="7" spans="1:18">
      <c r="A7" s="66" t="str">
        <f>VLOOKUP(C7,classifications!C:F,4,FALSE)</f>
        <v>L</v>
      </c>
      <c r="B7" s="66" t="s">
        <v>440</v>
      </c>
      <c r="C7" s="66" t="s">
        <v>204</v>
      </c>
      <c r="D7" s="66" t="s">
        <v>213</v>
      </c>
      <c r="E7" s="66" t="s">
        <v>220</v>
      </c>
      <c r="F7" s="66" t="s">
        <v>212</v>
      </c>
      <c r="G7" s="66" t="s">
        <v>217</v>
      </c>
      <c r="H7" s="66" t="s">
        <v>210</v>
      </c>
      <c r="I7" s="66" t="s">
        <v>205</v>
      </c>
      <c r="J7" s="66" t="s">
        <v>198</v>
      </c>
      <c r="K7" s="66" t="s">
        <v>206</v>
      </c>
      <c r="L7" s="66" t="s">
        <v>202</v>
      </c>
      <c r="M7" s="66" t="s">
        <v>201</v>
      </c>
      <c r="N7" s="66" t="s">
        <v>203</v>
      </c>
      <c r="O7" s="66" t="s">
        <v>338</v>
      </c>
      <c r="P7" s="66" t="s">
        <v>219</v>
      </c>
      <c r="Q7" s="66" t="s">
        <v>215</v>
      </c>
      <c r="R7" s="66" t="s">
        <v>216</v>
      </c>
    </row>
    <row r="8" spans="1:18">
      <c r="A8" s="66" t="str">
        <f>VLOOKUP(C8,classifications!C:F,4,FALSE)</f>
        <v>L</v>
      </c>
      <c r="B8" s="66" t="s">
        <v>441</v>
      </c>
      <c r="C8" s="66" t="s">
        <v>205</v>
      </c>
      <c r="D8" s="66" t="s">
        <v>217</v>
      </c>
      <c r="E8" s="66" t="s">
        <v>219</v>
      </c>
      <c r="F8" s="66" t="s">
        <v>212</v>
      </c>
      <c r="G8" s="66" t="s">
        <v>213</v>
      </c>
      <c r="H8" s="66" t="s">
        <v>211</v>
      </c>
      <c r="I8" s="66" t="s">
        <v>204</v>
      </c>
      <c r="J8" s="66" t="s">
        <v>206</v>
      </c>
      <c r="K8" s="66" t="s">
        <v>215</v>
      </c>
      <c r="L8" s="66" t="s">
        <v>198</v>
      </c>
      <c r="M8" s="66" t="s">
        <v>220</v>
      </c>
      <c r="N8" s="66" t="s">
        <v>336</v>
      </c>
      <c r="O8" s="66" t="s">
        <v>210</v>
      </c>
      <c r="P8" s="66" t="s">
        <v>202</v>
      </c>
      <c r="Q8" s="66" t="s">
        <v>338</v>
      </c>
      <c r="R8" s="66" t="s">
        <v>200</v>
      </c>
    </row>
    <row r="9" spans="1:18">
      <c r="A9" s="66" t="str">
        <f>VLOOKUP(C9,classifications!C:F,4,FALSE)</f>
        <v>L</v>
      </c>
      <c r="B9" s="66" t="s">
        <v>442</v>
      </c>
      <c r="C9" s="66" t="s">
        <v>336</v>
      </c>
      <c r="D9" s="66" t="s">
        <v>200</v>
      </c>
      <c r="E9" s="66" t="s">
        <v>211</v>
      </c>
      <c r="F9" s="66" t="s">
        <v>221</v>
      </c>
      <c r="G9" s="66" t="s">
        <v>212</v>
      </c>
      <c r="H9" s="66" t="s">
        <v>217</v>
      </c>
      <c r="I9" s="66" t="s">
        <v>337</v>
      </c>
      <c r="J9" s="66" t="s">
        <v>219</v>
      </c>
      <c r="K9" s="66" t="s">
        <v>206</v>
      </c>
      <c r="L9" s="66" t="s">
        <v>214</v>
      </c>
      <c r="M9" s="66" t="s">
        <v>205</v>
      </c>
      <c r="N9" s="66" t="s">
        <v>210</v>
      </c>
      <c r="O9" s="66" t="s">
        <v>198</v>
      </c>
      <c r="P9" s="66" t="s">
        <v>202</v>
      </c>
      <c r="Q9" s="66" t="s">
        <v>213</v>
      </c>
      <c r="R9" s="66" t="s">
        <v>392</v>
      </c>
    </row>
    <row r="10" spans="1:18">
      <c r="A10" s="66" t="str">
        <f>VLOOKUP(C10,classifications!C:F,4,FALSE)</f>
        <v>L</v>
      </c>
      <c r="B10" s="66" t="s">
        <v>443</v>
      </c>
      <c r="C10" s="66" t="s">
        <v>211</v>
      </c>
      <c r="D10" s="66" t="s">
        <v>336</v>
      </c>
      <c r="E10" s="66" t="s">
        <v>217</v>
      </c>
      <c r="F10" s="66" t="s">
        <v>212</v>
      </c>
      <c r="G10" s="66" t="s">
        <v>219</v>
      </c>
      <c r="H10" s="66" t="s">
        <v>200</v>
      </c>
      <c r="I10" s="66" t="s">
        <v>205</v>
      </c>
      <c r="J10" s="66" t="s">
        <v>221</v>
      </c>
      <c r="K10" s="66" t="s">
        <v>213</v>
      </c>
      <c r="L10" s="66" t="s">
        <v>206</v>
      </c>
      <c r="M10" s="66" t="s">
        <v>204</v>
      </c>
      <c r="N10" s="66" t="s">
        <v>198</v>
      </c>
      <c r="O10" s="66" t="s">
        <v>210</v>
      </c>
      <c r="P10" s="66" t="s">
        <v>202</v>
      </c>
      <c r="Q10" s="66" t="s">
        <v>220</v>
      </c>
      <c r="R10" s="66" t="s">
        <v>214</v>
      </c>
    </row>
    <row r="11" spans="1:18">
      <c r="A11" s="66" t="str">
        <f>VLOOKUP(C11,classifications!C:F,4,FALSE)</f>
        <v>L</v>
      </c>
      <c r="B11" s="66" t="s">
        <v>444</v>
      </c>
      <c r="C11" s="66" t="s">
        <v>337</v>
      </c>
      <c r="D11" s="66" t="s">
        <v>200</v>
      </c>
      <c r="E11" s="66" t="s">
        <v>336</v>
      </c>
      <c r="F11" s="66" t="s">
        <v>187</v>
      </c>
      <c r="G11" s="66" t="s">
        <v>211</v>
      </c>
      <c r="H11" s="66" t="s">
        <v>221</v>
      </c>
      <c r="I11" s="66" t="s">
        <v>392</v>
      </c>
      <c r="J11" s="66" t="s">
        <v>393</v>
      </c>
      <c r="K11" s="66" t="s">
        <v>207</v>
      </c>
      <c r="L11" s="66" t="s">
        <v>214</v>
      </c>
      <c r="M11" s="66" t="s">
        <v>196</v>
      </c>
      <c r="N11" s="66" t="s">
        <v>202</v>
      </c>
      <c r="O11" s="66" t="s">
        <v>212</v>
      </c>
      <c r="P11" s="66" t="s">
        <v>217</v>
      </c>
      <c r="Q11" s="66" t="s">
        <v>218</v>
      </c>
      <c r="R11" s="66" t="s">
        <v>198</v>
      </c>
    </row>
    <row r="12" spans="1:18">
      <c r="A12" s="66" t="str">
        <f>VLOOKUP(C12,classifications!C:F,4,FALSE)</f>
        <v>L</v>
      </c>
      <c r="B12" s="66" t="s">
        <v>445</v>
      </c>
      <c r="C12" s="66" t="s">
        <v>212</v>
      </c>
      <c r="D12" s="66" t="s">
        <v>217</v>
      </c>
      <c r="E12" s="66" t="s">
        <v>213</v>
      </c>
      <c r="F12" s="66" t="s">
        <v>211</v>
      </c>
      <c r="G12" s="66" t="s">
        <v>205</v>
      </c>
      <c r="H12" s="66" t="s">
        <v>219</v>
      </c>
      <c r="I12" s="66" t="s">
        <v>204</v>
      </c>
      <c r="J12" s="66" t="s">
        <v>206</v>
      </c>
      <c r="K12" s="66" t="s">
        <v>198</v>
      </c>
      <c r="L12" s="66" t="s">
        <v>221</v>
      </c>
      <c r="M12" s="66" t="s">
        <v>202</v>
      </c>
      <c r="N12" s="66" t="s">
        <v>336</v>
      </c>
      <c r="O12" s="66" t="s">
        <v>220</v>
      </c>
      <c r="P12" s="66" t="s">
        <v>210</v>
      </c>
      <c r="Q12" s="66" t="s">
        <v>200</v>
      </c>
      <c r="R12" s="66" t="s">
        <v>201</v>
      </c>
    </row>
    <row r="13" spans="1:18">
      <c r="A13" s="66" t="str">
        <f>VLOOKUP(C13,classifications!C:F,4,FALSE)</f>
        <v>L</v>
      </c>
      <c r="B13" s="66" t="s">
        <v>446</v>
      </c>
      <c r="C13" s="66" t="s">
        <v>213</v>
      </c>
      <c r="D13" s="66" t="s">
        <v>204</v>
      </c>
      <c r="E13" s="66" t="s">
        <v>212</v>
      </c>
      <c r="F13" s="66" t="s">
        <v>217</v>
      </c>
      <c r="G13" s="66" t="s">
        <v>220</v>
      </c>
      <c r="H13" s="66" t="s">
        <v>205</v>
      </c>
      <c r="I13" s="66" t="s">
        <v>206</v>
      </c>
      <c r="J13" s="66" t="s">
        <v>198</v>
      </c>
      <c r="K13" s="66" t="s">
        <v>210</v>
      </c>
      <c r="L13" s="66" t="s">
        <v>202</v>
      </c>
      <c r="M13" s="66" t="s">
        <v>219</v>
      </c>
      <c r="N13" s="66" t="s">
        <v>201</v>
      </c>
      <c r="O13" s="66" t="s">
        <v>211</v>
      </c>
      <c r="P13" s="66" t="s">
        <v>215</v>
      </c>
      <c r="Q13" s="66" t="s">
        <v>203</v>
      </c>
      <c r="R13" s="66" t="s">
        <v>216</v>
      </c>
    </row>
    <row r="14" spans="1:18">
      <c r="A14" s="66" t="str">
        <f>VLOOKUP(C14,classifications!C:F,4,FALSE)</f>
        <v>L</v>
      </c>
      <c r="B14" s="66" t="s">
        <v>447</v>
      </c>
      <c r="C14" s="66" t="s">
        <v>217</v>
      </c>
      <c r="D14" s="66" t="s">
        <v>212</v>
      </c>
      <c r="E14" s="66" t="s">
        <v>205</v>
      </c>
      <c r="F14" s="66" t="s">
        <v>213</v>
      </c>
      <c r="G14" s="66" t="s">
        <v>219</v>
      </c>
      <c r="H14" s="66" t="s">
        <v>211</v>
      </c>
      <c r="I14" s="66" t="s">
        <v>204</v>
      </c>
      <c r="J14" s="66" t="s">
        <v>206</v>
      </c>
      <c r="K14" s="66" t="s">
        <v>198</v>
      </c>
      <c r="L14" s="66" t="s">
        <v>336</v>
      </c>
      <c r="M14" s="66" t="s">
        <v>220</v>
      </c>
      <c r="N14" s="66" t="s">
        <v>202</v>
      </c>
      <c r="O14" s="66" t="s">
        <v>221</v>
      </c>
      <c r="P14" s="66" t="s">
        <v>210</v>
      </c>
      <c r="Q14" s="66" t="s">
        <v>200</v>
      </c>
      <c r="R14" s="66" t="s">
        <v>215</v>
      </c>
    </row>
    <row r="15" spans="1:18">
      <c r="A15" s="66" t="str">
        <f>VLOOKUP(C15,classifications!C:F,4,FALSE)</f>
        <v>L</v>
      </c>
      <c r="B15" s="66" t="s">
        <v>448</v>
      </c>
      <c r="C15" s="66" t="s">
        <v>219</v>
      </c>
      <c r="D15" s="66" t="s">
        <v>205</v>
      </c>
      <c r="E15" s="66" t="s">
        <v>217</v>
      </c>
      <c r="F15" s="66" t="s">
        <v>212</v>
      </c>
      <c r="G15" s="66" t="s">
        <v>211</v>
      </c>
      <c r="H15" s="66" t="s">
        <v>213</v>
      </c>
      <c r="I15" s="66" t="s">
        <v>204</v>
      </c>
      <c r="J15" s="66" t="s">
        <v>206</v>
      </c>
      <c r="K15" s="66" t="s">
        <v>336</v>
      </c>
      <c r="L15" s="66" t="s">
        <v>215</v>
      </c>
      <c r="M15" s="66" t="s">
        <v>198</v>
      </c>
      <c r="N15" s="66" t="s">
        <v>220</v>
      </c>
      <c r="O15" s="66" t="s">
        <v>221</v>
      </c>
      <c r="P15" s="66" t="s">
        <v>202</v>
      </c>
      <c r="Q15" s="66" t="s">
        <v>210</v>
      </c>
      <c r="R15" s="66" t="s">
        <v>200</v>
      </c>
    </row>
    <row r="16" spans="1:18">
      <c r="A16" s="66" t="str">
        <f>VLOOKUP(C16,classifications!C:F,4,FALSE)</f>
        <v>L</v>
      </c>
      <c r="B16" s="66" t="s">
        <v>449</v>
      </c>
      <c r="C16" s="66" t="s">
        <v>221</v>
      </c>
      <c r="D16" s="66" t="s">
        <v>212</v>
      </c>
      <c r="E16" s="66" t="s">
        <v>336</v>
      </c>
      <c r="F16" s="66" t="s">
        <v>214</v>
      </c>
      <c r="G16" s="66" t="s">
        <v>202</v>
      </c>
      <c r="H16" s="66" t="s">
        <v>211</v>
      </c>
      <c r="I16" s="66" t="s">
        <v>210</v>
      </c>
      <c r="J16" s="66" t="s">
        <v>200</v>
      </c>
      <c r="K16" s="66" t="s">
        <v>217</v>
      </c>
      <c r="L16" s="66" t="s">
        <v>392</v>
      </c>
      <c r="M16" s="66" t="s">
        <v>196</v>
      </c>
      <c r="N16" s="66" t="s">
        <v>213</v>
      </c>
      <c r="O16" s="66" t="s">
        <v>198</v>
      </c>
      <c r="P16" s="66" t="s">
        <v>218</v>
      </c>
      <c r="Q16" s="66" t="s">
        <v>201</v>
      </c>
      <c r="R16" s="66" t="s">
        <v>216</v>
      </c>
    </row>
    <row r="17" spans="1:18">
      <c r="A17" s="66" t="str">
        <f>VLOOKUP(C17,classifications!C:F,4,FALSE)</f>
        <v>L</v>
      </c>
      <c r="B17" s="66" t="s">
        <v>450</v>
      </c>
      <c r="C17" s="66" t="s">
        <v>187</v>
      </c>
      <c r="D17" s="66" t="s">
        <v>337</v>
      </c>
      <c r="E17" s="66" t="s">
        <v>200</v>
      </c>
      <c r="F17" s="66" t="s">
        <v>336</v>
      </c>
      <c r="G17" s="66" t="s">
        <v>211</v>
      </c>
      <c r="H17" s="66" t="s">
        <v>221</v>
      </c>
      <c r="I17" s="66" t="s">
        <v>219</v>
      </c>
      <c r="J17" s="66" t="s">
        <v>217</v>
      </c>
      <c r="K17" s="66" t="s">
        <v>392</v>
      </c>
      <c r="L17" s="66" t="s">
        <v>212</v>
      </c>
      <c r="M17" s="66" t="s">
        <v>393</v>
      </c>
      <c r="N17" s="66" t="s">
        <v>214</v>
      </c>
      <c r="O17" s="66" t="s">
        <v>202</v>
      </c>
      <c r="P17" s="66" t="s">
        <v>196</v>
      </c>
      <c r="Q17" s="66" t="s">
        <v>207</v>
      </c>
      <c r="R17" s="66" t="s">
        <v>206</v>
      </c>
    </row>
    <row r="18" spans="1:18">
      <c r="A18" s="66" t="str">
        <f>VLOOKUP(C18,classifications!C:F,4,FALSE)</f>
        <v>L</v>
      </c>
      <c r="B18" s="66" t="s">
        <v>451</v>
      </c>
      <c r="C18" s="66" t="s">
        <v>338</v>
      </c>
      <c r="D18" s="66" t="s">
        <v>220</v>
      </c>
      <c r="E18" s="66" t="s">
        <v>204</v>
      </c>
      <c r="F18" s="66" t="s">
        <v>215</v>
      </c>
      <c r="G18" s="66" t="s">
        <v>213</v>
      </c>
      <c r="H18" s="66" t="s">
        <v>203</v>
      </c>
      <c r="I18" s="66" t="s">
        <v>206</v>
      </c>
      <c r="J18" s="66" t="s">
        <v>210</v>
      </c>
      <c r="K18" s="66" t="s">
        <v>205</v>
      </c>
      <c r="L18" s="66" t="s">
        <v>198</v>
      </c>
      <c r="M18" s="66" t="s">
        <v>201</v>
      </c>
      <c r="N18" s="66" t="s">
        <v>216</v>
      </c>
      <c r="O18" s="66" t="s">
        <v>202</v>
      </c>
      <c r="P18" s="66" t="s">
        <v>209</v>
      </c>
      <c r="Q18" s="66" t="s">
        <v>217</v>
      </c>
      <c r="R18" s="66" t="s">
        <v>219</v>
      </c>
    </row>
    <row r="19" spans="1:18">
      <c r="A19" s="66" t="str">
        <f>VLOOKUP(C19,classifications!C:F,4,FALSE)</f>
        <v>L</v>
      </c>
      <c r="B19" s="66" t="s">
        <v>452</v>
      </c>
      <c r="C19" s="66" t="s">
        <v>196</v>
      </c>
      <c r="D19" s="66" t="s">
        <v>207</v>
      </c>
      <c r="E19" s="66" t="s">
        <v>216</v>
      </c>
      <c r="F19" s="66" t="s">
        <v>201</v>
      </c>
      <c r="G19" s="66" t="s">
        <v>202</v>
      </c>
      <c r="H19" s="66" t="s">
        <v>203</v>
      </c>
      <c r="I19" s="66" t="s">
        <v>199</v>
      </c>
      <c r="J19" s="66" t="s">
        <v>209</v>
      </c>
      <c r="K19" s="66" t="s">
        <v>214</v>
      </c>
      <c r="L19" s="66" t="s">
        <v>392</v>
      </c>
      <c r="M19" s="66" t="s">
        <v>210</v>
      </c>
      <c r="N19" s="66" t="s">
        <v>218</v>
      </c>
      <c r="O19" s="66" t="s">
        <v>393</v>
      </c>
      <c r="P19" s="66" t="s">
        <v>197</v>
      </c>
      <c r="Q19" s="66" t="s">
        <v>221</v>
      </c>
      <c r="R19" s="66" t="s">
        <v>198</v>
      </c>
    </row>
    <row r="20" spans="1:18">
      <c r="A20" s="66" t="str">
        <f>VLOOKUP(C20,classifications!C:F,4,FALSE)</f>
        <v>L</v>
      </c>
      <c r="B20" s="66" t="s">
        <v>453</v>
      </c>
      <c r="C20" s="66" t="s">
        <v>197</v>
      </c>
      <c r="D20" s="66" t="s">
        <v>208</v>
      </c>
      <c r="E20" s="66" t="s">
        <v>218</v>
      </c>
      <c r="F20" s="66" t="s">
        <v>209</v>
      </c>
      <c r="G20" s="66" t="s">
        <v>216</v>
      </c>
      <c r="H20" s="66" t="s">
        <v>199</v>
      </c>
      <c r="I20" s="66" t="s">
        <v>214</v>
      </c>
      <c r="J20" s="66" t="s">
        <v>207</v>
      </c>
      <c r="K20" s="66" t="s">
        <v>392</v>
      </c>
      <c r="L20" s="66" t="s">
        <v>201</v>
      </c>
      <c r="M20" s="66" t="s">
        <v>203</v>
      </c>
      <c r="N20" s="66" t="s">
        <v>210</v>
      </c>
      <c r="O20" s="66" t="s">
        <v>196</v>
      </c>
      <c r="P20" s="66" t="s">
        <v>220</v>
      </c>
      <c r="Q20" s="66" t="s">
        <v>202</v>
      </c>
      <c r="R20" s="66" t="s">
        <v>393</v>
      </c>
    </row>
    <row r="21" spans="1:18">
      <c r="A21" s="66" t="str">
        <f>VLOOKUP(C21,classifications!C:F,4,FALSE)</f>
        <v>L</v>
      </c>
      <c r="B21" s="66" t="s">
        <v>454</v>
      </c>
      <c r="C21" s="66" t="s">
        <v>198</v>
      </c>
      <c r="D21" s="66" t="s">
        <v>202</v>
      </c>
      <c r="E21" s="66" t="s">
        <v>206</v>
      </c>
      <c r="F21" s="66" t="s">
        <v>220</v>
      </c>
      <c r="G21" s="66" t="s">
        <v>210</v>
      </c>
      <c r="H21" s="66" t="s">
        <v>203</v>
      </c>
      <c r="I21" s="66" t="s">
        <v>213</v>
      </c>
      <c r="J21" s="66" t="s">
        <v>212</v>
      </c>
      <c r="K21" s="66" t="s">
        <v>201</v>
      </c>
      <c r="L21" s="66" t="s">
        <v>216</v>
      </c>
      <c r="M21" s="66" t="s">
        <v>217</v>
      </c>
      <c r="N21" s="66" t="s">
        <v>204</v>
      </c>
      <c r="O21" s="66" t="s">
        <v>215</v>
      </c>
      <c r="P21" s="66" t="s">
        <v>214</v>
      </c>
      <c r="Q21" s="66" t="s">
        <v>205</v>
      </c>
      <c r="R21" s="66" t="s">
        <v>207</v>
      </c>
    </row>
    <row r="22" spans="1:18">
      <c r="A22" s="66" t="str">
        <f>VLOOKUP(C22,classifications!C:F,4,FALSE)</f>
        <v>L</v>
      </c>
      <c r="B22" s="66" t="s">
        <v>455</v>
      </c>
      <c r="C22" s="66" t="s">
        <v>199</v>
      </c>
      <c r="D22" s="66" t="s">
        <v>208</v>
      </c>
      <c r="E22" s="66" t="s">
        <v>197</v>
      </c>
      <c r="F22" s="66" t="s">
        <v>209</v>
      </c>
      <c r="G22" s="66" t="s">
        <v>196</v>
      </c>
      <c r="H22" s="66" t="s">
        <v>393</v>
      </c>
      <c r="I22" s="66" t="s">
        <v>218</v>
      </c>
      <c r="J22" s="66" t="s">
        <v>392</v>
      </c>
      <c r="K22" s="66" t="s">
        <v>207</v>
      </c>
      <c r="L22" s="66" t="s">
        <v>201</v>
      </c>
      <c r="M22" s="66" t="s">
        <v>216</v>
      </c>
      <c r="N22" s="66" t="s">
        <v>203</v>
      </c>
      <c r="O22" s="66" t="s">
        <v>214</v>
      </c>
      <c r="P22" s="66" t="s">
        <v>210</v>
      </c>
      <c r="Q22" s="66" t="s">
        <v>202</v>
      </c>
      <c r="R22" s="66" t="s">
        <v>221</v>
      </c>
    </row>
    <row r="23" spans="1:18">
      <c r="A23" s="66" t="str">
        <f>VLOOKUP(C23,classifications!C:F,4,FALSE)</f>
        <v>L</v>
      </c>
      <c r="B23" s="66" t="s">
        <v>456</v>
      </c>
      <c r="C23" s="66" t="s">
        <v>201</v>
      </c>
      <c r="D23" s="66" t="s">
        <v>203</v>
      </c>
      <c r="E23" s="66" t="s">
        <v>216</v>
      </c>
      <c r="F23" s="66" t="s">
        <v>202</v>
      </c>
      <c r="G23" s="66" t="s">
        <v>210</v>
      </c>
      <c r="H23" s="66" t="s">
        <v>220</v>
      </c>
      <c r="I23" s="66" t="s">
        <v>209</v>
      </c>
      <c r="J23" s="66" t="s">
        <v>196</v>
      </c>
      <c r="K23" s="66" t="s">
        <v>198</v>
      </c>
      <c r="L23" s="66" t="s">
        <v>197</v>
      </c>
      <c r="M23" s="66" t="s">
        <v>204</v>
      </c>
      <c r="N23" s="66" t="s">
        <v>214</v>
      </c>
      <c r="O23" s="66" t="s">
        <v>213</v>
      </c>
      <c r="P23" s="66" t="s">
        <v>218</v>
      </c>
      <c r="Q23" s="66" t="s">
        <v>206</v>
      </c>
      <c r="R23" s="66" t="s">
        <v>207</v>
      </c>
    </row>
    <row r="24" spans="1:18">
      <c r="A24" s="66" t="str">
        <f>VLOOKUP(C24,classifications!C:F,4,FALSE)</f>
        <v>L</v>
      </c>
      <c r="B24" s="66" t="s">
        <v>457</v>
      </c>
      <c r="C24" s="66" t="s">
        <v>202</v>
      </c>
      <c r="D24" s="66" t="s">
        <v>198</v>
      </c>
      <c r="E24" s="66" t="s">
        <v>210</v>
      </c>
      <c r="F24" s="66" t="s">
        <v>201</v>
      </c>
      <c r="G24" s="66" t="s">
        <v>216</v>
      </c>
      <c r="H24" s="66" t="s">
        <v>203</v>
      </c>
      <c r="I24" s="66" t="s">
        <v>220</v>
      </c>
      <c r="J24" s="66" t="s">
        <v>206</v>
      </c>
      <c r="K24" s="66" t="s">
        <v>214</v>
      </c>
      <c r="L24" s="66" t="s">
        <v>196</v>
      </c>
      <c r="M24" s="66" t="s">
        <v>207</v>
      </c>
      <c r="N24" s="66" t="s">
        <v>213</v>
      </c>
      <c r="O24" s="66" t="s">
        <v>212</v>
      </c>
      <c r="P24" s="66" t="s">
        <v>204</v>
      </c>
      <c r="Q24" s="66" t="s">
        <v>221</v>
      </c>
      <c r="R24" s="66" t="s">
        <v>209</v>
      </c>
    </row>
    <row r="25" spans="1:18">
      <c r="A25" s="66" t="str">
        <f>VLOOKUP(C25,classifications!C:F,4,FALSE)</f>
        <v>L</v>
      </c>
      <c r="B25" s="66" t="s">
        <v>458</v>
      </c>
      <c r="C25" s="66" t="s">
        <v>203</v>
      </c>
      <c r="D25" s="66" t="s">
        <v>201</v>
      </c>
      <c r="E25" s="66" t="s">
        <v>216</v>
      </c>
      <c r="F25" s="66" t="s">
        <v>202</v>
      </c>
      <c r="G25" s="66" t="s">
        <v>210</v>
      </c>
      <c r="H25" s="66" t="s">
        <v>220</v>
      </c>
      <c r="I25" s="66" t="s">
        <v>198</v>
      </c>
      <c r="J25" s="66" t="s">
        <v>209</v>
      </c>
      <c r="K25" s="66" t="s">
        <v>196</v>
      </c>
      <c r="L25" s="66" t="s">
        <v>207</v>
      </c>
      <c r="M25" s="66" t="s">
        <v>206</v>
      </c>
      <c r="N25" s="66" t="s">
        <v>197</v>
      </c>
      <c r="O25" s="66" t="s">
        <v>204</v>
      </c>
      <c r="P25" s="66" t="s">
        <v>214</v>
      </c>
      <c r="Q25" s="66" t="s">
        <v>213</v>
      </c>
      <c r="R25" s="66" t="s">
        <v>218</v>
      </c>
    </row>
    <row r="26" spans="1:18">
      <c r="A26" s="66" t="str">
        <f>VLOOKUP(C26,classifications!C:F,4,FALSE)</f>
        <v>L</v>
      </c>
      <c r="B26" s="66" t="s">
        <v>459</v>
      </c>
      <c r="C26" s="66" t="s">
        <v>206</v>
      </c>
      <c r="D26" s="66" t="s">
        <v>198</v>
      </c>
      <c r="E26" s="66" t="s">
        <v>220</v>
      </c>
      <c r="F26" s="66" t="s">
        <v>202</v>
      </c>
      <c r="G26" s="66" t="s">
        <v>213</v>
      </c>
      <c r="H26" s="66" t="s">
        <v>212</v>
      </c>
      <c r="I26" s="66" t="s">
        <v>217</v>
      </c>
      <c r="J26" s="66" t="s">
        <v>210</v>
      </c>
      <c r="K26" s="66" t="s">
        <v>205</v>
      </c>
      <c r="L26" s="66" t="s">
        <v>215</v>
      </c>
      <c r="M26" s="66" t="s">
        <v>203</v>
      </c>
      <c r="N26" s="66" t="s">
        <v>204</v>
      </c>
      <c r="O26" s="66" t="s">
        <v>201</v>
      </c>
      <c r="P26" s="66" t="s">
        <v>219</v>
      </c>
      <c r="Q26" s="66" t="s">
        <v>211</v>
      </c>
      <c r="R26" s="66" t="s">
        <v>216</v>
      </c>
    </row>
    <row r="27" spans="1:18">
      <c r="A27" s="66" t="str">
        <f>VLOOKUP(C27,classifications!C:F,4,FALSE)</f>
        <v>L</v>
      </c>
      <c r="B27" s="66" t="s">
        <v>460</v>
      </c>
      <c r="C27" s="66" t="s">
        <v>207</v>
      </c>
      <c r="D27" s="66" t="s">
        <v>214</v>
      </c>
      <c r="E27" s="66" t="s">
        <v>392</v>
      </c>
      <c r="F27" s="66" t="s">
        <v>216</v>
      </c>
      <c r="G27" s="66" t="s">
        <v>196</v>
      </c>
      <c r="H27" s="66" t="s">
        <v>218</v>
      </c>
      <c r="I27" s="66" t="s">
        <v>202</v>
      </c>
      <c r="J27" s="66" t="s">
        <v>197</v>
      </c>
      <c r="K27" s="66" t="s">
        <v>203</v>
      </c>
      <c r="L27" s="66" t="s">
        <v>210</v>
      </c>
      <c r="M27" s="66" t="s">
        <v>209</v>
      </c>
      <c r="N27" s="66" t="s">
        <v>201</v>
      </c>
      <c r="O27" s="66" t="s">
        <v>393</v>
      </c>
      <c r="P27" s="66" t="s">
        <v>198</v>
      </c>
      <c r="Q27" s="66" t="s">
        <v>199</v>
      </c>
      <c r="R27" s="66" t="s">
        <v>208</v>
      </c>
    </row>
    <row r="28" spans="1:18">
      <c r="A28" s="66" t="str">
        <f>VLOOKUP(C28,classifications!C:F,4,FALSE)</f>
        <v>L</v>
      </c>
      <c r="B28" s="66" t="s">
        <v>461</v>
      </c>
      <c r="C28" s="66" t="s">
        <v>208</v>
      </c>
      <c r="D28" s="66" t="s">
        <v>197</v>
      </c>
      <c r="E28" s="66" t="s">
        <v>199</v>
      </c>
      <c r="F28" s="66" t="s">
        <v>218</v>
      </c>
      <c r="G28" s="66" t="s">
        <v>209</v>
      </c>
      <c r="H28" s="66" t="s">
        <v>392</v>
      </c>
      <c r="I28" s="66" t="s">
        <v>216</v>
      </c>
      <c r="J28" s="66" t="s">
        <v>207</v>
      </c>
      <c r="K28" s="66" t="s">
        <v>214</v>
      </c>
      <c r="L28" s="66" t="s">
        <v>201</v>
      </c>
      <c r="M28" s="66" t="s">
        <v>203</v>
      </c>
      <c r="N28" s="66" t="s">
        <v>210</v>
      </c>
      <c r="O28" s="66" t="s">
        <v>196</v>
      </c>
      <c r="P28" s="66" t="s">
        <v>393</v>
      </c>
      <c r="Q28" s="66" t="s">
        <v>220</v>
      </c>
      <c r="R28" s="66" t="s">
        <v>202</v>
      </c>
    </row>
    <row r="29" spans="1:18">
      <c r="A29" s="66" t="str">
        <f>VLOOKUP(C29,classifications!C:F,4,FALSE)</f>
        <v>L</v>
      </c>
      <c r="B29" s="66" t="s">
        <v>462</v>
      </c>
      <c r="C29" s="66" t="s">
        <v>209</v>
      </c>
      <c r="D29" s="66" t="s">
        <v>210</v>
      </c>
      <c r="E29" s="66" t="s">
        <v>203</v>
      </c>
      <c r="F29" s="66" t="s">
        <v>197</v>
      </c>
      <c r="G29" s="66" t="s">
        <v>201</v>
      </c>
      <c r="H29" s="66" t="s">
        <v>208</v>
      </c>
      <c r="I29" s="66" t="s">
        <v>199</v>
      </c>
      <c r="J29" s="66" t="s">
        <v>218</v>
      </c>
      <c r="K29" s="66" t="s">
        <v>216</v>
      </c>
      <c r="L29" s="66" t="s">
        <v>196</v>
      </c>
      <c r="M29" s="66" t="s">
        <v>214</v>
      </c>
      <c r="N29" s="66" t="s">
        <v>207</v>
      </c>
      <c r="O29" s="66" t="s">
        <v>202</v>
      </c>
      <c r="P29" s="66" t="s">
        <v>220</v>
      </c>
      <c r="Q29" s="66" t="s">
        <v>392</v>
      </c>
      <c r="R29" s="66" t="s">
        <v>204</v>
      </c>
    </row>
    <row r="30" spans="1:18">
      <c r="A30" s="66" t="str">
        <f>VLOOKUP(C30,classifications!C:F,4,FALSE)</f>
        <v>L</v>
      </c>
      <c r="B30" s="66" t="s">
        <v>463</v>
      </c>
      <c r="C30" s="66" t="s">
        <v>210</v>
      </c>
      <c r="D30" s="66" t="s">
        <v>202</v>
      </c>
      <c r="E30" s="66" t="s">
        <v>220</v>
      </c>
      <c r="F30" s="66" t="s">
        <v>203</v>
      </c>
      <c r="G30" s="66" t="s">
        <v>214</v>
      </c>
      <c r="H30" s="66" t="s">
        <v>209</v>
      </c>
      <c r="I30" s="66" t="s">
        <v>198</v>
      </c>
      <c r="J30" s="66" t="s">
        <v>216</v>
      </c>
      <c r="K30" s="66" t="s">
        <v>201</v>
      </c>
      <c r="L30" s="66" t="s">
        <v>204</v>
      </c>
      <c r="M30" s="66" t="s">
        <v>206</v>
      </c>
      <c r="N30" s="66" t="s">
        <v>213</v>
      </c>
      <c r="O30" s="66" t="s">
        <v>218</v>
      </c>
      <c r="P30" s="66" t="s">
        <v>207</v>
      </c>
      <c r="Q30" s="66" t="s">
        <v>212</v>
      </c>
      <c r="R30" s="66" t="s">
        <v>196</v>
      </c>
    </row>
    <row r="31" spans="1:18">
      <c r="A31" s="66" t="str">
        <f>VLOOKUP(C31,classifications!C:F,4,FALSE)</f>
        <v>L</v>
      </c>
      <c r="B31" s="66" t="s">
        <v>464</v>
      </c>
      <c r="C31" s="68" t="s">
        <v>392</v>
      </c>
      <c r="D31" s="66" t="s">
        <v>214</v>
      </c>
      <c r="E31" s="66" t="s">
        <v>218</v>
      </c>
      <c r="F31" s="66" t="s">
        <v>207</v>
      </c>
      <c r="G31" s="66" t="s">
        <v>393</v>
      </c>
      <c r="H31" s="66" t="s">
        <v>197</v>
      </c>
      <c r="I31" s="66" t="s">
        <v>216</v>
      </c>
      <c r="J31" s="66" t="s">
        <v>196</v>
      </c>
      <c r="K31" s="66" t="s">
        <v>210</v>
      </c>
      <c r="L31" s="66" t="s">
        <v>209</v>
      </c>
      <c r="M31" s="66" t="s">
        <v>199</v>
      </c>
      <c r="N31" s="66" t="s">
        <v>208</v>
      </c>
      <c r="O31" s="66" t="s">
        <v>221</v>
      </c>
      <c r="P31" s="66" t="s">
        <v>202</v>
      </c>
      <c r="Q31" s="66" t="s">
        <v>203</v>
      </c>
      <c r="R31" s="66" t="s">
        <v>201</v>
      </c>
    </row>
    <row r="32" spans="1:18">
      <c r="A32" s="66" t="str">
        <f>VLOOKUP(C32,classifications!C:F,4,FALSE)</f>
        <v>L</v>
      </c>
      <c r="B32" s="66" t="s">
        <v>465</v>
      </c>
      <c r="C32" s="66" t="s">
        <v>214</v>
      </c>
      <c r="D32" s="66" t="s">
        <v>218</v>
      </c>
      <c r="E32" s="66" t="s">
        <v>392</v>
      </c>
      <c r="F32" s="66" t="s">
        <v>207</v>
      </c>
      <c r="G32" s="66" t="s">
        <v>216</v>
      </c>
      <c r="H32" s="66" t="s">
        <v>210</v>
      </c>
      <c r="I32" s="66" t="s">
        <v>202</v>
      </c>
      <c r="J32" s="66" t="s">
        <v>197</v>
      </c>
      <c r="K32" s="66" t="s">
        <v>221</v>
      </c>
      <c r="L32" s="66" t="s">
        <v>209</v>
      </c>
      <c r="M32" s="66" t="s">
        <v>220</v>
      </c>
      <c r="N32" s="66" t="s">
        <v>196</v>
      </c>
      <c r="O32" s="66" t="s">
        <v>201</v>
      </c>
      <c r="P32" s="66" t="s">
        <v>203</v>
      </c>
      <c r="Q32" s="66" t="s">
        <v>198</v>
      </c>
      <c r="R32" s="66" t="s">
        <v>206</v>
      </c>
    </row>
    <row r="33" spans="1:18">
      <c r="A33" s="66" t="str">
        <f>VLOOKUP(C33,classifications!C:F,4,FALSE)</f>
        <v>L</v>
      </c>
      <c r="B33" s="66" t="s">
        <v>466</v>
      </c>
      <c r="C33" s="66" t="s">
        <v>215</v>
      </c>
      <c r="D33" s="66" t="s">
        <v>220</v>
      </c>
      <c r="E33" s="66" t="s">
        <v>206</v>
      </c>
      <c r="F33" s="66" t="s">
        <v>198</v>
      </c>
      <c r="G33" s="66" t="s">
        <v>213</v>
      </c>
      <c r="H33" s="66" t="s">
        <v>205</v>
      </c>
      <c r="I33" s="66" t="s">
        <v>338</v>
      </c>
      <c r="J33" s="66" t="s">
        <v>204</v>
      </c>
      <c r="K33" s="66" t="s">
        <v>219</v>
      </c>
      <c r="L33" s="66" t="s">
        <v>217</v>
      </c>
      <c r="M33" s="66" t="s">
        <v>212</v>
      </c>
      <c r="N33" s="66" t="s">
        <v>202</v>
      </c>
      <c r="O33" s="66" t="s">
        <v>210</v>
      </c>
      <c r="P33" s="66" t="s">
        <v>203</v>
      </c>
      <c r="Q33" s="66" t="s">
        <v>201</v>
      </c>
      <c r="R33" s="66" t="s">
        <v>216</v>
      </c>
    </row>
    <row r="34" spans="1:18">
      <c r="A34" s="66" t="str">
        <f>VLOOKUP(C34,classifications!C:F,4,FALSE)</f>
        <v>L</v>
      </c>
      <c r="B34" s="66" t="s">
        <v>467</v>
      </c>
      <c r="C34" s="66" t="s">
        <v>216</v>
      </c>
      <c r="D34" s="66" t="s">
        <v>201</v>
      </c>
      <c r="E34" s="66" t="s">
        <v>203</v>
      </c>
      <c r="F34" s="66" t="s">
        <v>202</v>
      </c>
      <c r="G34" s="66" t="s">
        <v>207</v>
      </c>
      <c r="H34" s="66" t="s">
        <v>214</v>
      </c>
      <c r="I34" s="66" t="s">
        <v>210</v>
      </c>
      <c r="J34" s="66" t="s">
        <v>218</v>
      </c>
      <c r="K34" s="66" t="s">
        <v>220</v>
      </c>
      <c r="L34" s="66" t="s">
        <v>197</v>
      </c>
      <c r="M34" s="66" t="s">
        <v>196</v>
      </c>
      <c r="N34" s="66" t="s">
        <v>198</v>
      </c>
      <c r="O34" s="66" t="s">
        <v>209</v>
      </c>
      <c r="P34" s="66" t="s">
        <v>392</v>
      </c>
      <c r="Q34" s="66" t="s">
        <v>206</v>
      </c>
      <c r="R34" s="66" t="s">
        <v>204</v>
      </c>
    </row>
    <row r="35" spans="1:18">
      <c r="A35" s="66" t="str">
        <f>VLOOKUP(C35,classifications!C:F,4,FALSE)</f>
        <v>L</v>
      </c>
      <c r="B35" s="66" t="s">
        <v>468</v>
      </c>
      <c r="C35" s="68" t="s">
        <v>393</v>
      </c>
      <c r="D35" s="66" t="s">
        <v>392</v>
      </c>
      <c r="E35" s="66" t="s">
        <v>199</v>
      </c>
      <c r="F35" s="66" t="s">
        <v>207</v>
      </c>
      <c r="G35" s="66" t="s">
        <v>218</v>
      </c>
      <c r="H35" s="66" t="s">
        <v>196</v>
      </c>
      <c r="I35" s="66" t="s">
        <v>214</v>
      </c>
      <c r="J35" s="66" t="s">
        <v>197</v>
      </c>
      <c r="K35" s="66" t="s">
        <v>209</v>
      </c>
      <c r="L35" s="66" t="s">
        <v>208</v>
      </c>
      <c r="M35" s="66" t="s">
        <v>216</v>
      </c>
      <c r="N35" s="66" t="s">
        <v>221</v>
      </c>
      <c r="O35" s="66" t="s">
        <v>210</v>
      </c>
      <c r="P35" s="66" t="s">
        <v>200</v>
      </c>
      <c r="Q35" s="66" t="s">
        <v>203</v>
      </c>
      <c r="R35" s="66" t="s">
        <v>201</v>
      </c>
    </row>
    <row r="36" spans="1:18">
      <c r="A36" s="66" t="str">
        <f>VLOOKUP(C36,classifications!C:F,4,FALSE)</f>
        <v>L</v>
      </c>
      <c r="B36" s="66" t="s">
        <v>469</v>
      </c>
      <c r="C36" s="66" t="s">
        <v>218</v>
      </c>
      <c r="D36" s="66" t="s">
        <v>197</v>
      </c>
      <c r="E36" s="66" t="s">
        <v>214</v>
      </c>
      <c r="F36" s="66" t="s">
        <v>392</v>
      </c>
      <c r="G36" s="66" t="s">
        <v>207</v>
      </c>
      <c r="H36" s="66" t="s">
        <v>216</v>
      </c>
      <c r="I36" s="66" t="s">
        <v>208</v>
      </c>
      <c r="J36" s="66" t="s">
        <v>209</v>
      </c>
      <c r="K36" s="66" t="s">
        <v>210</v>
      </c>
      <c r="L36" s="66" t="s">
        <v>201</v>
      </c>
      <c r="M36" s="66" t="s">
        <v>196</v>
      </c>
      <c r="N36" s="66" t="s">
        <v>199</v>
      </c>
      <c r="O36" s="66" t="s">
        <v>203</v>
      </c>
      <c r="P36" s="66" t="s">
        <v>393</v>
      </c>
      <c r="Q36" s="66" t="s">
        <v>202</v>
      </c>
      <c r="R36" s="66" t="s">
        <v>220</v>
      </c>
    </row>
    <row r="37" spans="1:18">
      <c r="A37" s="66" t="str">
        <f>VLOOKUP(C37,classifications!C:F,4,FALSE)</f>
        <v>L</v>
      </c>
      <c r="B37" s="66" t="s">
        <v>470</v>
      </c>
      <c r="C37" s="66" t="s">
        <v>220</v>
      </c>
      <c r="D37" s="66" t="s">
        <v>206</v>
      </c>
      <c r="E37" s="66" t="s">
        <v>210</v>
      </c>
      <c r="F37" s="66" t="s">
        <v>198</v>
      </c>
      <c r="G37" s="66" t="s">
        <v>203</v>
      </c>
      <c r="H37" s="66" t="s">
        <v>202</v>
      </c>
      <c r="I37" s="66" t="s">
        <v>213</v>
      </c>
      <c r="J37" s="66" t="s">
        <v>204</v>
      </c>
      <c r="K37" s="66" t="s">
        <v>201</v>
      </c>
      <c r="L37" s="66" t="s">
        <v>215</v>
      </c>
      <c r="M37" s="66" t="s">
        <v>216</v>
      </c>
      <c r="N37" s="66" t="s">
        <v>338</v>
      </c>
      <c r="O37" s="66" t="s">
        <v>214</v>
      </c>
      <c r="P37" s="66" t="s">
        <v>212</v>
      </c>
      <c r="Q37" s="66" t="s">
        <v>217</v>
      </c>
      <c r="R37" s="66" t="s">
        <v>209</v>
      </c>
    </row>
    <row r="39" spans="1:18">
      <c r="B39" s="65" t="s">
        <v>413</v>
      </c>
    </row>
    <row r="40" spans="1:18">
      <c r="A40" s="66" t="str">
        <f>VLOOKUP(C40,classifications!C:F,4,FALSE)</f>
        <v>MD</v>
      </c>
      <c r="B40" s="66" t="s">
        <v>471</v>
      </c>
      <c r="C40" s="66" t="s">
        <v>224</v>
      </c>
      <c r="D40" s="66" t="s">
        <v>240</v>
      </c>
      <c r="E40" s="66" t="s">
        <v>239</v>
      </c>
      <c r="F40" s="66" t="s">
        <v>251</v>
      </c>
      <c r="G40" s="66" t="s">
        <v>265</v>
      </c>
      <c r="H40" s="66" t="s">
        <v>226</v>
      </c>
      <c r="I40" s="66" t="s">
        <v>255</v>
      </c>
      <c r="J40" s="66" t="s">
        <v>273</v>
      </c>
      <c r="K40" s="66" t="s">
        <v>232</v>
      </c>
      <c r="L40" s="66" t="s">
        <v>813</v>
      </c>
      <c r="M40" s="66" t="s">
        <v>291</v>
      </c>
      <c r="N40" s="66" t="s">
        <v>227</v>
      </c>
      <c r="O40" s="66" t="s">
        <v>228</v>
      </c>
      <c r="P40" s="66" t="s">
        <v>242</v>
      </c>
      <c r="Q40" s="66" t="s">
        <v>241</v>
      </c>
      <c r="R40" s="66" t="s">
        <v>290</v>
      </c>
    </row>
    <row r="41" spans="1:18">
      <c r="A41" s="66" t="str">
        <f>VLOOKUP(C41,classifications!C:F,4,FALSE)</f>
        <v>MD</v>
      </c>
      <c r="B41" s="66" t="s">
        <v>472</v>
      </c>
      <c r="C41" s="66" t="s">
        <v>226</v>
      </c>
      <c r="D41" s="66" t="s">
        <v>227</v>
      </c>
      <c r="E41" s="66" t="s">
        <v>273</v>
      </c>
      <c r="F41" s="66" t="s">
        <v>224</v>
      </c>
      <c r="G41" s="66" t="s">
        <v>232</v>
      </c>
      <c r="H41" s="66" t="s">
        <v>255</v>
      </c>
      <c r="I41" s="66" t="s">
        <v>251</v>
      </c>
      <c r="J41" s="66" t="s">
        <v>264</v>
      </c>
      <c r="K41" s="66" t="s">
        <v>813</v>
      </c>
      <c r="L41" s="66" t="s">
        <v>290</v>
      </c>
      <c r="M41" s="66" t="s">
        <v>295</v>
      </c>
      <c r="N41" s="66" t="s">
        <v>265</v>
      </c>
      <c r="O41" s="66" t="s">
        <v>248</v>
      </c>
      <c r="P41" s="66" t="s">
        <v>241</v>
      </c>
      <c r="Q41" s="66" t="s">
        <v>240</v>
      </c>
      <c r="R41" s="66" t="s">
        <v>249</v>
      </c>
    </row>
    <row r="42" spans="1:18">
      <c r="A42" s="66" t="str">
        <f>VLOOKUP(C42,classifications!C:F,4,FALSE)</f>
        <v>MD</v>
      </c>
      <c r="B42" s="66" t="s">
        <v>473</v>
      </c>
      <c r="C42" s="66" t="s">
        <v>236</v>
      </c>
      <c r="D42" s="66" t="s">
        <v>279</v>
      </c>
      <c r="E42" s="66" t="s">
        <v>235</v>
      </c>
      <c r="F42" s="66" t="s">
        <v>271</v>
      </c>
      <c r="G42" s="66" t="s">
        <v>288</v>
      </c>
      <c r="H42" s="66" t="s">
        <v>815</v>
      </c>
      <c r="I42" s="66" t="s">
        <v>811</v>
      </c>
      <c r="J42" s="66" t="s">
        <v>237</v>
      </c>
      <c r="K42" s="66" t="s">
        <v>242</v>
      </c>
      <c r="L42" s="66" t="s">
        <v>817</v>
      </c>
      <c r="M42" s="66" t="s">
        <v>234</v>
      </c>
      <c r="N42" s="66" t="s">
        <v>283</v>
      </c>
      <c r="O42" s="66" t="s">
        <v>245</v>
      </c>
      <c r="P42" s="66" t="s">
        <v>284</v>
      </c>
      <c r="Q42" s="66" t="s">
        <v>223</v>
      </c>
      <c r="R42" s="66" t="s">
        <v>224</v>
      </c>
    </row>
    <row r="43" spans="1:18">
      <c r="A43" s="66" t="str">
        <f>VLOOKUP(C43,classifications!C:F,4,FALSE)</f>
        <v>MD</v>
      </c>
      <c r="B43" s="66" t="s">
        <v>474</v>
      </c>
      <c r="C43" s="66" t="s">
        <v>239</v>
      </c>
      <c r="D43" s="66" t="s">
        <v>240</v>
      </c>
      <c r="E43" s="66" t="s">
        <v>224</v>
      </c>
      <c r="F43" s="66" t="s">
        <v>260</v>
      </c>
      <c r="G43" s="66" t="s">
        <v>251</v>
      </c>
      <c r="H43" s="66" t="s">
        <v>254</v>
      </c>
      <c r="I43" s="66" t="s">
        <v>265</v>
      </c>
      <c r="J43" s="66" t="s">
        <v>243</v>
      </c>
      <c r="K43" s="66" t="s">
        <v>291</v>
      </c>
      <c r="L43" s="66" t="s">
        <v>813</v>
      </c>
      <c r="M43" s="66" t="s">
        <v>225</v>
      </c>
      <c r="N43" s="66" t="s">
        <v>255</v>
      </c>
      <c r="O43" s="66" t="s">
        <v>273</v>
      </c>
      <c r="P43" s="66" t="s">
        <v>241</v>
      </c>
      <c r="Q43" s="66" t="s">
        <v>228</v>
      </c>
      <c r="R43" s="66" t="s">
        <v>226</v>
      </c>
    </row>
    <row r="44" spans="1:18">
      <c r="A44" s="66" t="str">
        <f>VLOOKUP(C44,classifications!C:F,4,FALSE)</f>
        <v>MD</v>
      </c>
      <c r="B44" s="66" t="s">
        <v>475</v>
      </c>
      <c r="C44" s="66" t="s">
        <v>240</v>
      </c>
      <c r="D44" s="66" t="s">
        <v>239</v>
      </c>
      <c r="E44" s="66" t="s">
        <v>224</v>
      </c>
      <c r="F44" s="66" t="s">
        <v>251</v>
      </c>
      <c r="G44" s="66" t="s">
        <v>291</v>
      </c>
      <c r="H44" s="66" t="s">
        <v>254</v>
      </c>
      <c r="I44" s="66" t="s">
        <v>242</v>
      </c>
      <c r="J44" s="66" t="s">
        <v>268</v>
      </c>
      <c r="K44" s="66" t="s">
        <v>243</v>
      </c>
      <c r="L44" s="66" t="s">
        <v>265</v>
      </c>
      <c r="M44" s="66" t="s">
        <v>813</v>
      </c>
      <c r="N44" s="66" t="s">
        <v>260</v>
      </c>
      <c r="O44" s="66" t="s">
        <v>241</v>
      </c>
      <c r="P44" s="66" t="s">
        <v>255</v>
      </c>
      <c r="Q44" s="66" t="s">
        <v>274</v>
      </c>
      <c r="R44" s="66" t="s">
        <v>248</v>
      </c>
    </row>
    <row r="45" spans="1:18">
      <c r="A45" s="66" t="str">
        <f>VLOOKUP(C45,classifications!C:F,4,FALSE)</f>
        <v>MD</v>
      </c>
      <c r="B45" s="66" t="s">
        <v>476</v>
      </c>
      <c r="C45" s="66" t="s">
        <v>242</v>
      </c>
      <c r="D45" s="66" t="s">
        <v>240</v>
      </c>
      <c r="E45" s="66" t="s">
        <v>291</v>
      </c>
      <c r="F45" s="66" t="s">
        <v>251</v>
      </c>
      <c r="G45" s="66" t="s">
        <v>224</v>
      </c>
      <c r="H45" s="66" t="s">
        <v>237</v>
      </c>
      <c r="I45" s="66" t="s">
        <v>231</v>
      </c>
      <c r="J45" s="66" t="s">
        <v>268</v>
      </c>
      <c r="K45" s="66" t="s">
        <v>279</v>
      </c>
      <c r="L45" s="66" t="s">
        <v>817</v>
      </c>
      <c r="M45" s="66" t="s">
        <v>239</v>
      </c>
      <c r="N45" s="66" t="s">
        <v>243</v>
      </c>
      <c r="O45" s="66" t="s">
        <v>274</v>
      </c>
      <c r="P45" s="66" t="s">
        <v>235</v>
      </c>
      <c r="Q45" s="66" t="s">
        <v>257</v>
      </c>
      <c r="R45" s="66" t="s">
        <v>233</v>
      </c>
    </row>
    <row r="46" spans="1:18">
      <c r="A46" s="66" t="str">
        <f>VLOOKUP(C46,classifications!C:F,4,FALSE)</f>
        <v>MD</v>
      </c>
      <c r="B46" s="66" t="s">
        <v>477</v>
      </c>
      <c r="C46" s="66" t="s">
        <v>249</v>
      </c>
      <c r="D46" s="66" t="s">
        <v>246</v>
      </c>
      <c r="E46" s="66" t="s">
        <v>299</v>
      </c>
      <c r="F46" s="66" t="s">
        <v>812</v>
      </c>
      <c r="G46" s="66" t="s">
        <v>226</v>
      </c>
      <c r="H46" s="66" t="s">
        <v>295</v>
      </c>
      <c r="I46" s="66" t="s">
        <v>227</v>
      </c>
      <c r="J46" s="66" t="s">
        <v>230</v>
      </c>
      <c r="K46" s="66" t="s">
        <v>304</v>
      </c>
      <c r="L46" s="66" t="s">
        <v>258</v>
      </c>
      <c r="M46" s="66" t="s">
        <v>264</v>
      </c>
      <c r="N46" s="66" t="s">
        <v>292</v>
      </c>
      <c r="O46" s="66" t="s">
        <v>259</v>
      </c>
      <c r="P46" s="66" t="s">
        <v>232</v>
      </c>
      <c r="Q46" s="66" t="s">
        <v>273</v>
      </c>
      <c r="R46" s="66" t="s">
        <v>325</v>
      </c>
    </row>
    <row r="47" spans="1:18">
      <c r="A47" s="66" t="str">
        <f>VLOOKUP(C47,classifications!C:F,4,FALSE)</f>
        <v>MD</v>
      </c>
      <c r="B47" s="66" t="s">
        <v>478</v>
      </c>
      <c r="C47" s="66" t="s">
        <v>251</v>
      </c>
      <c r="D47" s="66" t="s">
        <v>255</v>
      </c>
      <c r="E47" s="66" t="s">
        <v>224</v>
      </c>
      <c r="F47" s="66" t="s">
        <v>240</v>
      </c>
      <c r="G47" s="66" t="s">
        <v>291</v>
      </c>
      <c r="H47" s="66" t="s">
        <v>248</v>
      </c>
      <c r="I47" s="66" t="s">
        <v>239</v>
      </c>
      <c r="J47" s="66" t="s">
        <v>241</v>
      </c>
      <c r="K47" s="66" t="s">
        <v>268</v>
      </c>
      <c r="L47" s="66" t="s">
        <v>226</v>
      </c>
      <c r="M47" s="66" t="s">
        <v>242</v>
      </c>
      <c r="N47" s="66" t="s">
        <v>229</v>
      </c>
      <c r="O47" s="66" t="s">
        <v>253</v>
      </c>
      <c r="P47" s="66" t="s">
        <v>222</v>
      </c>
      <c r="Q47" s="66" t="s">
        <v>813</v>
      </c>
      <c r="R47" s="66" t="s">
        <v>227</v>
      </c>
    </row>
    <row r="48" spans="1:18">
      <c r="A48" s="66" t="str">
        <f>VLOOKUP(C48,classifications!C:F,4,FALSE)</f>
        <v>MD</v>
      </c>
      <c r="B48" s="66" t="s">
        <v>479</v>
      </c>
      <c r="C48" s="66" t="s">
        <v>252</v>
      </c>
      <c r="D48" s="66" t="s">
        <v>292</v>
      </c>
      <c r="E48" s="66" t="s">
        <v>246</v>
      </c>
      <c r="F48" s="66" t="s">
        <v>295</v>
      </c>
      <c r="G48" s="66" t="s">
        <v>299</v>
      </c>
      <c r="H48" s="66" t="s">
        <v>249</v>
      </c>
      <c r="I48" s="66" t="s">
        <v>293</v>
      </c>
      <c r="J48" s="66" t="s">
        <v>259</v>
      </c>
      <c r="K48" s="66" t="s">
        <v>287</v>
      </c>
      <c r="L48" s="66" t="s">
        <v>812</v>
      </c>
      <c r="M48" s="66" t="s">
        <v>275</v>
      </c>
      <c r="N48" s="66" t="s">
        <v>258</v>
      </c>
      <c r="O48" s="66" t="s">
        <v>290</v>
      </c>
      <c r="P48" s="66" t="s">
        <v>284</v>
      </c>
      <c r="Q48" s="66" t="s">
        <v>280</v>
      </c>
      <c r="R48" s="66" t="s">
        <v>815</v>
      </c>
    </row>
    <row r="49" spans="1:18">
      <c r="A49" s="66" t="str">
        <f>VLOOKUP(C49,classifications!C:F,4,FALSE)</f>
        <v>MD</v>
      </c>
      <c r="B49" s="66" t="s">
        <v>480</v>
      </c>
      <c r="C49" s="66" t="s">
        <v>255</v>
      </c>
      <c r="D49" s="66" t="s">
        <v>251</v>
      </c>
      <c r="E49" s="66" t="s">
        <v>241</v>
      </c>
      <c r="F49" s="66" t="s">
        <v>248</v>
      </c>
      <c r="G49" s="66" t="s">
        <v>229</v>
      </c>
      <c r="H49" s="66" t="s">
        <v>224</v>
      </c>
      <c r="I49" s="66" t="s">
        <v>253</v>
      </c>
      <c r="J49" s="66" t="s">
        <v>222</v>
      </c>
      <c r="K49" s="66" t="s">
        <v>226</v>
      </c>
      <c r="L49" s="66" t="s">
        <v>232</v>
      </c>
      <c r="M49" s="66" t="s">
        <v>291</v>
      </c>
      <c r="N49" s="66" t="s">
        <v>240</v>
      </c>
      <c r="O49" s="66" t="s">
        <v>227</v>
      </c>
      <c r="P49" s="66" t="s">
        <v>268</v>
      </c>
      <c r="Q49" s="66" t="s">
        <v>290</v>
      </c>
      <c r="R49" s="66" t="s">
        <v>813</v>
      </c>
    </row>
    <row r="50" spans="1:18">
      <c r="A50" s="66" t="str">
        <f>VLOOKUP(C50,classifications!C:F,4,FALSE)</f>
        <v>MD</v>
      </c>
      <c r="B50" s="66" t="s">
        <v>481</v>
      </c>
      <c r="C50" s="66" t="s">
        <v>233</v>
      </c>
      <c r="D50" s="66" t="s">
        <v>274</v>
      </c>
      <c r="E50" s="66" t="s">
        <v>291</v>
      </c>
      <c r="F50" s="66" t="s">
        <v>268</v>
      </c>
      <c r="G50" s="66" t="s">
        <v>248</v>
      </c>
      <c r="H50" s="66" t="s">
        <v>254</v>
      </c>
      <c r="I50" s="66" t="s">
        <v>240</v>
      </c>
      <c r="J50" s="66" t="s">
        <v>231</v>
      </c>
      <c r="K50" s="66" t="s">
        <v>817</v>
      </c>
      <c r="L50" s="66" t="s">
        <v>241</v>
      </c>
      <c r="M50" s="66" t="s">
        <v>251</v>
      </c>
      <c r="N50" s="66" t="s">
        <v>250</v>
      </c>
      <c r="O50" s="66" t="s">
        <v>243</v>
      </c>
      <c r="P50" s="66" t="s">
        <v>257</v>
      </c>
      <c r="Q50" s="66" t="s">
        <v>242</v>
      </c>
      <c r="R50" s="66" t="s">
        <v>222</v>
      </c>
    </row>
    <row r="51" spans="1:18">
      <c r="A51" s="66" t="str">
        <f>VLOOKUP(C51,classifications!C:F,4,FALSE)</f>
        <v>MD</v>
      </c>
      <c r="B51" s="66" t="s">
        <v>482</v>
      </c>
      <c r="C51" s="66" t="s">
        <v>235</v>
      </c>
      <c r="D51" s="66" t="s">
        <v>279</v>
      </c>
      <c r="E51" s="66" t="s">
        <v>237</v>
      </c>
      <c r="F51" s="66" t="s">
        <v>817</v>
      </c>
      <c r="G51" s="66" t="s">
        <v>242</v>
      </c>
      <c r="H51" s="66" t="s">
        <v>245</v>
      </c>
      <c r="I51" s="66" t="s">
        <v>291</v>
      </c>
      <c r="J51" s="66" t="s">
        <v>231</v>
      </c>
      <c r="K51" s="66" t="s">
        <v>274</v>
      </c>
      <c r="L51" s="66" t="s">
        <v>250</v>
      </c>
      <c r="M51" s="66" t="s">
        <v>257</v>
      </c>
      <c r="N51" s="66" t="s">
        <v>243</v>
      </c>
      <c r="O51" s="66" t="s">
        <v>233</v>
      </c>
      <c r="P51" s="66" t="s">
        <v>240</v>
      </c>
      <c r="Q51" s="66" t="s">
        <v>251</v>
      </c>
      <c r="R51" s="66" t="s">
        <v>224</v>
      </c>
    </row>
    <row r="52" spans="1:18">
      <c r="A52" s="66" t="str">
        <f>VLOOKUP(C52,classifications!C:F,4,FALSE)</f>
        <v>MD</v>
      </c>
      <c r="B52" s="66" t="s">
        <v>483</v>
      </c>
      <c r="C52" s="66" t="s">
        <v>248</v>
      </c>
      <c r="D52" s="66" t="s">
        <v>241</v>
      </c>
      <c r="E52" s="66" t="s">
        <v>222</v>
      </c>
      <c r="F52" s="66" t="s">
        <v>229</v>
      </c>
      <c r="G52" s="66" t="s">
        <v>255</v>
      </c>
      <c r="H52" s="66" t="s">
        <v>253</v>
      </c>
      <c r="I52" s="66" t="s">
        <v>264</v>
      </c>
      <c r="J52" s="66" t="s">
        <v>290</v>
      </c>
      <c r="K52" s="66" t="s">
        <v>251</v>
      </c>
      <c r="L52" s="66" t="s">
        <v>230</v>
      </c>
      <c r="M52" s="66" t="s">
        <v>231</v>
      </c>
      <c r="N52" s="66" t="s">
        <v>291</v>
      </c>
      <c r="O52" s="66" t="s">
        <v>268</v>
      </c>
      <c r="P52" s="66" t="s">
        <v>227</v>
      </c>
      <c r="Q52" s="66" t="s">
        <v>224</v>
      </c>
      <c r="R52" s="66" t="s">
        <v>233</v>
      </c>
    </row>
    <row r="53" spans="1:18">
      <c r="A53" s="66" t="str">
        <f>VLOOKUP(C53,classifications!C:F,4,FALSE)</f>
        <v>MD</v>
      </c>
      <c r="B53" s="66" t="s">
        <v>484</v>
      </c>
      <c r="C53" s="66" t="s">
        <v>244</v>
      </c>
      <c r="D53" s="66" t="s">
        <v>256</v>
      </c>
      <c r="E53" s="66" t="s">
        <v>238</v>
      </c>
      <c r="F53" s="66" t="s">
        <v>322</v>
      </c>
      <c r="G53" s="66" t="s">
        <v>289</v>
      </c>
      <c r="H53" s="66" t="s">
        <v>294</v>
      </c>
      <c r="I53" s="66" t="s">
        <v>281</v>
      </c>
      <c r="J53" s="66" t="s">
        <v>809</v>
      </c>
      <c r="K53" s="66" t="s">
        <v>262</v>
      </c>
      <c r="L53" s="66" t="s">
        <v>264</v>
      </c>
      <c r="M53" s="66" t="s">
        <v>230</v>
      </c>
      <c r="N53" s="66" t="s">
        <v>267</v>
      </c>
      <c r="O53" s="66" t="s">
        <v>249</v>
      </c>
      <c r="P53" s="66" t="s">
        <v>270</v>
      </c>
      <c r="Q53" s="66" t="s">
        <v>276</v>
      </c>
      <c r="R53" s="66" t="s">
        <v>282</v>
      </c>
    </row>
    <row r="54" spans="1:18">
      <c r="A54" s="66" t="str">
        <f>VLOOKUP(C54,classifications!C:F,4,FALSE)</f>
        <v>MD</v>
      </c>
      <c r="B54" s="66" t="s">
        <v>485</v>
      </c>
      <c r="C54" s="66" t="s">
        <v>256</v>
      </c>
      <c r="D54" s="66" t="s">
        <v>244</v>
      </c>
      <c r="E54" s="66" t="s">
        <v>238</v>
      </c>
      <c r="F54" s="66" t="s">
        <v>281</v>
      </c>
      <c r="G54" s="66" t="s">
        <v>322</v>
      </c>
      <c r="H54" s="66" t="s">
        <v>289</v>
      </c>
      <c r="I54" s="66" t="s">
        <v>809</v>
      </c>
      <c r="J54" s="66" t="s">
        <v>264</v>
      </c>
      <c r="K54" s="66" t="s">
        <v>230</v>
      </c>
      <c r="L54" s="66" t="s">
        <v>276</v>
      </c>
      <c r="M54" s="66" t="s">
        <v>248</v>
      </c>
      <c r="N54" s="66" t="s">
        <v>241</v>
      </c>
      <c r="O54" s="66" t="s">
        <v>227</v>
      </c>
      <c r="P54" s="66" t="s">
        <v>250</v>
      </c>
      <c r="Q54" s="66" t="s">
        <v>222</v>
      </c>
      <c r="R54" s="66" t="s">
        <v>229</v>
      </c>
    </row>
    <row r="55" spans="1:18">
      <c r="A55" s="66" t="str">
        <f>VLOOKUP(C55,classifications!C:F,4,FALSE)</f>
        <v>MD</v>
      </c>
      <c r="B55" s="66" t="s">
        <v>486</v>
      </c>
      <c r="C55" s="66" t="s">
        <v>222</v>
      </c>
      <c r="D55" s="66" t="s">
        <v>241</v>
      </c>
      <c r="E55" s="66" t="s">
        <v>229</v>
      </c>
      <c r="F55" s="66" t="s">
        <v>248</v>
      </c>
      <c r="G55" s="66" t="s">
        <v>253</v>
      </c>
      <c r="H55" s="66" t="s">
        <v>255</v>
      </c>
      <c r="I55" s="66" t="s">
        <v>266</v>
      </c>
      <c r="J55" s="66" t="s">
        <v>290</v>
      </c>
      <c r="K55" s="66" t="s">
        <v>227</v>
      </c>
      <c r="L55" s="66" t="s">
        <v>230</v>
      </c>
      <c r="M55" s="66" t="s">
        <v>264</v>
      </c>
      <c r="N55" s="66" t="s">
        <v>251</v>
      </c>
      <c r="O55" s="66" t="s">
        <v>291</v>
      </c>
      <c r="P55" s="66" t="s">
        <v>254</v>
      </c>
      <c r="Q55" s="66" t="s">
        <v>813</v>
      </c>
      <c r="R55" s="66" t="s">
        <v>232</v>
      </c>
    </row>
    <row r="56" spans="1:18">
      <c r="A56" s="66" t="str">
        <f>VLOOKUP(C56,classifications!C:F,4,FALSE)</f>
        <v>MD</v>
      </c>
      <c r="B56" s="66" t="s">
        <v>487</v>
      </c>
      <c r="C56" s="66" t="s">
        <v>229</v>
      </c>
      <c r="D56" s="66" t="s">
        <v>241</v>
      </c>
      <c r="E56" s="66" t="s">
        <v>222</v>
      </c>
      <c r="F56" s="66" t="s">
        <v>253</v>
      </c>
      <c r="G56" s="66" t="s">
        <v>248</v>
      </c>
      <c r="H56" s="66" t="s">
        <v>255</v>
      </c>
      <c r="I56" s="66" t="s">
        <v>291</v>
      </c>
      <c r="J56" s="66" t="s">
        <v>290</v>
      </c>
      <c r="K56" s="66" t="s">
        <v>266</v>
      </c>
      <c r="L56" s="66" t="s">
        <v>251</v>
      </c>
      <c r="M56" s="66" t="s">
        <v>227</v>
      </c>
      <c r="N56" s="66" t="s">
        <v>232</v>
      </c>
      <c r="O56" s="66" t="s">
        <v>230</v>
      </c>
      <c r="P56" s="66" t="s">
        <v>264</v>
      </c>
      <c r="Q56" s="66" t="s">
        <v>224</v>
      </c>
      <c r="R56" s="66" t="s">
        <v>254</v>
      </c>
    </row>
    <row r="57" spans="1:18">
      <c r="A57" s="66" t="str">
        <f>VLOOKUP(C57,classifications!C:F,4,FALSE)</f>
        <v>MD</v>
      </c>
      <c r="B57" s="66" t="s">
        <v>488</v>
      </c>
      <c r="C57" s="66" t="s">
        <v>241</v>
      </c>
      <c r="D57" s="66" t="s">
        <v>222</v>
      </c>
      <c r="E57" s="66" t="s">
        <v>229</v>
      </c>
      <c r="F57" s="66" t="s">
        <v>248</v>
      </c>
      <c r="G57" s="66" t="s">
        <v>253</v>
      </c>
      <c r="H57" s="66" t="s">
        <v>255</v>
      </c>
      <c r="I57" s="66" t="s">
        <v>290</v>
      </c>
      <c r="J57" s="66" t="s">
        <v>251</v>
      </c>
      <c r="K57" s="66" t="s">
        <v>227</v>
      </c>
      <c r="L57" s="66" t="s">
        <v>291</v>
      </c>
      <c r="M57" s="66" t="s">
        <v>230</v>
      </c>
      <c r="N57" s="66" t="s">
        <v>264</v>
      </c>
      <c r="O57" s="66" t="s">
        <v>240</v>
      </c>
      <c r="P57" s="66" t="s">
        <v>813</v>
      </c>
      <c r="Q57" s="66" t="s">
        <v>224</v>
      </c>
      <c r="R57" s="66" t="s">
        <v>254</v>
      </c>
    </row>
    <row r="58" spans="1:18">
      <c r="A58" s="66" t="str">
        <f>VLOOKUP(C58,classifications!C:F,4,FALSE)</f>
        <v>MD</v>
      </c>
      <c r="B58" s="66" t="s">
        <v>489</v>
      </c>
      <c r="C58" s="66" t="s">
        <v>245</v>
      </c>
      <c r="D58" s="66" t="s">
        <v>234</v>
      </c>
      <c r="E58" s="66" t="s">
        <v>237</v>
      </c>
      <c r="F58" s="66" t="s">
        <v>265</v>
      </c>
      <c r="G58" s="66" t="s">
        <v>228</v>
      </c>
      <c r="H58" s="66" t="s">
        <v>230</v>
      </c>
      <c r="I58" s="66" t="s">
        <v>224</v>
      </c>
      <c r="J58" s="66" t="s">
        <v>232</v>
      </c>
      <c r="K58" s="66" t="s">
        <v>253</v>
      </c>
      <c r="L58" s="66" t="s">
        <v>281</v>
      </c>
      <c r="M58" s="66" t="s">
        <v>242</v>
      </c>
      <c r="N58" s="66" t="s">
        <v>231</v>
      </c>
      <c r="O58" s="66" t="s">
        <v>241</v>
      </c>
      <c r="P58" s="66" t="s">
        <v>815</v>
      </c>
      <c r="Q58" s="66" t="s">
        <v>279</v>
      </c>
      <c r="R58" s="66" t="s">
        <v>235</v>
      </c>
    </row>
    <row r="59" spans="1:18">
      <c r="A59" s="66" t="str">
        <f>VLOOKUP(C59,classifications!C:F,4,FALSE)</f>
        <v>MD</v>
      </c>
      <c r="B59" s="66" t="s">
        <v>490</v>
      </c>
      <c r="C59" s="66" t="s">
        <v>231</v>
      </c>
      <c r="D59" s="66" t="s">
        <v>291</v>
      </c>
      <c r="E59" s="66" t="s">
        <v>248</v>
      </c>
      <c r="F59" s="66" t="s">
        <v>253</v>
      </c>
      <c r="G59" s="66" t="s">
        <v>241</v>
      </c>
      <c r="H59" s="66" t="s">
        <v>242</v>
      </c>
      <c r="I59" s="66" t="s">
        <v>268</v>
      </c>
      <c r="J59" s="66" t="s">
        <v>233</v>
      </c>
      <c r="K59" s="66" t="s">
        <v>251</v>
      </c>
      <c r="L59" s="66" t="s">
        <v>237</v>
      </c>
      <c r="M59" s="66" t="s">
        <v>250</v>
      </c>
      <c r="N59" s="66" t="s">
        <v>229</v>
      </c>
      <c r="O59" s="66" t="s">
        <v>222</v>
      </c>
      <c r="P59" s="66" t="s">
        <v>240</v>
      </c>
      <c r="Q59" s="66" t="s">
        <v>264</v>
      </c>
      <c r="R59" s="66" t="s">
        <v>290</v>
      </c>
    </row>
    <row r="60" spans="1:18">
      <c r="A60" s="66" t="str">
        <f>VLOOKUP(C60,classifications!C:F,4,FALSE)</f>
        <v>MD</v>
      </c>
      <c r="B60" s="66" t="s">
        <v>491</v>
      </c>
      <c r="C60" s="68" t="s">
        <v>237</v>
      </c>
      <c r="D60" s="66" t="s">
        <v>279</v>
      </c>
      <c r="E60" s="66" t="s">
        <v>242</v>
      </c>
      <c r="F60" s="66" t="s">
        <v>235</v>
      </c>
      <c r="G60" s="66" t="s">
        <v>231</v>
      </c>
      <c r="H60" s="66" t="s">
        <v>245</v>
      </c>
      <c r="I60" s="66" t="s">
        <v>291</v>
      </c>
      <c r="J60" s="66" t="s">
        <v>288</v>
      </c>
      <c r="K60" s="66" t="s">
        <v>228</v>
      </c>
      <c r="L60" s="66" t="s">
        <v>224</v>
      </c>
      <c r="M60" s="66" t="s">
        <v>265</v>
      </c>
      <c r="N60" s="66" t="s">
        <v>817</v>
      </c>
      <c r="O60" s="66" t="s">
        <v>281</v>
      </c>
      <c r="P60" s="66" t="s">
        <v>240</v>
      </c>
      <c r="Q60" s="66" t="s">
        <v>268</v>
      </c>
      <c r="R60" s="66" t="s">
        <v>257</v>
      </c>
    </row>
    <row r="61" spans="1:18">
      <c r="A61" s="66" t="str">
        <f>VLOOKUP(C61,classifications!C:F,4,FALSE)</f>
        <v>MD</v>
      </c>
      <c r="B61" s="66" t="s">
        <v>492</v>
      </c>
      <c r="C61" s="66" t="s">
        <v>238</v>
      </c>
      <c r="D61" s="66" t="s">
        <v>281</v>
      </c>
      <c r="E61" s="66" t="s">
        <v>256</v>
      </c>
      <c r="F61" s="66" t="s">
        <v>809</v>
      </c>
      <c r="G61" s="66" t="s">
        <v>244</v>
      </c>
      <c r="H61" s="66" t="s">
        <v>250</v>
      </c>
      <c r="I61" s="66" t="s">
        <v>230</v>
      </c>
      <c r="J61" s="66" t="s">
        <v>248</v>
      </c>
      <c r="K61" s="66" t="s">
        <v>264</v>
      </c>
      <c r="L61" s="66" t="s">
        <v>322</v>
      </c>
      <c r="M61" s="66" t="s">
        <v>276</v>
      </c>
      <c r="N61" s="66" t="s">
        <v>241</v>
      </c>
      <c r="O61" s="66" t="s">
        <v>222</v>
      </c>
      <c r="P61" s="66" t="s">
        <v>290</v>
      </c>
      <c r="Q61" s="66" t="s">
        <v>231</v>
      </c>
      <c r="R61" s="66" t="s">
        <v>247</v>
      </c>
    </row>
    <row r="62" spans="1:18">
      <c r="A62" s="66" t="str">
        <f>VLOOKUP(C62,classifications!C:F,4,FALSE)</f>
        <v>MD</v>
      </c>
      <c r="B62" s="66" t="s">
        <v>493</v>
      </c>
      <c r="C62" s="66" t="s">
        <v>247</v>
      </c>
      <c r="D62" s="66" t="s">
        <v>250</v>
      </c>
      <c r="E62" s="66" t="s">
        <v>269</v>
      </c>
      <c r="F62" s="66" t="s">
        <v>809</v>
      </c>
      <c r="G62" s="66" t="s">
        <v>233</v>
      </c>
      <c r="H62" s="66" t="s">
        <v>238</v>
      </c>
      <c r="I62" s="66" t="s">
        <v>231</v>
      </c>
      <c r="J62" s="66" t="s">
        <v>248</v>
      </c>
      <c r="K62" s="66" t="s">
        <v>257</v>
      </c>
      <c r="L62" s="66" t="s">
        <v>276</v>
      </c>
      <c r="M62" s="66" t="s">
        <v>274</v>
      </c>
      <c r="N62" s="66" t="s">
        <v>281</v>
      </c>
      <c r="O62" s="66" t="s">
        <v>291</v>
      </c>
      <c r="P62" s="66" t="s">
        <v>256</v>
      </c>
      <c r="Q62" s="66" t="s">
        <v>817</v>
      </c>
      <c r="R62" s="66" t="s">
        <v>254</v>
      </c>
    </row>
    <row r="63" spans="1:18">
      <c r="A63" s="66" t="str">
        <f>VLOOKUP(C63,classifications!C:F,4,FALSE)</f>
        <v>MD</v>
      </c>
      <c r="B63" s="66" t="s">
        <v>494</v>
      </c>
      <c r="C63" s="66" t="s">
        <v>250</v>
      </c>
      <c r="D63" s="66" t="s">
        <v>247</v>
      </c>
      <c r="E63" s="66" t="s">
        <v>281</v>
      </c>
      <c r="F63" s="66" t="s">
        <v>238</v>
      </c>
      <c r="G63" s="66" t="s">
        <v>231</v>
      </c>
      <c r="H63" s="66" t="s">
        <v>809</v>
      </c>
      <c r="I63" s="66" t="s">
        <v>269</v>
      </c>
      <c r="J63" s="66" t="s">
        <v>291</v>
      </c>
      <c r="K63" s="66" t="s">
        <v>233</v>
      </c>
      <c r="L63" s="66" t="s">
        <v>248</v>
      </c>
      <c r="M63" s="66" t="s">
        <v>276</v>
      </c>
      <c r="N63" s="66" t="s">
        <v>251</v>
      </c>
      <c r="O63" s="66" t="s">
        <v>241</v>
      </c>
      <c r="P63" s="66" t="s">
        <v>268</v>
      </c>
      <c r="Q63" s="66" t="s">
        <v>242</v>
      </c>
      <c r="R63" s="66" t="s">
        <v>253</v>
      </c>
    </row>
    <row r="64" spans="1:18">
      <c r="A64" s="66" t="str">
        <f>VLOOKUP(C64,classifications!C:F,4,FALSE)</f>
        <v>MD</v>
      </c>
      <c r="B64" s="66" t="s">
        <v>495</v>
      </c>
      <c r="C64" s="66" t="s">
        <v>223</v>
      </c>
      <c r="D64" s="66" t="s">
        <v>234</v>
      </c>
      <c r="E64" s="66" t="s">
        <v>225</v>
      </c>
      <c r="F64" s="66" t="s">
        <v>245</v>
      </c>
      <c r="G64" s="66" t="s">
        <v>243</v>
      </c>
      <c r="H64" s="66" t="s">
        <v>271</v>
      </c>
      <c r="I64" s="66" t="s">
        <v>228</v>
      </c>
      <c r="J64" s="66" t="s">
        <v>235</v>
      </c>
      <c r="K64" s="66" t="s">
        <v>232</v>
      </c>
      <c r="L64" s="66" t="s">
        <v>279</v>
      </c>
      <c r="M64" s="66" t="s">
        <v>224</v>
      </c>
      <c r="N64" s="66" t="s">
        <v>254</v>
      </c>
      <c r="O64" s="66" t="s">
        <v>257</v>
      </c>
      <c r="P64" s="66" t="s">
        <v>239</v>
      </c>
      <c r="Q64" s="66" t="s">
        <v>265</v>
      </c>
      <c r="R64" s="66" t="s">
        <v>815</v>
      </c>
    </row>
    <row r="65" spans="1:18">
      <c r="A65" s="66" t="str">
        <f>VLOOKUP(C65,classifications!C:F,4,FALSE)</f>
        <v>MD</v>
      </c>
      <c r="B65" s="66" t="s">
        <v>496</v>
      </c>
      <c r="C65" s="66" t="s">
        <v>228</v>
      </c>
      <c r="D65" s="66" t="s">
        <v>265</v>
      </c>
      <c r="E65" s="66" t="s">
        <v>224</v>
      </c>
      <c r="F65" s="66" t="s">
        <v>273</v>
      </c>
      <c r="G65" s="66" t="s">
        <v>245</v>
      </c>
      <c r="H65" s="66" t="s">
        <v>239</v>
      </c>
      <c r="I65" s="66" t="s">
        <v>232</v>
      </c>
      <c r="J65" s="66" t="s">
        <v>240</v>
      </c>
      <c r="K65" s="66" t="s">
        <v>225</v>
      </c>
      <c r="L65" s="66" t="s">
        <v>280</v>
      </c>
      <c r="M65" s="66" t="s">
        <v>254</v>
      </c>
      <c r="N65" s="66" t="s">
        <v>290</v>
      </c>
      <c r="O65" s="66" t="s">
        <v>243</v>
      </c>
      <c r="P65" s="66" t="s">
        <v>230</v>
      </c>
      <c r="Q65" s="66" t="s">
        <v>257</v>
      </c>
      <c r="R65" s="66" t="s">
        <v>292</v>
      </c>
    </row>
    <row r="66" spans="1:18">
      <c r="A66" s="66" t="str">
        <f>VLOOKUP(C66,classifications!C:F,4,FALSE)</f>
        <v>MD</v>
      </c>
      <c r="B66" s="66" t="s">
        <v>497</v>
      </c>
      <c r="C66" s="66" t="s">
        <v>230</v>
      </c>
      <c r="D66" s="66" t="s">
        <v>265</v>
      </c>
      <c r="E66" s="66" t="s">
        <v>290</v>
      </c>
      <c r="F66" s="66" t="s">
        <v>248</v>
      </c>
      <c r="G66" s="66" t="s">
        <v>264</v>
      </c>
      <c r="H66" s="66" t="s">
        <v>241</v>
      </c>
      <c r="I66" s="66" t="s">
        <v>254</v>
      </c>
      <c r="J66" s="66" t="s">
        <v>253</v>
      </c>
      <c r="K66" s="66" t="s">
        <v>222</v>
      </c>
      <c r="L66" s="66" t="s">
        <v>229</v>
      </c>
      <c r="M66" s="66" t="s">
        <v>232</v>
      </c>
      <c r="N66" s="66" t="s">
        <v>227</v>
      </c>
      <c r="O66" s="66" t="s">
        <v>224</v>
      </c>
      <c r="P66" s="66" t="s">
        <v>238</v>
      </c>
      <c r="Q66" s="66" t="s">
        <v>255</v>
      </c>
      <c r="R66" s="66" t="s">
        <v>249</v>
      </c>
    </row>
    <row r="67" spans="1:18">
      <c r="A67" s="66" t="str">
        <f>VLOOKUP(C67,classifications!C:F,4,FALSE)</f>
        <v>MD</v>
      </c>
      <c r="B67" s="66" t="s">
        <v>498</v>
      </c>
      <c r="C67" s="66" t="s">
        <v>243</v>
      </c>
      <c r="D67" s="66" t="s">
        <v>257</v>
      </c>
      <c r="E67" s="66" t="s">
        <v>254</v>
      </c>
      <c r="F67" s="66" t="s">
        <v>240</v>
      </c>
      <c r="G67" s="66" t="s">
        <v>817</v>
      </c>
      <c r="H67" s="66" t="s">
        <v>291</v>
      </c>
      <c r="I67" s="66" t="s">
        <v>239</v>
      </c>
      <c r="J67" s="66" t="s">
        <v>274</v>
      </c>
      <c r="K67" s="66" t="s">
        <v>242</v>
      </c>
      <c r="L67" s="66" t="s">
        <v>224</v>
      </c>
      <c r="M67" s="66" t="s">
        <v>265</v>
      </c>
      <c r="N67" s="66" t="s">
        <v>233</v>
      </c>
      <c r="O67" s="66" t="s">
        <v>228</v>
      </c>
      <c r="P67" s="66" t="s">
        <v>260</v>
      </c>
      <c r="Q67" s="66" t="s">
        <v>251</v>
      </c>
      <c r="R67" s="66" t="s">
        <v>279</v>
      </c>
    </row>
    <row r="68" spans="1:18">
      <c r="A68" s="66" t="str">
        <f>VLOOKUP(C68,classifications!C:F,4,FALSE)</f>
        <v>MD</v>
      </c>
      <c r="B68" s="66" t="s">
        <v>499</v>
      </c>
      <c r="C68" s="66" t="s">
        <v>246</v>
      </c>
      <c r="D68" s="66" t="s">
        <v>304</v>
      </c>
      <c r="E68" s="66" t="s">
        <v>258</v>
      </c>
      <c r="F68" s="66" t="s">
        <v>249</v>
      </c>
      <c r="G68" s="66" t="s">
        <v>812</v>
      </c>
      <c r="H68" s="66" t="s">
        <v>259</v>
      </c>
      <c r="I68" s="66" t="s">
        <v>252</v>
      </c>
      <c r="J68" s="66" t="s">
        <v>282</v>
      </c>
      <c r="K68" s="66" t="s">
        <v>299</v>
      </c>
      <c r="L68" s="66" t="s">
        <v>295</v>
      </c>
      <c r="M68" s="66" t="s">
        <v>287</v>
      </c>
      <c r="N68" s="66" t="s">
        <v>278</v>
      </c>
      <c r="O68" s="66" t="s">
        <v>325</v>
      </c>
      <c r="P68" s="66" t="s">
        <v>297</v>
      </c>
      <c r="Q68" s="66" t="s">
        <v>816</v>
      </c>
      <c r="R68" s="66" t="s">
        <v>292</v>
      </c>
    </row>
    <row r="69" spans="1:18">
      <c r="A69" s="66" t="str">
        <f>VLOOKUP(C69,classifications!C:F,4,FALSE)</f>
        <v>MD</v>
      </c>
      <c r="B69" s="66" t="s">
        <v>500</v>
      </c>
      <c r="C69" s="66" t="s">
        <v>254</v>
      </c>
      <c r="D69" s="66" t="s">
        <v>257</v>
      </c>
      <c r="E69" s="66" t="s">
        <v>243</v>
      </c>
      <c r="F69" s="66" t="s">
        <v>240</v>
      </c>
      <c r="G69" s="66" t="s">
        <v>265</v>
      </c>
      <c r="H69" s="66" t="s">
        <v>239</v>
      </c>
      <c r="I69" s="66" t="s">
        <v>241</v>
      </c>
      <c r="J69" s="66" t="s">
        <v>230</v>
      </c>
      <c r="K69" s="66" t="s">
        <v>291</v>
      </c>
      <c r="L69" s="66" t="s">
        <v>224</v>
      </c>
      <c r="M69" s="66" t="s">
        <v>248</v>
      </c>
      <c r="N69" s="66" t="s">
        <v>233</v>
      </c>
      <c r="O69" s="66" t="s">
        <v>229</v>
      </c>
      <c r="P69" s="66" t="s">
        <v>290</v>
      </c>
      <c r="Q69" s="66" t="s">
        <v>222</v>
      </c>
      <c r="R69" s="66" t="s">
        <v>251</v>
      </c>
    </row>
    <row r="70" spans="1:18">
      <c r="A70" s="66" t="str">
        <f>VLOOKUP(C70,classifications!C:F,4,FALSE)</f>
        <v>MD</v>
      </c>
      <c r="B70" s="66" t="s">
        <v>501</v>
      </c>
      <c r="C70" s="66" t="s">
        <v>257</v>
      </c>
      <c r="D70" s="66" t="s">
        <v>243</v>
      </c>
      <c r="E70" s="66" t="s">
        <v>254</v>
      </c>
      <c r="F70" s="66" t="s">
        <v>817</v>
      </c>
      <c r="G70" s="66" t="s">
        <v>240</v>
      </c>
      <c r="H70" s="66" t="s">
        <v>274</v>
      </c>
      <c r="I70" s="66" t="s">
        <v>291</v>
      </c>
      <c r="J70" s="66" t="s">
        <v>265</v>
      </c>
      <c r="K70" s="66" t="s">
        <v>242</v>
      </c>
      <c r="L70" s="66" t="s">
        <v>233</v>
      </c>
      <c r="M70" s="66" t="s">
        <v>239</v>
      </c>
      <c r="N70" s="66" t="s">
        <v>228</v>
      </c>
      <c r="O70" s="66" t="s">
        <v>224</v>
      </c>
      <c r="P70" s="66" t="s">
        <v>279</v>
      </c>
      <c r="Q70" s="66" t="s">
        <v>231</v>
      </c>
      <c r="R70" s="66" t="s">
        <v>241</v>
      </c>
    </row>
    <row r="71" spans="1:18">
      <c r="A71" s="66" t="str">
        <f>VLOOKUP(C71,classifications!C:F,4,FALSE)</f>
        <v>MD</v>
      </c>
      <c r="B71" s="66" t="s">
        <v>502</v>
      </c>
      <c r="C71" s="66" t="s">
        <v>225</v>
      </c>
      <c r="D71" s="66" t="s">
        <v>239</v>
      </c>
      <c r="E71" s="66" t="s">
        <v>232</v>
      </c>
      <c r="F71" s="66" t="s">
        <v>224</v>
      </c>
      <c r="G71" s="66" t="s">
        <v>228</v>
      </c>
      <c r="H71" s="66" t="s">
        <v>273</v>
      </c>
      <c r="I71" s="66" t="s">
        <v>265</v>
      </c>
      <c r="J71" s="66" t="s">
        <v>260</v>
      </c>
      <c r="K71" s="66" t="s">
        <v>240</v>
      </c>
      <c r="L71" s="66" t="s">
        <v>272</v>
      </c>
      <c r="M71" s="66" t="s">
        <v>243</v>
      </c>
      <c r="N71" s="66" t="s">
        <v>254</v>
      </c>
      <c r="O71" s="66" t="s">
        <v>226</v>
      </c>
      <c r="P71" s="66" t="s">
        <v>227</v>
      </c>
      <c r="Q71" s="66" t="s">
        <v>245</v>
      </c>
      <c r="R71" s="66" t="s">
        <v>251</v>
      </c>
    </row>
    <row r="72" spans="1:18">
      <c r="A72" s="66" t="str">
        <f>VLOOKUP(C72,classifications!C:F,4,FALSE)</f>
        <v>MD</v>
      </c>
      <c r="B72" s="66" t="s">
        <v>503</v>
      </c>
      <c r="C72" s="66" t="s">
        <v>227</v>
      </c>
      <c r="D72" s="66" t="s">
        <v>226</v>
      </c>
      <c r="E72" s="66" t="s">
        <v>232</v>
      </c>
      <c r="F72" s="66" t="s">
        <v>264</v>
      </c>
      <c r="G72" s="66" t="s">
        <v>290</v>
      </c>
      <c r="H72" s="66" t="s">
        <v>241</v>
      </c>
      <c r="I72" s="66" t="s">
        <v>273</v>
      </c>
      <c r="J72" s="66" t="s">
        <v>224</v>
      </c>
      <c r="K72" s="66" t="s">
        <v>265</v>
      </c>
      <c r="L72" s="66" t="s">
        <v>813</v>
      </c>
      <c r="M72" s="66" t="s">
        <v>255</v>
      </c>
      <c r="N72" s="66" t="s">
        <v>222</v>
      </c>
      <c r="O72" s="66" t="s">
        <v>229</v>
      </c>
      <c r="P72" s="66" t="s">
        <v>248</v>
      </c>
      <c r="Q72" s="66" t="s">
        <v>253</v>
      </c>
      <c r="R72" s="66" t="s">
        <v>295</v>
      </c>
    </row>
    <row r="73" spans="1:18">
      <c r="A73" s="66" t="str">
        <f>VLOOKUP(C73,classifications!C:F,4,FALSE)</f>
        <v>MD</v>
      </c>
      <c r="B73" s="66" t="s">
        <v>504</v>
      </c>
      <c r="C73" s="66" t="s">
        <v>232</v>
      </c>
      <c r="D73" s="66" t="s">
        <v>227</v>
      </c>
      <c r="E73" s="66" t="s">
        <v>273</v>
      </c>
      <c r="F73" s="66" t="s">
        <v>224</v>
      </c>
      <c r="G73" s="66" t="s">
        <v>226</v>
      </c>
      <c r="H73" s="66" t="s">
        <v>255</v>
      </c>
      <c r="I73" s="66" t="s">
        <v>265</v>
      </c>
      <c r="J73" s="66" t="s">
        <v>241</v>
      </c>
      <c r="K73" s="66" t="s">
        <v>290</v>
      </c>
      <c r="L73" s="66" t="s">
        <v>229</v>
      </c>
      <c r="M73" s="66" t="s">
        <v>230</v>
      </c>
      <c r="N73" s="66" t="s">
        <v>253</v>
      </c>
      <c r="O73" s="66" t="s">
        <v>813</v>
      </c>
      <c r="P73" s="66" t="s">
        <v>225</v>
      </c>
      <c r="Q73" s="66" t="s">
        <v>222</v>
      </c>
      <c r="R73" s="66" t="s">
        <v>228</v>
      </c>
    </row>
    <row r="74" spans="1:18">
      <c r="A74" s="66" t="str">
        <f>VLOOKUP(C74,classifications!C:F,4,FALSE)</f>
        <v>MD</v>
      </c>
      <c r="B74" s="66" t="s">
        <v>505</v>
      </c>
      <c r="C74" s="66" t="s">
        <v>234</v>
      </c>
      <c r="D74" s="66" t="s">
        <v>245</v>
      </c>
      <c r="E74" s="66" t="s">
        <v>232</v>
      </c>
      <c r="F74" s="66" t="s">
        <v>815</v>
      </c>
      <c r="G74" s="66" t="s">
        <v>237</v>
      </c>
      <c r="H74" s="66" t="s">
        <v>228</v>
      </c>
      <c r="I74" s="66" t="s">
        <v>224</v>
      </c>
      <c r="J74" s="66" t="s">
        <v>253</v>
      </c>
      <c r="K74" s="66" t="s">
        <v>265</v>
      </c>
      <c r="L74" s="66" t="s">
        <v>225</v>
      </c>
      <c r="M74" s="66" t="s">
        <v>230</v>
      </c>
      <c r="N74" s="66" t="s">
        <v>273</v>
      </c>
      <c r="O74" s="66" t="s">
        <v>235</v>
      </c>
      <c r="P74" s="66" t="s">
        <v>292</v>
      </c>
      <c r="Q74" s="66" t="s">
        <v>266</v>
      </c>
      <c r="R74" s="66" t="s">
        <v>295</v>
      </c>
    </row>
    <row r="75" spans="1:18">
      <c r="A75" s="66" t="str">
        <f>VLOOKUP(C75,classifications!C:F,4,FALSE)</f>
        <v>MD</v>
      </c>
      <c r="B75" s="66" t="s">
        <v>506</v>
      </c>
      <c r="C75" s="66" t="s">
        <v>253</v>
      </c>
      <c r="D75" s="66" t="s">
        <v>241</v>
      </c>
      <c r="E75" s="66" t="s">
        <v>229</v>
      </c>
      <c r="F75" s="66" t="s">
        <v>222</v>
      </c>
      <c r="G75" s="66" t="s">
        <v>248</v>
      </c>
      <c r="H75" s="66" t="s">
        <v>255</v>
      </c>
      <c r="I75" s="66" t="s">
        <v>290</v>
      </c>
      <c r="J75" s="66" t="s">
        <v>266</v>
      </c>
      <c r="K75" s="66" t="s">
        <v>230</v>
      </c>
      <c r="L75" s="66" t="s">
        <v>231</v>
      </c>
      <c r="M75" s="66" t="s">
        <v>291</v>
      </c>
      <c r="N75" s="66" t="s">
        <v>227</v>
      </c>
      <c r="O75" s="66" t="s">
        <v>813</v>
      </c>
      <c r="P75" s="66" t="s">
        <v>251</v>
      </c>
      <c r="Q75" s="66" t="s">
        <v>277</v>
      </c>
      <c r="R75" s="66" t="s">
        <v>224</v>
      </c>
    </row>
    <row r="77" spans="1:18">
      <c r="B77" s="65" t="s">
        <v>507</v>
      </c>
    </row>
    <row r="78" spans="1:18">
      <c r="A78" s="66" t="str">
        <f>VLOOKUP(C78,classifications!C:F,4,FALSE)</f>
        <v>UA</v>
      </c>
      <c r="B78" s="66" t="s">
        <v>508</v>
      </c>
      <c r="C78" s="68" t="s">
        <v>258</v>
      </c>
      <c r="D78" s="66" t="s">
        <v>304</v>
      </c>
      <c r="E78" s="66" t="s">
        <v>246</v>
      </c>
      <c r="F78" s="66" t="s">
        <v>812</v>
      </c>
      <c r="G78" s="66" t="s">
        <v>325</v>
      </c>
      <c r="H78" s="66" t="s">
        <v>816</v>
      </c>
      <c r="I78" s="66" t="s">
        <v>299</v>
      </c>
      <c r="J78" s="66" t="s">
        <v>249</v>
      </c>
      <c r="K78" s="66" t="s">
        <v>278</v>
      </c>
      <c r="L78" s="66" t="s">
        <v>297</v>
      </c>
      <c r="M78" s="66" t="s">
        <v>303</v>
      </c>
      <c r="N78" s="66" t="s">
        <v>259</v>
      </c>
      <c r="O78" s="66" t="s">
        <v>282</v>
      </c>
      <c r="P78" s="66" t="s">
        <v>287</v>
      </c>
      <c r="Q78" s="66" t="s">
        <v>267</v>
      </c>
      <c r="R78" s="66" t="s">
        <v>296</v>
      </c>
    </row>
    <row r="79" spans="1:18">
      <c r="A79" s="66" t="str">
        <f>VLOOKUP(C79,classifications!C:F,4,FALSE)</f>
        <v>UA</v>
      </c>
      <c r="B79" s="66" t="s">
        <v>509</v>
      </c>
      <c r="C79" s="68" t="s">
        <v>259</v>
      </c>
      <c r="D79" s="66" t="s">
        <v>292</v>
      </c>
      <c r="E79" s="66" t="s">
        <v>303</v>
      </c>
      <c r="F79" s="66" t="s">
        <v>246</v>
      </c>
      <c r="G79" s="66" t="s">
        <v>249</v>
      </c>
      <c r="H79" s="66" t="s">
        <v>258</v>
      </c>
      <c r="I79" s="66" t="s">
        <v>295</v>
      </c>
      <c r="J79" s="66" t="s">
        <v>812</v>
      </c>
      <c r="K79" s="66" t="s">
        <v>227</v>
      </c>
      <c r="L79" s="66" t="s">
        <v>280</v>
      </c>
      <c r="M79" s="66" t="s">
        <v>299</v>
      </c>
      <c r="N79" s="66" t="s">
        <v>275</v>
      </c>
      <c r="O79" s="66" t="s">
        <v>252</v>
      </c>
      <c r="P79" s="66" t="s">
        <v>273</v>
      </c>
      <c r="Q79" s="66" t="s">
        <v>287</v>
      </c>
      <c r="R79" s="66" t="s">
        <v>297</v>
      </c>
    </row>
    <row r="80" spans="1:18">
      <c r="A80" s="66" t="str">
        <f>VLOOKUP(C80,classifications!C:F,4,FALSE)</f>
        <v>UA</v>
      </c>
      <c r="B80" s="66" t="s">
        <v>510</v>
      </c>
      <c r="C80" s="68" t="s">
        <v>260</v>
      </c>
      <c r="D80" s="66" t="s">
        <v>239</v>
      </c>
      <c r="E80" s="66" t="s">
        <v>240</v>
      </c>
      <c r="F80" s="66" t="s">
        <v>224</v>
      </c>
      <c r="G80" s="66" t="s">
        <v>251</v>
      </c>
      <c r="H80" s="66" t="s">
        <v>225</v>
      </c>
      <c r="I80" s="66" t="s">
        <v>291</v>
      </c>
      <c r="J80" s="66" t="s">
        <v>265</v>
      </c>
      <c r="K80" s="66" t="s">
        <v>813</v>
      </c>
      <c r="L80" s="66" t="s">
        <v>243</v>
      </c>
      <c r="M80" s="66" t="s">
        <v>273</v>
      </c>
      <c r="N80" s="66" t="s">
        <v>272</v>
      </c>
      <c r="O80" s="66" t="s">
        <v>268</v>
      </c>
      <c r="P80" s="66" t="s">
        <v>228</v>
      </c>
      <c r="Q80" s="66" t="s">
        <v>226</v>
      </c>
      <c r="R80" s="66" t="s">
        <v>254</v>
      </c>
    </row>
    <row r="81" spans="1:18">
      <c r="A81" s="66" t="str">
        <f>VLOOKUP(C81,classifications!C:F,4,FALSE)</f>
        <v>UA</v>
      </c>
      <c r="B81" s="66" t="s">
        <v>511</v>
      </c>
      <c r="C81" s="68" t="s">
        <v>261</v>
      </c>
      <c r="D81" s="66" t="s">
        <v>276</v>
      </c>
      <c r="E81" s="66" t="s">
        <v>269</v>
      </c>
      <c r="F81" s="66" t="s">
        <v>809</v>
      </c>
      <c r="G81" s="66" t="s">
        <v>250</v>
      </c>
      <c r="H81" s="66" t="s">
        <v>256</v>
      </c>
      <c r="I81" s="66" t="s">
        <v>281</v>
      </c>
      <c r="J81" s="66" t="s">
        <v>247</v>
      </c>
      <c r="K81" s="66" t="s">
        <v>274</v>
      </c>
      <c r="L81" s="66" t="s">
        <v>264</v>
      </c>
      <c r="M81" s="66" t="s">
        <v>238</v>
      </c>
      <c r="N81" s="66" t="s">
        <v>244</v>
      </c>
      <c r="O81" s="66" t="s">
        <v>291</v>
      </c>
      <c r="P81" s="66" t="s">
        <v>248</v>
      </c>
      <c r="Q81" s="66" t="s">
        <v>231</v>
      </c>
      <c r="R81" s="66" t="s">
        <v>251</v>
      </c>
    </row>
    <row r="82" spans="1:18">
      <c r="A82" s="66" t="str">
        <f>VLOOKUP(C82,classifications!C:F,4,FALSE)</f>
        <v>UA</v>
      </c>
      <c r="B82" s="66" t="s">
        <v>512</v>
      </c>
      <c r="C82" s="68" t="s">
        <v>262</v>
      </c>
      <c r="D82" s="66" t="s">
        <v>289</v>
      </c>
      <c r="E82" s="66" t="s">
        <v>294</v>
      </c>
      <c r="F82" s="66" t="s">
        <v>244</v>
      </c>
      <c r="G82" s="66" t="s">
        <v>282</v>
      </c>
      <c r="H82" s="66" t="s">
        <v>281</v>
      </c>
      <c r="I82" s="66" t="s">
        <v>256</v>
      </c>
      <c r="J82" s="66" t="s">
        <v>299</v>
      </c>
      <c r="K82" s="66" t="s">
        <v>238</v>
      </c>
      <c r="L82" s="66" t="s">
        <v>811</v>
      </c>
      <c r="M82" s="66" t="s">
        <v>249</v>
      </c>
      <c r="N82" s="66" t="s">
        <v>278</v>
      </c>
      <c r="O82" s="66" t="s">
        <v>322</v>
      </c>
      <c r="P82" s="66" t="s">
        <v>264</v>
      </c>
      <c r="Q82" s="66" t="s">
        <v>815</v>
      </c>
      <c r="R82" s="66" t="s">
        <v>270</v>
      </c>
    </row>
    <row r="83" spans="1:18">
      <c r="A83" s="66" t="str">
        <f>VLOOKUP(C83,classifications!C:F,4,FALSE)</f>
        <v>UA</v>
      </c>
      <c r="B83" s="66" t="s">
        <v>513</v>
      </c>
      <c r="C83" s="68" t="s">
        <v>263</v>
      </c>
      <c r="D83" s="66" t="s">
        <v>296</v>
      </c>
      <c r="E83" s="66" t="s">
        <v>275</v>
      </c>
      <c r="F83" s="66" t="s">
        <v>259</v>
      </c>
      <c r="G83" s="66" t="s">
        <v>298</v>
      </c>
      <c r="H83" s="66" t="s">
        <v>284</v>
      </c>
      <c r="I83" s="66" t="s">
        <v>814</v>
      </c>
      <c r="J83" s="66" t="s">
        <v>303</v>
      </c>
      <c r="K83" s="66" t="s">
        <v>292</v>
      </c>
      <c r="L83" s="66" t="s">
        <v>293</v>
      </c>
      <c r="M83" s="66" t="s">
        <v>252</v>
      </c>
      <c r="N83" s="66" t="s">
        <v>287</v>
      </c>
      <c r="O83" s="66" t="s">
        <v>246</v>
      </c>
      <c r="P83" s="66" t="s">
        <v>258</v>
      </c>
      <c r="Q83" s="66" t="s">
        <v>295</v>
      </c>
      <c r="R83" s="66" t="s">
        <v>249</v>
      </c>
    </row>
    <row r="84" spans="1:18">
      <c r="A84" s="66" t="str">
        <f>VLOOKUP(C84,classifications!C:F,4,FALSE)</f>
        <v>UA</v>
      </c>
      <c r="B84" s="66" t="s">
        <v>514</v>
      </c>
      <c r="C84" s="68" t="s">
        <v>811</v>
      </c>
      <c r="D84" s="66" t="s">
        <v>283</v>
      </c>
      <c r="E84" s="66" t="s">
        <v>815</v>
      </c>
      <c r="F84" s="66" t="s">
        <v>288</v>
      </c>
      <c r="G84" s="66" t="s">
        <v>262</v>
      </c>
      <c r="H84" s="66" t="s">
        <v>289</v>
      </c>
      <c r="I84" s="66" t="s">
        <v>281</v>
      </c>
      <c r="J84" s="66" t="s">
        <v>299</v>
      </c>
      <c r="K84" s="66" t="s">
        <v>238</v>
      </c>
      <c r="L84" s="66" t="s">
        <v>245</v>
      </c>
      <c r="M84" s="66" t="s">
        <v>273</v>
      </c>
      <c r="N84" s="66" t="s">
        <v>237</v>
      </c>
      <c r="O84" s="66" t="s">
        <v>228</v>
      </c>
      <c r="P84" s="66" t="s">
        <v>292</v>
      </c>
      <c r="Q84" s="66" t="s">
        <v>284</v>
      </c>
      <c r="R84" s="66" t="s">
        <v>249</v>
      </c>
    </row>
    <row r="85" spans="1:18">
      <c r="A85" s="66" t="str">
        <f>VLOOKUP(C85,classifications!C:F,4,FALSE)</f>
        <v>UA</v>
      </c>
      <c r="B85" s="66" t="s">
        <v>515</v>
      </c>
      <c r="C85" s="68" t="s">
        <v>815</v>
      </c>
      <c r="D85" s="66" t="s">
        <v>288</v>
      </c>
      <c r="E85" s="66" t="s">
        <v>281</v>
      </c>
      <c r="F85" s="66" t="s">
        <v>283</v>
      </c>
      <c r="G85" s="66" t="s">
        <v>245</v>
      </c>
      <c r="H85" s="66" t="s">
        <v>811</v>
      </c>
      <c r="I85" s="66" t="s">
        <v>228</v>
      </c>
      <c r="J85" s="66" t="s">
        <v>234</v>
      </c>
      <c r="K85" s="66" t="s">
        <v>292</v>
      </c>
      <c r="L85" s="66" t="s">
        <v>237</v>
      </c>
      <c r="M85" s="66" t="s">
        <v>265</v>
      </c>
      <c r="N85" s="66" t="s">
        <v>224</v>
      </c>
      <c r="O85" s="66" t="s">
        <v>238</v>
      </c>
      <c r="P85" s="66" t="s">
        <v>273</v>
      </c>
      <c r="Q85" s="66" t="s">
        <v>289</v>
      </c>
      <c r="R85" s="66" t="s">
        <v>232</v>
      </c>
    </row>
    <row r="86" spans="1:18">
      <c r="A86" s="66" t="str">
        <f>VLOOKUP(C86,classifications!C:F,4,FALSE)</f>
        <v>UA</v>
      </c>
      <c r="B86" s="66" t="s">
        <v>516</v>
      </c>
      <c r="C86" s="68" t="s">
        <v>303</v>
      </c>
      <c r="D86" s="66" t="s">
        <v>297</v>
      </c>
      <c r="E86" s="66" t="s">
        <v>259</v>
      </c>
      <c r="F86" s="66" t="s">
        <v>304</v>
      </c>
      <c r="G86" s="66" t="s">
        <v>258</v>
      </c>
      <c r="H86" s="66" t="s">
        <v>296</v>
      </c>
      <c r="I86" s="66" t="s">
        <v>812</v>
      </c>
      <c r="J86" s="66" t="s">
        <v>325</v>
      </c>
      <c r="K86" s="66" t="s">
        <v>287</v>
      </c>
      <c r="L86" s="66" t="s">
        <v>816</v>
      </c>
      <c r="M86" s="66" t="s">
        <v>249</v>
      </c>
      <c r="N86" s="66" t="s">
        <v>295</v>
      </c>
      <c r="O86" s="66" t="s">
        <v>246</v>
      </c>
      <c r="P86" s="66" t="s">
        <v>292</v>
      </c>
      <c r="Q86" s="66" t="s">
        <v>278</v>
      </c>
      <c r="R86" s="66" t="s">
        <v>227</v>
      </c>
    </row>
    <row r="87" spans="1:18">
      <c r="A87" s="66" t="str">
        <f>VLOOKUP(C87,classifications!C:F,4,FALSE)</f>
        <v>UA</v>
      </c>
      <c r="B87" s="66" t="s">
        <v>517</v>
      </c>
      <c r="C87" s="68" t="s">
        <v>305</v>
      </c>
      <c r="D87" s="66" t="s">
        <v>267</v>
      </c>
      <c r="E87" s="66" t="s">
        <v>322</v>
      </c>
      <c r="F87" s="66" t="s">
        <v>325</v>
      </c>
      <c r="G87" s="66" t="s">
        <v>278</v>
      </c>
      <c r="H87" s="66" t="s">
        <v>270</v>
      </c>
      <c r="I87" s="66" t="s">
        <v>812</v>
      </c>
      <c r="J87" s="66" t="s">
        <v>816</v>
      </c>
      <c r="K87" s="66" t="s">
        <v>304</v>
      </c>
      <c r="L87" s="66" t="s">
        <v>297</v>
      </c>
      <c r="M87" s="66" t="s">
        <v>244</v>
      </c>
      <c r="N87" s="66" t="s">
        <v>266</v>
      </c>
      <c r="O87" s="66" t="s">
        <v>256</v>
      </c>
      <c r="P87" s="66" t="s">
        <v>258</v>
      </c>
      <c r="Q87" s="66" t="s">
        <v>282</v>
      </c>
      <c r="R87" s="66" t="s">
        <v>287</v>
      </c>
    </row>
    <row r="88" spans="1:18">
      <c r="A88" s="66" t="str">
        <f>VLOOKUP(C88,classifications!C:F,4,FALSE)</f>
        <v>UA</v>
      </c>
      <c r="B88" s="66" t="s">
        <v>518</v>
      </c>
      <c r="C88" s="68" t="s">
        <v>264</v>
      </c>
      <c r="D88" s="66" t="s">
        <v>248</v>
      </c>
      <c r="E88" s="66" t="s">
        <v>227</v>
      </c>
      <c r="F88" s="66" t="s">
        <v>290</v>
      </c>
      <c r="G88" s="66" t="s">
        <v>230</v>
      </c>
      <c r="H88" s="66" t="s">
        <v>226</v>
      </c>
      <c r="I88" s="66" t="s">
        <v>265</v>
      </c>
      <c r="J88" s="66" t="s">
        <v>241</v>
      </c>
      <c r="K88" s="66" t="s">
        <v>222</v>
      </c>
      <c r="L88" s="66" t="s">
        <v>229</v>
      </c>
      <c r="M88" s="66" t="s">
        <v>224</v>
      </c>
      <c r="N88" s="66" t="s">
        <v>253</v>
      </c>
      <c r="O88" s="66" t="s">
        <v>251</v>
      </c>
      <c r="P88" s="66" t="s">
        <v>273</v>
      </c>
      <c r="Q88" s="66" t="s">
        <v>238</v>
      </c>
      <c r="R88" s="66" t="s">
        <v>813</v>
      </c>
    </row>
    <row r="89" spans="1:18">
      <c r="A89" s="66" t="str">
        <f>VLOOKUP(C89,classifications!C:F,4,FALSE)</f>
        <v>UA</v>
      </c>
      <c r="B89" s="66" t="s">
        <v>519</v>
      </c>
      <c r="C89" s="68" t="s">
        <v>265</v>
      </c>
      <c r="D89" s="66" t="s">
        <v>228</v>
      </c>
      <c r="E89" s="66" t="s">
        <v>224</v>
      </c>
      <c r="F89" s="66" t="s">
        <v>230</v>
      </c>
      <c r="G89" s="66" t="s">
        <v>290</v>
      </c>
      <c r="H89" s="66" t="s">
        <v>254</v>
      </c>
      <c r="I89" s="66" t="s">
        <v>240</v>
      </c>
      <c r="J89" s="66" t="s">
        <v>264</v>
      </c>
      <c r="K89" s="66" t="s">
        <v>239</v>
      </c>
      <c r="L89" s="66" t="s">
        <v>232</v>
      </c>
      <c r="M89" s="66" t="s">
        <v>273</v>
      </c>
      <c r="N89" s="66" t="s">
        <v>227</v>
      </c>
      <c r="O89" s="66" t="s">
        <v>241</v>
      </c>
      <c r="P89" s="66" t="s">
        <v>226</v>
      </c>
      <c r="Q89" s="66" t="s">
        <v>813</v>
      </c>
      <c r="R89" s="66" t="s">
        <v>251</v>
      </c>
    </row>
    <row r="90" spans="1:18">
      <c r="A90" s="66" t="str">
        <f>VLOOKUP(C90,classifications!C:F,4,FALSE)</f>
        <v>UA</v>
      </c>
      <c r="B90" s="66" t="s">
        <v>520</v>
      </c>
      <c r="C90" s="68" t="s">
        <v>266</v>
      </c>
      <c r="D90" s="68" t="s">
        <v>222</v>
      </c>
      <c r="E90" s="66" t="s">
        <v>253</v>
      </c>
      <c r="F90" s="66" t="s">
        <v>229</v>
      </c>
      <c r="G90" s="66" t="s">
        <v>241</v>
      </c>
      <c r="H90" s="66" t="s">
        <v>255</v>
      </c>
      <c r="I90" s="66" t="s">
        <v>248</v>
      </c>
      <c r="J90" s="66" t="s">
        <v>232</v>
      </c>
      <c r="K90" s="66" t="s">
        <v>230</v>
      </c>
      <c r="L90" s="66" t="s">
        <v>227</v>
      </c>
      <c r="M90" s="66" t="s">
        <v>322</v>
      </c>
      <c r="N90" s="66" t="s">
        <v>251</v>
      </c>
      <c r="O90" s="66" t="s">
        <v>290</v>
      </c>
      <c r="P90" s="66" t="s">
        <v>245</v>
      </c>
      <c r="Q90" s="66" t="s">
        <v>231</v>
      </c>
      <c r="R90" s="66" t="s">
        <v>256</v>
      </c>
    </row>
    <row r="91" spans="1:18">
      <c r="A91" s="66" t="e">
        <f>VLOOKUP(C91,classifications!C:F,4,FALSE)</f>
        <v>#N/A</v>
      </c>
      <c r="B91" s="66" t="s">
        <v>520</v>
      </c>
      <c r="C91" s="8" t="s">
        <v>808</v>
      </c>
      <c r="D91" s="66" t="s">
        <v>222</v>
      </c>
      <c r="E91" s="66" t="s">
        <v>253</v>
      </c>
      <c r="F91" s="66" t="s">
        <v>229</v>
      </c>
      <c r="G91" s="66" t="s">
        <v>241</v>
      </c>
      <c r="H91" s="66" t="s">
        <v>255</v>
      </c>
      <c r="I91" s="66" t="s">
        <v>248</v>
      </c>
      <c r="J91" s="66" t="s">
        <v>232</v>
      </c>
      <c r="K91" s="66" t="s">
        <v>230</v>
      </c>
      <c r="L91" s="66" t="s">
        <v>227</v>
      </c>
      <c r="M91" s="66" t="s">
        <v>322</v>
      </c>
      <c r="N91" s="66" t="s">
        <v>251</v>
      </c>
      <c r="O91" s="66" t="s">
        <v>290</v>
      </c>
      <c r="P91" s="66" t="s">
        <v>245</v>
      </c>
      <c r="Q91" s="66" t="s">
        <v>231</v>
      </c>
      <c r="R91" s="66" t="s">
        <v>256</v>
      </c>
    </row>
    <row r="92" spans="1:18">
      <c r="A92" s="66" t="str">
        <f>VLOOKUP(C92,classifications!C:F,4,FALSE)</f>
        <v>UA</v>
      </c>
      <c r="B92" s="66" t="s">
        <v>521</v>
      </c>
      <c r="C92" s="68" t="s">
        <v>304</v>
      </c>
      <c r="D92" s="66" t="s">
        <v>812</v>
      </c>
      <c r="E92" s="66" t="s">
        <v>325</v>
      </c>
      <c r="F92" s="66" t="s">
        <v>297</v>
      </c>
      <c r="G92" s="66" t="s">
        <v>258</v>
      </c>
      <c r="H92" s="66" t="s">
        <v>816</v>
      </c>
      <c r="I92" s="66" t="s">
        <v>246</v>
      </c>
      <c r="J92" s="66" t="s">
        <v>249</v>
      </c>
      <c r="K92" s="66" t="s">
        <v>303</v>
      </c>
      <c r="L92" s="66" t="s">
        <v>278</v>
      </c>
      <c r="M92" s="66" t="s">
        <v>267</v>
      </c>
      <c r="N92" s="66" t="s">
        <v>299</v>
      </c>
      <c r="O92" s="66" t="s">
        <v>282</v>
      </c>
      <c r="P92" s="66" t="s">
        <v>259</v>
      </c>
      <c r="Q92" s="66" t="s">
        <v>287</v>
      </c>
      <c r="R92" s="66" t="s">
        <v>295</v>
      </c>
    </row>
    <row r="93" spans="1:18">
      <c r="A93" s="66" t="str">
        <f>VLOOKUP(C93,classifications!C:F,4,FALSE)</f>
        <v>UA</v>
      </c>
      <c r="B93" s="66" t="s">
        <v>522</v>
      </c>
      <c r="C93" s="68" t="s">
        <v>267</v>
      </c>
      <c r="D93" s="66" t="s">
        <v>322</v>
      </c>
      <c r="E93" s="66" t="s">
        <v>305</v>
      </c>
      <c r="F93" s="66" t="s">
        <v>325</v>
      </c>
      <c r="G93" s="66" t="s">
        <v>278</v>
      </c>
      <c r="H93" s="66" t="s">
        <v>270</v>
      </c>
      <c r="I93" s="66" t="s">
        <v>816</v>
      </c>
      <c r="J93" s="66" t="s">
        <v>812</v>
      </c>
      <c r="K93" s="66" t="s">
        <v>304</v>
      </c>
      <c r="L93" s="66" t="s">
        <v>244</v>
      </c>
      <c r="M93" s="66" t="s">
        <v>282</v>
      </c>
      <c r="N93" s="66" t="s">
        <v>287</v>
      </c>
      <c r="O93" s="66" t="s">
        <v>256</v>
      </c>
      <c r="P93" s="66" t="s">
        <v>249</v>
      </c>
      <c r="Q93" s="66" t="s">
        <v>297</v>
      </c>
      <c r="R93" s="66" t="s">
        <v>258</v>
      </c>
    </row>
    <row r="94" spans="1:18">
      <c r="A94" s="66" t="str">
        <f>VLOOKUP(C94,classifications!C:F,4,FALSE)</f>
        <v>UA</v>
      </c>
      <c r="B94" s="66" t="s">
        <v>523</v>
      </c>
      <c r="C94" s="68" t="s">
        <v>268</v>
      </c>
      <c r="D94" s="66" t="s">
        <v>291</v>
      </c>
      <c r="E94" s="66" t="s">
        <v>240</v>
      </c>
      <c r="F94" s="66" t="s">
        <v>251</v>
      </c>
      <c r="G94" s="66" t="s">
        <v>813</v>
      </c>
      <c r="H94" s="66" t="s">
        <v>248</v>
      </c>
      <c r="I94" s="66" t="s">
        <v>233</v>
      </c>
      <c r="J94" s="66" t="s">
        <v>241</v>
      </c>
      <c r="K94" s="66" t="s">
        <v>231</v>
      </c>
      <c r="L94" s="66" t="s">
        <v>255</v>
      </c>
      <c r="M94" s="66" t="s">
        <v>242</v>
      </c>
      <c r="N94" s="66" t="s">
        <v>224</v>
      </c>
      <c r="O94" s="66" t="s">
        <v>253</v>
      </c>
      <c r="P94" s="66" t="s">
        <v>290</v>
      </c>
      <c r="Q94" s="66" t="s">
        <v>274</v>
      </c>
      <c r="R94" s="66" t="s">
        <v>239</v>
      </c>
    </row>
    <row r="95" spans="1:18">
      <c r="A95" s="66" t="str">
        <f>VLOOKUP(C95,classifications!C:F,4,FALSE)</f>
        <v>UA</v>
      </c>
      <c r="B95" s="66" t="s">
        <v>524</v>
      </c>
      <c r="C95" s="68" t="s">
        <v>269</v>
      </c>
      <c r="D95" s="66" t="s">
        <v>809</v>
      </c>
      <c r="E95" s="66" t="s">
        <v>276</v>
      </c>
      <c r="F95" s="66" t="s">
        <v>250</v>
      </c>
      <c r="G95" s="66" t="s">
        <v>247</v>
      </c>
      <c r="H95" s="66" t="s">
        <v>274</v>
      </c>
      <c r="I95" s="66" t="s">
        <v>233</v>
      </c>
      <c r="J95" s="66" t="s">
        <v>254</v>
      </c>
      <c r="K95" s="66" t="s">
        <v>257</v>
      </c>
      <c r="L95" s="66" t="s">
        <v>817</v>
      </c>
      <c r="M95" s="66" t="s">
        <v>291</v>
      </c>
      <c r="N95" s="66" t="s">
        <v>231</v>
      </c>
      <c r="O95" s="66" t="s">
        <v>238</v>
      </c>
      <c r="P95" s="66" t="s">
        <v>248</v>
      </c>
      <c r="Q95" s="66" t="s">
        <v>268</v>
      </c>
      <c r="R95" s="66" t="s">
        <v>261</v>
      </c>
    </row>
    <row r="96" spans="1:18">
      <c r="A96" s="66" t="str">
        <f>VLOOKUP(C96,classifications!C:F,4,FALSE)</f>
        <v>UA</v>
      </c>
      <c r="B96" s="66" t="s">
        <v>525</v>
      </c>
      <c r="C96" s="68" t="s">
        <v>816</v>
      </c>
      <c r="D96" s="66" t="s">
        <v>325</v>
      </c>
      <c r="E96" s="66" t="s">
        <v>304</v>
      </c>
      <c r="F96" s="66" t="s">
        <v>258</v>
      </c>
      <c r="G96" s="66" t="s">
        <v>297</v>
      </c>
      <c r="H96" s="66" t="s">
        <v>285</v>
      </c>
      <c r="I96" s="66" t="s">
        <v>812</v>
      </c>
      <c r="J96" s="66" t="s">
        <v>278</v>
      </c>
      <c r="K96" s="66" t="s">
        <v>267</v>
      </c>
      <c r="L96" s="66" t="s">
        <v>303</v>
      </c>
      <c r="M96" s="66" t="s">
        <v>305</v>
      </c>
      <c r="N96" s="66" t="s">
        <v>246</v>
      </c>
      <c r="O96" s="66" t="s">
        <v>270</v>
      </c>
      <c r="P96" s="66" t="s">
        <v>322</v>
      </c>
      <c r="Q96" s="66" t="s">
        <v>249</v>
      </c>
      <c r="R96" s="66" t="s">
        <v>282</v>
      </c>
    </row>
    <row r="97" spans="1:18">
      <c r="A97" s="66" t="str">
        <f>VLOOKUP(C97,classifications!C:F,4,FALSE)</f>
        <v>UA</v>
      </c>
      <c r="B97" s="66" t="s">
        <v>526</v>
      </c>
      <c r="C97" s="68" t="s">
        <v>270</v>
      </c>
      <c r="D97" s="66" t="s">
        <v>278</v>
      </c>
      <c r="E97" s="66" t="s">
        <v>294</v>
      </c>
      <c r="F97" s="66" t="s">
        <v>267</v>
      </c>
      <c r="G97" s="66" t="s">
        <v>322</v>
      </c>
      <c r="H97" s="66" t="s">
        <v>305</v>
      </c>
      <c r="I97" s="66" t="s">
        <v>244</v>
      </c>
      <c r="J97" s="66" t="s">
        <v>282</v>
      </c>
      <c r="K97" s="66" t="s">
        <v>816</v>
      </c>
      <c r="L97" s="66" t="s">
        <v>325</v>
      </c>
      <c r="M97" s="66" t="s">
        <v>256</v>
      </c>
      <c r="N97" s="66" t="s">
        <v>262</v>
      </c>
      <c r="O97" s="66" t="s">
        <v>258</v>
      </c>
      <c r="P97" s="66" t="s">
        <v>289</v>
      </c>
      <c r="Q97" s="66" t="s">
        <v>812</v>
      </c>
      <c r="R97" s="66" t="s">
        <v>304</v>
      </c>
    </row>
    <row r="98" spans="1:18">
      <c r="A98" s="66" t="str">
        <f>VLOOKUP(C98,classifications!C:F,4,FALSE)</f>
        <v>UA</v>
      </c>
      <c r="B98" s="66" t="s">
        <v>527</v>
      </c>
      <c r="C98" s="68" t="s">
        <v>817</v>
      </c>
      <c r="D98" s="66" t="s">
        <v>274</v>
      </c>
      <c r="E98" s="66" t="s">
        <v>243</v>
      </c>
      <c r="F98" s="66" t="s">
        <v>291</v>
      </c>
      <c r="G98" s="66" t="s">
        <v>257</v>
      </c>
      <c r="H98" s="66" t="s">
        <v>233</v>
      </c>
      <c r="I98" s="66" t="s">
        <v>242</v>
      </c>
      <c r="J98" s="66" t="s">
        <v>235</v>
      </c>
      <c r="K98" s="66" t="s">
        <v>279</v>
      </c>
      <c r="L98" s="66" t="s">
        <v>240</v>
      </c>
      <c r="M98" s="66" t="s">
        <v>254</v>
      </c>
      <c r="N98" s="66" t="s">
        <v>231</v>
      </c>
      <c r="O98" s="66" t="s">
        <v>268</v>
      </c>
      <c r="P98" s="66" t="s">
        <v>250</v>
      </c>
      <c r="Q98" s="66" t="s">
        <v>269</v>
      </c>
      <c r="R98" s="66" t="s">
        <v>251</v>
      </c>
    </row>
    <row r="99" spans="1:18">
      <c r="A99" s="66" t="str">
        <f>VLOOKUP(C99,classifications!C:F,4,FALSE)</f>
        <v>UA</v>
      </c>
      <c r="B99" s="66" t="s">
        <v>528</v>
      </c>
      <c r="C99" s="68" t="s">
        <v>271</v>
      </c>
      <c r="D99" s="66" t="s">
        <v>272</v>
      </c>
      <c r="E99" s="66" t="s">
        <v>279</v>
      </c>
      <c r="F99" s="66" t="s">
        <v>228</v>
      </c>
      <c r="G99" s="66" t="s">
        <v>243</v>
      </c>
      <c r="H99" s="66" t="s">
        <v>260</v>
      </c>
      <c r="I99" s="66" t="s">
        <v>239</v>
      </c>
      <c r="J99" s="66" t="s">
        <v>225</v>
      </c>
      <c r="K99" s="66" t="s">
        <v>257</v>
      </c>
      <c r="L99" s="66" t="s">
        <v>265</v>
      </c>
      <c r="M99" s="66" t="s">
        <v>242</v>
      </c>
      <c r="N99" s="66" t="s">
        <v>240</v>
      </c>
      <c r="O99" s="66" t="s">
        <v>224</v>
      </c>
      <c r="P99" s="66" t="s">
        <v>817</v>
      </c>
      <c r="Q99" s="66" t="s">
        <v>288</v>
      </c>
      <c r="R99" s="66" t="s">
        <v>280</v>
      </c>
    </row>
    <row r="100" spans="1:18">
      <c r="A100" s="66" t="str">
        <f>VLOOKUP(C100,classifications!C:F,4,FALSE)</f>
        <v>UA</v>
      </c>
      <c r="B100" s="66" t="s">
        <v>529</v>
      </c>
      <c r="C100" s="68" t="s">
        <v>272</v>
      </c>
      <c r="D100" s="66" t="s">
        <v>271</v>
      </c>
      <c r="E100" s="66" t="s">
        <v>228</v>
      </c>
      <c r="F100" s="66" t="s">
        <v>280</v>
      </c>
      <c r="G100" s="66" t="s">
        <v>260</v>
      </c>
      <c r="H100" s="66" t="s">
        <v>225</v>
      </c>
      <c r="I100" s="66" t="s">
        <v>239</v>
      </c>
      <c r="J100" s="66" t="s">
        <v>224</v>
      </c>
      <c r="K100" s="66" t="s">
        <v>240</v>
      </c>
      <c r="L100" s="66" t="s">
        <v>273</v>
      </c>
      <c r="M100" s="66" t="s">
        <v>265</v>
      </c>
      <c r="N100" s="66" t="s">
        <v>243</v>
      </c>
      <c r="O100" s="66" t="s">
        <v>275</v>
      </c>
      <c r="P100" s="66" t="s">
        <v>242</v>
      </c>
      <c r="Q100" s="66" t="s">
        <v>279</v>
      </c>
      <c r="R100" s="66" t="s">
        <v>293</v>
      </c>
    </row>
    <row r="101" spans="1:18">
      <c r="A101" s="66" t="str">
        <f>VLOOKUP(C101,classifications!C:F,4,FALSE)</f>
        <v>UA</v>
      </c>
      <c r="B101" s="66" t="s">
        <v>530</v>
      </c>
      <c r="C101" s="68" t="s">
        <v>273</v>
      </c>
      <c r="D101" s="66" t="s">
        <v>226</v>
      </c>
      <c r="E101" s="66" t="s">
        <v>224</v>
      </c>
      <c r="F101" s="66" t="s">
        <v>232</v>
      </c>
      <c r="G101" s="66" t="s">
        <v>227</v>
      </c>
      <c r="H101" s="66" t="s">
        <v>292</v>
      </c>
      <c r="I101" s="66" t="s">
        <v>290</v>
      </c>
      <c r="J101" s="66" t="s">
        <v>265</v>
      </c>
      <c r="K101" s="66" t="s">
        <v>813</v>
      </c>
      <c r="L101" s="66" t="s">
        <v>228</v>
      </c>
      <c r="M101" s="66" t="s">
        <v>295</v>
      </c>
      <c r="N101" s="66" t="s">
        <v>255</v>
      </c>
      <c r="O101" s="66" t="s">
        <v>239</v>
      </c>
      <c r="P101" s="66" t="s">
        <v>264</v>
      </c>
      <c r="Q101" s="66" t="s">
        <v>240</v>
      </c>
      <c r="R101" s="66" t="s">
        <v>251</v>
      </c>
    </row>
    <row r="102" spans="1:18">
      <c r="A102" s="66" t="str">
        <f>VLOOKUP(C102,classifications!C:F,4,FALSE)</f>
        <v>UA</v>
      </c>
      <c r="B102" s="66" t="s">
        <v>531</v>
      </c>
      <c r="C102" s="68" t="s">
        <v>274</v>
      </c>
      <c r="D102" s="66" t="s">
        <v>817</v>
      </c>
      <c r="E102" s="66" t="s">
        <v>233</v>
      </c>
      <c r="F102" s="66" t="s">
        <v>291</v>
      </c>
      <c r="G102" s="66" t="s">
        <v>240</v>
      </c>
      <c r="H102" s="66" t="s">
        <v>243</v>
      </c>
      <c r="I102" s="66" t="s">
        <v>257</v>
      </c>
      <c r="J102" s="66" t="s">
        <v>268</v>
      </c>
      <c r="K102" s="66" t="s">
        <v>242</v>
      </c>
      <c r="L102" s="66" t="s">
        <v>254</v>
      </c>
      <c r="M102" s="66" t="s">
        <v>251</v>
      </c>
      <c r="N102" s="66" t="s">
        <v>239</v>
      </c>
      <c r="O102" s="66" t="s">
        <v>269</v>
      </c>
      <c r="P102" s="66" t="s">
        <v>231</v>
      </c>
      <c r="Q102" s="66" t="s">
        <v>248</v>
      </c>
      <c r="R102" s="66" t="s">
        <v>250</v>
      </c>
    </row>
    <row r="103" spans="1:18">
      <c r="A103" s="66" t="str">
        <f>VLOOKUP(C103,classifications!C:F,4,FALSE)</f>
        <v>UA</v>
      </c>
      <c r="B103" s="66" t="s">
        <v>532</v>
      </c>
      <c r="C103" s="68" t="s">
        <v>275</v>
      </c>
      <c r="D103" s="66" t="s">
        <v>293</v>
      </c>
      <c r="E103" s="66" t="s">
        <v>280</v>
      </c>
      <c r="F103" s="66" t="s">
        <v>292</v>
      </c>
      <c r="G103" s="66" t="s">
        <v>284</v>
      </c>
      <c r="H103" s="66" t="s">
        <v>259</v>
      </c>
      <c r="I103" s="66" t="s">
        <v>295</v>
      </c>
      <c r="J103" s="66" t="s">
        <v>273</v>
      </c>
      <c r="K103" s="66" t="s">
        <v>813</v>
      </c>
      <c r="L103" s="66" t="s">
        <v>224</v>
      </c>
      <c r="M103" s="66" t="s">
        <v>252</v>
      </c>
      <c r="N103" s="66" t="s">
        <v>263</v>
      </c>
      <c r="O103" s="66" t="s">
        <v>226</v>
      </c>
      <c r="P103" s="66" t="s">
        <v>228</v>
      </c>
      <c r="Q103" s="66" t="s">
        <v>232</v>
      </c>
      <c r="R103" s="66" t="s">
        <v>272</v>
      </c>
    </row>
    <row r="104" spans="1:18">
      <c r="A104" s="66" t="str">
        <f>VLOOKUP(C104,classifications!C:F,4,FALSE)</f>
        <v>UA</v>
      </c>
      <c r="B104" s="66" t="s">
        <v>533</v>
      </c>
      <c r="C104" s="68" t="s">
        <v>276</v>
      </c>
      <c r="D104" s="66" t="s">
        <v>809</v>
      </c>
      <c r="E104" s="66" t="s">
        <v>269</v>
      </c>
      <c r="F104" s="66" t="s">
        <v>250</v>
      </c>
      <c r="G104" s="66" t="s">
        <v>238</v>
      </c>
      <c r="H104" s="66" t="s">
        <v>229</v>
      </c>
      <c r="I104" s="66" t="s">
        <v>281</v>
      </c>
      <c r="J104" s="66" t="s">
        <v>264</v>
      </c>
      <c r="K104" s="66" t="s">
        <v>256</v>
      </c>
      <c r="L104" s="66" t="s">
        <v>248</v>
      </c>
      <c r="M104" s="66" t="s">
        <v>290</v>
      </c>
      <c r="N104" s="66" t="s">
        <v>241</v>
      </c>
      <c r="O104" s="66" t="s">
        <v>261</v>
      </c>
      <c r="P104" s="66" t="s">
        <v>291</v>
      </c>
      <c r="Q104" s="66" t="s">
        <v>253</v>
      </c>
      <c r="R104" s="66" t="s">
        <v>230</v>
      </c>
    </row>
    <row r="105" spans="1:18">
      <c r="A105" s="66" t="str">
        <f>VLOOKUP(C105,classifications!C:F,4,FALSE)</f>
        <v>UA</v>
      </c>
      <c r="B105" s="66" t="s">
        <v>534</v>
      </c>
      <c r="C105" s="68" t="s">
        <v>277</v>
      </c>
      <c r="D105" s="66" t="s">
        <v>290</v>
      </c>
      <c r="E105" s="66" t="s">
        <v>253</v>
      </c>
      <c r="F105" s="66" t="s">
        <v>229</v>
      </c>
      <c r="G105" s="66" t="s">
        <v>241</v>
      </c>
      <c r="H105" s="66" t="s">
        <v>227</v>
      </c>
      <c r="I105" s="66" t="s">
        <v>295</v>
      </c>
      <c r="J105" s="66" t="s">
        <v>264</v>
      </c>
      <c r="K105" s="66" t="s">
        <v>222</v>
      </c>
      <c r="L105" s="66" t="s">
        <v>813</v>
      </c>
      <c r="M105" s="66" t="s">
        <v>248</v>
      </c>
      <c r="N105" s="66" t="s">
        <v>230</v>
      </c>
      <c r="O105" s="66" t="s">
        <v>812</v>
      </c>
      <c r="P105" s="66" t="s">
        <v>265</v>
      </c>
      <c r="Q105" s="66" t="s">
        <v>292</v>
      </c>
      <c r="R105" s="66" t="s">
        <v>276</v>
      </c>
    </row>
    <row r="106" spans="1:18">
      <c r="A106" s="66" t="str">
        <f>VLOOKUP(C106,classifications!C:F,4,FALSE)</f>
        <v>UA</v>
      </c>
      <c r="B106" s="66" t="s">
        <v>535</v>
      </c>
      <c r="C106" s="68" t="s">
        <v>278</v>
      </c>
      <c r="D106" s="66" t="s">
        <v>282</v>
      </c>
      <c r="E106" s="66" t="s">
        <v>267</v>
      </c>
      <c r="F106" s="66" t="s">
        <v>270</v>
      </c>
      <c r="G106" s="66" t="s">
        <v>258</v>
      </c>
      <c r="H106" s="66" t="s">
        <v>304</v>
      </c>
      <c r="I106" s="66" t="s">
        <v>816</v>
      </c>
      <c r="J106" s="66" t="s">
        <v>325</v>
      </c>
      <c r="K106" s="66" t="s">
        <v>322</v>
      </c>
      <c r="L106" s="66" t="s">
        <v>287</v>
      </c>
      <c r="M106" s="66" t="s">
        <v>305</v>
      </c>
      <c r="N106" s="66" t="s">
        <v>297</v>
      </c>
      <c r="O106" s="66" t="s">
        <v>812</v>
      </c>
      <c r="P106" s="66" t="s">
        <v>249</v>
      </c>
      <c r="Q106" s="66" t="s">
        <v>246</v>
      </c>
      <c r="R106" s="66" t="s">
        <v>244</v>
      </c>
    </row>
    <row r="107" spans="1:18">
      <c r="A107" s="66" t="str">
        <f>VLOOKUP(C107,classifications!C:F,4,FALSE)</f>
        <v>UA</v>
      </c>
      <c r="B107" s="66" t="s">
        <v>536</v>
      </c>
      <c r="C107" s="68" t="s">
        <v>322</v>
      </c>
      <c r="D107" s="67" t="s">
        <v>267</v>
      </c>
      <c r="E107" s="66" t="s">
        <v>244</v>
      </c>
      <c r="F107" s="66" t="s">
        <v>256</v>
      </c>
      <c r="G107" s="66" t="s">
        <v>305</v>
      </c>
      <c r="H107" s="66" t="s">
        <v>238</v>
      </c>
      <c r="I107" s="66" t="s">
        <v>325</v>
      </c>
      <c r="J107" s="66" t="s">
        <v>266</v>
      </c>
      <c r="K107" s="66" t="s">
        <v>812</v>
      </c>
      <c r="L107" s="66" t="s">
        <v>278</v>
      </c>
      <c r="M107" s="66" t="s">
        <v>270</v>
      </c>
      <c r="N107" s="66" t="s">
        <v>222</v>
      </c>
      <c r="O107" s="66" t="s">
        <v>809</v>
      </c>
      <c r="P107" s="66" t="s">
        <v>227</v>
      </c>
      <c r="Q107" s="66" t="s">
        <v>253</v>
      </c>
      <c r="R107" s="66" t="s">
        <v>249</v>
      </c>
    </row>
    <row r="108" spans="1:18">
      <c r="A108" s="66" t="str">
        <f>VLOOKUP(C108,classifications!C:F,4,FALSE)</f>
        <v>UA</v>
      </c>
      <c r="B108" s="66" t="s">
        <v>537</v>
      </c>
      <c r="C108" s="68" t="s">
        <v>279</v>
      </c>
      <c r="D108" s="66" t="s">
        <v>237</v>
      </c>
      <c r="E108" s="66" t="s">
        <v>235</v>
      </c>
      <c r="F108" s="66" t="s">
        <v>242</v>
      </c>
      <c r="G108" s="66" t="s">
        <v>817</v>
      </c>
      <c r="H108" s="66" t="s">
        <v>271</v>
      </c>
      <c r="I108" s="66" t="s">
        <v>243</v>
      </c>
      <c r="J108" s="66" t="s">
        <v>257</v>
      </c>
      <c r="K108" s="66" t="s">
        <v>228</v>
      </c>
      <c r="L108" s="66" t="s">
        <v>245</v>
      </c>
      <c r="M108" s="66" t="s">
        <v>291</v>
      </c>
      <c r="N108" s="66" t="s">
        <v>288</v>
      </c>
      <c r="O108" s="66" t="s">
        <v>240</v>
      </c>
      <c r="P108" s="66" t="s">
        <v>224</v>
      </c>
      <c r="Q108" s="66" t="s">
        <v>265</v>
      </c>
      <c r="R108" s="66" t="s">
        <v>231</v>
      </c>
    </row>
    <row r="109" spans="1:18">
      <c r="A109" s="66" t="str">
        <f>VLOOKUP(C109,classifications!C:F,4,FALSE)</f>
        <v>UA</v>
      </c>
      <c r="B109" s="66" t="s">
        <v>538</v>
      </c>
      <c r="C109" s="68" t="s">
        <v>280</v>
      </c>
      <c r="D109" s="66" t="s">
        <v>293</v>
      </c>
      <c r="E109" s="66" t="s">
        <v>292</v>
      </c>
      <c r="F109" s="66" t="s">
        <v>275</v>
      </c>
      <c r="G109" s="66" t="s">
        <v>228</v>
      </c>
      <c r="H109" s="66" t="s">
        <v>224</v>
      </c>
      <c r="I109" s="66" t="s">
        <v>265</v>
      </c>
      <c r="J109" s="66" t="s">
        <v>813</v>
      </c>
      <c r="K109" s="66" t="s">
        <v>240</v>
      </c>
      <c r="L109" s="66" t="s">
        <v>273</v>
      </c>
      <c r="M109" s="66" t="s">
        <v>272</v>
      </c>
      <c r="N109" s="66" t="s">
        <v>239</v>
      </c>
      <c r="O109" s="66" t="s">
        <v>259</v>
      </c>
      <c r="P109" s="66" t="s">
        <v>227</v>
      </c>
      <c r="Q109" s="66" t="s">
        <v>290</v>
      </c>
      <c r="R109" s="66" t="s">
        <v>226</v>
      </c>
    </row>
    <row r="110" spans="1:18">
      <c r="A110" s="66" t="str">
        <f>VLOOKUP(C110,classifications!C:F,4,FALSE)</f>
        <v>UA</v>
      </c>
      <c r="B110" s="66" t="s">
        <v>539</v>
      </c>
      <c r="C110" s="68" t="s">
        <v>281</v>
      </c>
      <c r="D110" s="66" t="s">
        <v>238</v>
      </c>
      <c r="E110" s="66" t="s">
        <v>256</v>
      </c>
      <c r="F110" s="66" t="s">
        <v>250</v>
      </c>
      <c r="G110" s="66" t="s">
        <v>288</v>
      </c>
      <c r="H110" s="66" t="s">
        <v>815</v>
      </c>
      <c r="I110" s="66" t="s">
        <v>809</v>
      </c>
      <c r="J110" s="66" t="s">
        <v>265</v>
      </c>
      <c r="K110" s="66" t="s">
        <v>264</v>
      </c>
      <c r="L110" s="66" t="s">
        <v>248</v>
      </c>
      <c r="M110" s="66" t="s">
        <v>276</v>
      </c>
      <c r="N110" s="66" t="s">
        <v>244</v>
      </c>
      <c r="O110" s="66" t="s">
        <v>230</v>
      </c>
      <c r="P110" s="66" t="s">
        <v>231</v>
      </c>
      <c r="Q110" s="66" t="s">
        <v>224</v>
      </c>
      <c r="R110" s="66" t="s">
        <v>251</v>
      </c>
    </row>
    <row r="111" spans="1:18">
      <c r="A111" s="66" t="str">
        <f>VLOOKUP(C111,classifications!C:F,4,FALSE)</f>
        <v>UA</v>
      </c>
      <c r="B111" s="66" t="s">
        <v>540</v>
      </c>
      <c r="C111" s="68" t="s">
        <v>282</v>
      </c>
      <c r="D111" s="66" t="s">
        <v>278</v>
      </c>
      <c r="E111" s="66" t="s">
        <v>246</v>
      </c>
      <c r="F111" s="66" t="s">
        <v>262</v>
      </c>
      <c r="G111" s="66" t="s">
        <v>289</v>
      </c>
      <c r="H111" s="66" t="s">
        <v>258</v>
      </c>
      <c r="I111" s="66" t="s">
        <v>294</v>
      </c>
      <c r="J111" s="66" t="s">
        <v>249</v>
      </c>
      <c r="K111" s="66" t="s">
        <v>304</v>
      </c>
      <c r="L111" s="66" t="s">
        <v>244</v>
      </c>
      <c r="M111" s="66" t="s">
        <v>267</v>
      </c>
      <c r="N111" s="66" t="s">
        <v>270</v>
      </c>
      <c r="O111" s="66" t="s">
        <v>299</v>
      </c>
      <c r="P111" s="66" t="s">
        <v>287</v>
      </c>
      <c r="Q111" s="66" t="s">
        <v>322</v>
      </c>
      <c r="R111" s="66" t="s">
        <v>812</v>
      </c>
    </row>
    <row r="112" spans="1:18">
      <c r="A112" s="66" t="str">
        <f>VLOOKUP(C112,classifications!C:F,4,FALSE)</f>
        <v>UA</v>
      </c>
      <c r="B112" s="66" t="s">
        <v>541</v>
      </c>
      <c r="C112" s="68" t="s">
        <v>283</v>
      </c>
      <c r="D112" s="66" t="s">
        <v>288</v>
      </c>
      <c r="E112" s="66" t="s">
        <v>815</v>
      </c>
      <c r="F112" s="66" t="s">
        <v>811</v>
      </c>
      <c r="G112" s="66" t="s">
        <v>281</v>
      </c>
      <c r="H112" s="66" t="s">
        <v>228</v>
      </c>
      <c r="I112" s="66" t="s">
        <v>289</v>
      </c>
      <c r="J112" s="66" t="s">
        <v>238</v>
      </c>
      <c r="K112" s="66" t="s">
        <v>237</v>
      </c>
      <c r="L112" s="66" t="s">
        <v>224</v>
      </c>
      <c r="M112" s="66" t="s">
        <v>265</v>
      </c>
      <c r="N112" s="66" t="s">
        <v>242</v>
      </c>
      <c r="O112" s="66" t="s">
        <v>273</v>
      </c>
      <c r="P112" s="66" t="s">
        <v>279</v>
      </c>
      <c r="Q112" s="66" t="s">
        <v>245</v>
      </c>
      <c r="R112" s="66" t="s">
        <v>292</v>
      </c>
    </row>
    <row r="113" spans="1:18">
      <c r="A113" s="66" t="str">
        <f>VLOOKUP(C113,classifications!C:F,4,FALSE)</f>
        <v>UA</v>
      </c>
      <c r="B113" s="66" t="s">
        <v>542</v>
      </c>
      <c r="C113" s="68" t="s">
        <v>284</v>
      </c>
      <c r="D113" s="66" t="s">
        <v>275</v>
      </c>
      <c r="E113" s="66" t="s">
        <v>293</v>
      </c>
      <c r="F113" s="66" t="s">
        <v>280</v>
      </c>
      <c r="G113" s="66" t="s">
        <v>292</v>
      </c>
      <c r="H113" s="66" t="s">
        <v>286</v>
      </c>
      <c r="I113" s="66" t="s">
        <v>815</v>
      </c>
      <c r="J113" s="66" t="s">
        <v>252</v>
      </c>
      <c r="K113" s="66" t="s">
        <v>288</v>
      </c>
      <c r="L113" s="66" t="s">
        <v>263</v>
      </c>
      <c r="M113" s="66" t="s">
        <v>259</v>
      </c>
      <c r="N113" s="66" t="s">
        <v>295</v>
      </c>
      <c r="O113" s="66" t="s">
        <v>272</v>
      </c>
      <c r="P113" s="66" t="s">
        <v>228</v>
      </c>
      <c r="Q113" s="66" t="s">
        <v>273</v>
      </c>
      <c r="R113" s="66" t="s">
        <v>283</v>
      </c>
    </row>
    <row r="114" spans="1:18">
      <c r="A114" s="66" t="str">
        <f>VLOOKUP(C114,classifications!C:F,4,FALSE)</f>
        <v>UA</v>
      </c>
      <c r="B114" s="66" t="s">
        <v>543</v>
      </c>
      <c r="C114" s="68" t="s">
        <v>809</v>
      </c>
      <c r="D114" s="66" t="s">
        <v>276</v>
      </c>
      <c r="E114" s="66" t="s">
        <v>269</v>
      </c>
      <c r="F114" s="66" t="s">
        <v>238</v>
      </c>
      <c r="G114" s="66" t="s">
        <v>250</v>
      </c>
      <c r="H114" s="66" t="s">
        <v>256</v>
      </c>
      <c r="I114" s="66" t="s">
        <v>248</v>
      </c>
      <c r="J114" s="66" t="s">
        <v>281</v>
      </c>
      <c r="K114" s="66" t="s">
        <v>264</v>
      </c>
      <c r="L114" s="66" t="s">
        <v>290</v>
      </c>
      <c r="M114" s="66" t="s">
        <v>247</v>
      </c>
      <c r="N114" s="66" t="s">
        <v>244</v>
      </c>
      <c r="O114" s="66" t="s">
        <v>230</v>
      </c>
      <c r="P114" s="66" t="s">
        <v>241</v>
      </c>
      <c r="Q114" s="66" t="s">
        <v>222</v>
      </c>
      <c r="R114" s="66" t="s">
        <v>229</v>
      </c>
    </row>
    <row r="115" spans="1:18">
      <c r="A115" s="66" t="str">
        <f>VLOOKUP(C115,classifications!C:F,4,FALSE)</f>
        <v>UA</v>
      </c>
      <c r="B115" s="66" t="s">
        <v>544</v>
      </c>
      <c r="C115" s="68" t="s">
        <v>285</v>
      </c>
      <c r="D115" s="66" t="s">
        <v>816</v>
      </c>
      <c r="E115" s="66" t="s">
        <v>325</v>
      </c>
      <c r="F115" s="66" t="s">
        <v>297</v>
      </c>
      <c r="G115" s="66" t="s">
        <v>304</v>
      </c>
      <c r="H115" s="66" t="s">
        <v>258</v>
      </c>
      <c r="I115" s="66" t="s">
        <v>303</v>
      </c>
      <c r="J115" s="66" t="s">
        <v>278</v>
      </c>
      <c r="K115" s="66" t="s">
        <v>812</v>
      </c>
      <c r="L115" s="66" t="s">
        <v>267</v>
      </c>
      <c r="M115" s="66" t="s">
        <v>296</v>
      </c>
      <c r="N115" s="66" t="s">
        <v>246</v>
      </c>
      <c r="O115" s="66" t="s">
        <v>259</v>
      </c>
      <c r="P115" s="66" t="s">
        <v>270</v>
      </c>
      <c r="Q115" s="66" t="s">
        <v>305</v>
      </c>
      <c r="R115" s="66" t="s">
        <v>282</v>
      </c>
    </row>
    <row r="116" spans="1:18">
      <c r="A116" s="66" t="str">
        <f>VLOOKUP(C116,classifications!C:F,4,FALSE)</f>
        <v>UA</v>
      </c>
      <c r="B116" s="66" t="s">
        <v>545</v>
      </c>
      <c r="C116" s="68" t="s">
        <v>325</v>
      </c>
      <c r="D116" s="66" t="s">
        <v>816</v>
      </c>
      <c r="E116" s="66" t="s">
        <v>304</v>
      </c>
      <c r="F116" s="66" t="s">
        <v>812</v>
      </c>
      <c r="G116" s="66" t="s">
        <v>297</v>
      </c>
      <c r="H116" s="66" t="s">
        <v>267</v>
      </c>
      <c r="I116" s="66" t="s">
        <v>258</v>
      </c>
      <c r="J116" s="66" t="s">
        <v>278</v>
      </c>
      <c r="K116" s="66" t="s">
        <v>322</v>
      </c>
      <c r="L116" s="66" t="s">
        <v>305</v>
      </c>
      <c r="M116" s="66" t="s">
        <v>249</v>
      </c>
      <c r="N116" s="66" t="s">
        <v>303</v>
      </c>
      <c r="O116" s="66" t="s">
        <v>299</v>
      </c>
      <c r="P116" s="66" t="s">
        <v>246</v>
      </c>
      <c r="Q116" s="66" t="s">
        <v>285</v>
      </c>
      <c r="R116" s="66" t="s">
        <v>270</v>
      </c>
    </row>
    <row r="117" spans="1:18">
      <c r="A117" s="66" t="str">
        <f>VLOOKUP(C117,classifications!C:F,4,FALSE)</f>
        <v>UA</v>
      </c>
      <c r="B117" s="66" t="s">
        <v>546</v>
      </c>
      <c r="C117" s="68" t="s">
        <v>286</v>
      </c>
      <c r="D117" s="66" t="s">
        <v>284</v>
      </c>
      <c r="E117" s="66" t="s">
        <v>272</v>
      </c>
      <c r="F117" s="66" t="s">
        <v>275</v>
      </c>
      <c r="G117" s="66" t="s">
        <v>280</v>
      </c>
      <c r="H117" s="66" t="s">
        <v>293</v>
      </c>
      <c r="I117" s="66" t="s">
        <v>271</v>
      </c>
      <c r="J117" s="66" t="s">
        <v>292</v>
      </c>
      <c r="K117" s="66" t="s">
        <v>263</v>
      </c>
      <c r="L117" s="66" t="s">
        <v>288</v>
      </c>
      <c r="M117" s="66" t="s">
        <v>228</v>
      </c>
      <c r="N117" s="66" t="s">
        <v>815</v>
      </c>
      <c r="O117" s="66" t="s">
        <v>259</v>
      </c>
      <c r="P117" s="66" t="s">
        <v>225</v>
      </c>
      <c r="Q117" s="66" t="s">
        <v>260</v>
      </c>
      <c r="R117" s="66" t="s">
        <v>224</v>
      </c>
    </row>
    <row r="118" spans="1:18">
      <c r="A118" s="66" t="str">
        <f>VLOOKUP(C118,classifications!C:F,4,FALSE)</f>
        <v>UA</v>
      </c>
      <c r="B118" s="66" t="s">
        <v>547</v>
      </c>
      <c r="C118" s="68" t="s">
        <v>287</v>
      </c>
      <c r="D118" s="66" t="s">
        <v>278</v>
      </c>
      <c r="E118" s="66" t="s">
        <v>249</v>
      </c>
      <c r="F118" s="66" t="s">
        <v>303</v>
      </c>
      <c r="G118" s="66" t="s">
        <v>299</v>
      </c>
      <c r="H118" s="66" t="s">
        <v>812</v>
      </c>
      <c r="I118" s="66" t="s">
        <v>258</v>
      </c>
      <c r="J118" s="66" t="s">
        <v>295</v>
      </c>
      <c r="K118" s="66" t="s">
        <v>246</v>
      </c>
      <c r="L118" s="66" t="s">
        <v>292</v>
      </c>
      <c r="M118" s="66" t="s">
        <v>259</v>
      </c>
      <c r="N118" s="66" t="s">
        <v>304</v>
      </c>
      <c r="O118" s="66" t="s">
        <v>252</v>
      </c>
      <c r="P118" s="66" t="s">
        <v>267</v>
      </c>
      <c r="Q118" s="66" t="s">
        <v>282</v>
      </c>
      <c r="R118" s="66" t="s">
        <v>297</v>
      </c>
    </row>
    <row r="119" spans="1:18">
      <c r="A119" s="66" t="str">
        <f>VLOOKUP(C119,classifications!C:F,4,FALSE)</f>
        <v>UA</v>
      </c>
      <c r="B119" s="66" t="s">
        <v>548</v>
      </c>
      <c r="C119" s="68" t="s">
        <v>288</v>
      </c>
      <c r="D119" s="66" t="s">
        <v>815</v>
      </c>
      <c r="E119" s="66" t="s">
        <v>283</v>
      </c>
      <c r="F119" s="66" t="s">
        <v>281</v>
      </c>
      <c r="G119" s="66" t="s">
        <v>237</v>
      </c>
      <c r="H119" s="66" t="s">
        <v>228</v>
      </c>
      <c r="I119" s="66" t="s">
        <v>279</v>
      </c>
      <c r="J119" s="66" t="s">
        <v>811</v>
      </c>
      <c r="K119" s="66" t="s">
        <v>242</v>
      </c>
      <c r="L119" s="66" t="s">
        <v>245</v>
      </c>
      <c r="M119" s="66" t="s">
        <v>265</v>
      </c>
      <c r="N119" s="66" t="s">
        <v>238</v>
      </c>
      <c r="O119" s="66" t="s">
        <v>224</v>
      </c>
      <c r="P119" s="66" t="s">
        <v>292</v>
      </c>
      <c r="Q119" s="66" t="s">
        <v>280</v>
      </c>
      <c r="R119" s="66" t="s">
        <v>273</v>
      </c>
    </row>
    <row r="120" spans="1:18">
      <c r="A120" s="66" t="str">
        <f>VLOOKUP(C120,classifications!C:F,4,FALSE)</f>
        <v>UA</v>
      </c>
      <c r="B120" s="66" t="s">
        <v>549</v>
      </c>
      <c r="C120" s="68" t="s">
        <v>289</v>
      </c>
      <c r="D120" s="66" t="s">
        <v>262</v>
      </c>
      <c r="E120" s="66" t="s">
        <v>256</v>
      </c>
      <c r="F120" s="66" t="s">
        <v>244</v>
      </c>
      <c r="G120" s="66" t="s">
        <v>238</v>
      </c>
      <c r="H120" s="66" t="s">
        <v>281</v>
      </c>
      <c r="I120" s="66" t="s">
        <v>294</v>
      </c>
      <c r="J120" s="66" t="s">
        <v>264</v>
      </c>
      <c r="K120" s="66" t="s">
        <v>249</v>
      </c>
      <c r="L120" s="66" t="s">
        <v>282</v>
      </c>
      <c r="M120" s="66" t="s">
        <v>227</v>
      </c>
      <c r="N120" s="66" t="s">
        <v>265</v>
      </c>
      <c r="O120" s="66" t="s">
        <v>278</v>
      </c>
      <c r="P120" s="66" t="s">
        <v>230</v>
      </c>
      <c r="Q120" s="66" t="s">
        <v>322</v>
      </c>
      <c r="R120" s="66" t="s">
        <v>809</v>
      </c>
    </row>
    <row r="121" spans="1:18">
      <c r="A121" s="66" t="str">
        <f>VLOOKUP(C121,classifications!C:F,4,FALSE)</f>
        <v>UA</v>
      </c>
      <c r="B121" s="66" t="s">
        <v>550</v>
      </c>
      <c r="C121" s="68" t="s">
        <v>290</v>
      </c>
      <c r="D121" s="66" t="s">
        <v>813</v>
      </c>
      <c r="E121" s="66" t="s">
        <v>264</v>
      </c>
      <c r="F121" s="66" t="s">
        <v>248</v>
      </c>
      <c r="G121" s="66" t="s">
        <v>241</v>
      </c>
      <c r="H121" s="66" t="s">
        <v>227</v>
      </c>
      <c r="I121" s="66" t="s">
        <v>230</v>
      </c>
      <c r="J121" s="66" t="s">
        <v>265</v>
      </c>
      <c r="K121" s="66" t="s">
        <v>253</v>
      </c>
      <c r="L121" s="66" t="s">
        <v>273</v>
      </c>
      <c r="M121" s="66" t="s">
        <v>229</v>
      </c>
      <c r="N121" s="66" t="s">
        <v>222</v>
      </c>
      <c r="O121" s="66" t="s">
        <v>224</v>
      </c>
      <c r="P121" s="66" t="s">
        <v>226</v>
      </c>
      <c r="Q121" s="66" t="s">
        <v>295</v>
      </c>
      <c r="R121" s="66" t="s">
        <v>277</v>
      </c>
    </row>
    <row r="122" spans="1:18">
      <c r="A122" s="66" t="str">
        <f>VLOOKUP(C122,classifications!C:F,4,FALSE)</f>
        <v>UA</v>
      </c>
      <c r="B122" s="66" t="s">
        <v>551</v>
      </c>
      <c r="C122" s="68" t="s">
        <v>291</v>
      </c>
      <c r="D122" s="66" t="s">
        <v>251</v>
      </c>
      <c r="E122" s="66" t="s">
        <v>240</v>
      </c>
      <c r="F122" s="66" t="s">
        <v>268</v>
      </c>
      <c r="G122" s="66" t="s">
        <v>231</v>
      </c>
      <c r="H122" s="66" t="s">
        <v>241</v>
      </c>
      <c r="I122" s="66" t="s">
        <v>224</v>
      </c>
      <c r="J122" s="66" t="s">
        <v>233</v>
      </c>
      <c r="K122" s="66" t="s">
        <v>242</v>
      </c>
      <c r="L122" s="66" t="s">
        <v>248</v>
      </c>
      <c r="M122" s="66" t="s">
        <v>229</v>
      </c>
      <c r="N122" s="66" t="s">
        <v>255</v>
      </c>
      <c r="O122" s="66" t="s">
        <v>243</v>
      </c>
      <c r="P122" s="66" t="s">
        <v>817</v>
      </c>
      <c r="Q122" s="66" t="s">
        <v>239</v>
      </c>
      <c r="R122" s="66" t="s">
        <v>274</v>
      </c>
    </row>
    <row r="123" spans="1:18">
      <c r="A123" s="66" t="str">
        <f>VLOOKUP(C123,classifications!C:F,4,FALSE)</f>
        <v>UA</v>
      </c>
      <c r="B123" s="66" t="s">
        <v>552</v>
      </c>
      <c r="C123" s="68" t="s">
        <v>292</v>
      </c>
      <c r="D123" s="66" t="s">
        <v>295</v>
      </c>
      <c r="E123" s="66" t="s">
        <v>273</v>
      </c>
      <c r="F123" s="66" t="s">
        <v>293</v>
      </c>
      <c r="G123" s="66" t="s">
        <v>280</v>
      </c>
      <c r="H123" s="66" t="s">
        <v>259</v>
      </c>
      <c r="I123" s="66" t="s">
        <v>290</v>
      </c>
      <c r="J123" s="66" t="s">
        <v>226</v>
      </c>
      <c r="K123" s="66" t="s">
        <v>275</v>
      </c>
      <c r="L123" s="66" t="s">
        <v>813</v>
      </c>
      <c r="M123" s="66" t="s">
        <v>265</v>
      </c>
      <c r="N123" s="66" t="s">
        <v>227</v>
      </c>
      <c r="O123" s="66" t="s">
        <v>252</v>
      </c>
      <c r="P123" s="66" t="s">
        <v>249</v>
      </c>
      <c r="Q123" s="66" t="s">
        <v>224</v>
      </c>
      <c r="R123" s="66" t="s">
        <v>232</v>
      </c>
    </row>
    <row r="124" spans="1:18" s="67" customFormat="1">
      <c r="A124" s="66" t="str">
        <f>VLOOKUP(C124,classifications!C:F,4,FALSE)</f>
        <v>UA</v>
      </c>
      <c r="B124" s="66" t="s">
        <v>553</v>
      </c>
      <c r="C124" s="68" t="s">
        <v>293</v>
      </c>
      <c r="D124" s="66" t="s">
        <v>275</v>
      </c>
      <c r="E124" s="66" t="s">
        <v>292</v>
      </c>
      <c r="F124" s="66" t="s">
        <v>280</v>
      </c>
      <c r="G124" s="66" t="s">
        <v>284</v>
      </c>
      <c r="H124" s="66" t="s">
        <v>295</v>
      </c>
      <c r="I124" s="66" t="s">
        <v>252</v>
      </c>
      <c r="J124" s="66" t="s">
        <v>813</v>
      </c>
      <c r="K124" s="66" t="s">
        <v>273</v>
      </c>
      <c r="L124" s="66" t="s">
        <v>224</v>
      </c>
      <c r="M124" s="66" t="s">
        <v>290</v>
      </c>
      <c r="N124" s="66" t="s">
        <v>259</v>
      </c>
      <c r="O124" s="66" t="s">
        <v>265</v>
      </c>
      <c r="P124" s="66" t="s">
        <v>228</v>
      </c>
      <c r="Q124" s="66" t="s">
        <v>240</v>
      </c>
      <c r="R124" s="66" t="s">
        <v>227</v>
      </c>
    </row>
    <row r="125" spans="1:18" s="67" customFormat="1">
      <c r="A125" s="66" t="str">
        <f>VLOOKUP(C125,classifications!C:F,4,FALSE)</f>
        <v>UA</v>
      </c>
      <c r="B125" s="66" t="s">
        <v>554</v>
      </c>
      <c r="C125" s="68" t="s">
        <v>294</v>
      </c>
      <c r="D125" s="66" t="s">
        <v>244</v>
      </c>
      <c r="E125" s="66" t="s">
        <v>270</v>
      </c>
      <c r="F125" s="66" t="s">
        <v>262</v>
      </c>
      <c r="G125" s="66" t="s">
        <v>289</v>
      </c>
      <c r="H125" s="66" t="s">
        <v>282</v>
      </c>
      <c r="I125" s="66" t="s">
        <v>256</v>
      </c>
      <c r="J125" s="66" t="s">
        <v>278</v>
      </c>
      <c r="K125" s="66" t="s">
        <v>322</v>
      </c>
      <c r="L125" s="66" t="s">
        <v>238</v>
      </c>
      <c r="M125" s="66" t="s">
        <v>264</v>
      </c>
      <c r="N125" s="66" t="s">
        <v>267</v>
      </c>
      <c r="O125" s="66" t="s">
        <v>809</v>
      </c>
      <c r="P125" s="66" t="s">
        <v>261</v>
      </c>
      <c r="Q125" s="66" t="s">
        <v>276</v>
      </c>
      <c r="R125" s="66" t="s">
        <v>305</v>
      </c>
    </row>
    <row r="126" spans="1:18" s="67" customFormat="1">
      <c r="A126" s="66" t="str">
        <f>VLOOKUP(C126,classifications!C:F,4,FALSE)</f>
        <v>UA</v>
      </c>
      <c r="B126" s="66" t="s">
        <v>555</v>
      </c>
      <c r="C126" s="68" t="s">
        <v>295</v>
      </c>
      <c r="D126" s="66" t="s">
        <v>292</v>
      </c>
      <c r="E126" s="66" t="s">
        <v>290</v>
      </c>
      <c r="F126" s="66" t="s">
        <v>227</v>
      </c>
      <c r="G126" s="66" t="s">
        <v>226</v>
      </c>
      <c r="H126" s="66" t="s">
        <v>813</v>
      </c>
      <c r="I126" s="66" t="s">
        <v>273</v>
      </c>
      <c r="J126" s="66" t="s">
        <v>812</v>
      </c>
      <c r="K126" s="66" t="s">
        <v>299</v>
      </c>
      <c r="L126" s="66" t="s">
        <v>249</v>
      </c>
      <c r="M126" s="66" t="s">
        <v>277</v>
      </c>
      <c r="N126" s="66" t="s">
        <v>264</v>
      </c>
      <c r="O126" s="66" t="s">
        <v>252</v>
      </c>
      <c r="P126" s="66" t="s">
        <v>232</v>
      </c>
      <c r="Q126" s="66" t="s">
        <v>253</v>
      </c>
      <c r="R126" s="66" t="s">
        <v>224</v>
      </c>
    </row>
    <row r="127" spans="1:18" s="67" customFormat="1">
      <c r="A127" s="66" t="str">
        <f>VLOOKUP(C127,classifications!C:F,4,FALSE)</f>
        <v>UA</v>
      </c>
      <c r="B127" s="66" t="s">
        <v>556</v>
      </c>
      <c r="C127" s="68" t="s">
        <v>296</v>
      </c>
      <c r="D127" s="66" t="s">
        <v>303</v>
      </c>
      <c r="E127" s="66" t="s">
        <v>263</v>
      </c>
      <c r="F127" s="66" t="s">
        <v>298</v>
      </c>
      <c r="G127" s="66" t="s">
        <v>814</v>
      </c>
      <c r="H127" s="66" t="s">
        <v>259</v>
      </c>
      <c r="I127" s="66" t="s">
        <v>258</v>
      </c>
      <c r="J127" s="66" t="s">
        <v>297</v>
      </c>
      <c r="K127" s="66" t="s">
        <v>246</v>
      </c>
      <c r="L127" s="66" t="s">
        <v>287</v>
      </c>
      <c r="M127" s="66" t="s">
        <v>304</v>
      </c>
      <c r="N127" s="66" t="s">
        <v>812</v>
      </c>
      <c r="O127" s="66" t="s">
        <v>275</v>
      </c>
      <c r="P127" s="66" t="s">
        <v>252</v>
      </c>
      <c r="Q127" s="66" t="s">
        <v>292</v>
      </c>
      <c r="R127" s="66" t="s">
        <v>295</v>
      </c>
    </row>
    <row r="128" spans="1:18" s="67" customFormat="1">
      <c r="A128" s="66" t="str">
        <f>VLOOKUP(C128,classifications!C:F,4,FALSE)</f>
        <v>UA</v>
      </c>
      <c r="B128" s="66" t="s">
        <v>557</v>
      </c>
      <c r="C128" s="68" t="s">
        <v>812</v>
      </c>
      <c r="D128" s="66" t="s">
        <v>304</v>
      </c>
      <c r="E128" s="66" t="s">
        <v>325</v>
      </c>
      <c r="F128" s="66" t="s">
        <v>299</v>
      </c>
      <c r="G128" s="66" t="s">
        <v>295</v>
      </c>
      <c r="H128" s="66" t="s">
        <v>258</v>
      </c>
      <c r="I128" s="66" t="s">
        <v>249</v>
      </c>
      <c r="J128" s="66" t="s">
        <v>246</v>
      </c>
      <c r="K128" s="66" t="s">
        <v>297</v>
      </c>
      <c r="L128" s="66" t="s">
        <v>816</v>
      </c>
      <c r="M128" s="66" t="s">
        <v>303</v>
      </c>
      <c r="N128" s="66" t="s">
        <v>267</v>
      </c>
      <c r="O128" s="66" t="s">
        <v>277</v>
      </c>
      <c r="P128" s="66" t="s">
        <v>259</v>
      </c>
      <c r="Q128" s="66" t="s">
        <v>322</v>
      </c>
      <c r="R128" s="66" t="s">
        <v>227</v>
      </c>
    </row>
    <row r="129" spans="1:18" s="67" customFormat="1">
      <c r="A129" s="66" t="str">
        <f>VLOOKUP(C129,classifications!C:F,4,FALSE)</f>
        <v>UA</v>
      </c>
      <c r="B129" s="66" t="s">
        <v>558</v>
      </c>
      <c r="C129" s="68" t="s">
        <v>297</v>
      </c>
      <c r="D129" s="66" t="s">
        <v>304</v>
      </c>
      <c r="E129" s="66" t="s">
        <v>303</v>
      </c>
      <c r="F129" s="66" t="s">
        <v>325</v>
      </c>
      <c r="G129" s="66" t="s">
        <v>816</v>
      </c>
      <c r="H129" s="66" t="s">
        <v>812</v>
      </c>
      <c r="I129" s="66" t="s">
        <v>258</v>
      </c>
      <c r="J129" s="66" t="s">
        <v>278</v>
      </c>
      <c r="K129" s="66" t="s">
        <v>259</v>
      </c>
      <c r="L129" s="66" t="s">
        <v>246</v>
      </c>
      <c r="M129" s="66" t="s">
        <v>249</v>
      </c>
      <c r="N129" s="66" t="s">
        <v>267</v>
      </c>
      <c r="O129" s="66" t="s">
        <v>285</v>
      </c>
      <c r="P129" s="66" t="s">
        <v>305</v>
      </c>
      <c r="Q129" s="66" t="s">
        <v>296</v>
      </c>
      <c r="R129" s="66" t="s">
        <v>287</v>
      </c>
    </row>
    <row r="130" spans="1:18" s="67" customFormat="1">
      <c r="A130" s="66" t="str">
        <f>VLOOKUP(C130,classifications!C:F,4,FALSE)</f>
        <v>UA</v>
      </c>
      <c r="B130" s="66" t="s">
        <v>559</v>
      </c>
      <c r="C130" s="68" t="s">
        <v>814</v>
      </c>
      <c r="D130" s="66" t="s">
        <v>298</v>
      </c>
      <c r="E130" s="66" t="s">
        <v>296</v>
      </c>
      <c r="F130" s="66" t="s">
        <v>263</v>
      </c>
      <c r="G130" s="66" t="s">
        <v>303</v>
      </c>
      <c r="H130" s="66" t="s">
        <v>258</v>
      </c>
      <c r="I130" s="66" t="s">
        <v>246</v>
      </c>
      <c r="J130" s="66" t="s">
        <v>259</v>
      </c>
      <c r="K130" s="66" t="s">
        <v>297</v>
      </c>
      <c r="L130" s="66" t="s">
        <v>304</v>
      </c>
      <c r="M130" s="66" t="s">
        <v>285</v>
      </c>
      <c r="N130" s="66" t="s">
        <v>278</v>
      </c>
      <c r="O130" s="66" t="s">
        <v>812</v>
      </c>
      <c r="P130" s="66" t="s">
        <v>287</v>
      </c>
      <c r="Q130" s="66" t="s">
        <v>252</v>
      </c>
      <c r="R130" s="66" t="s">
        <v>816</v>
      </c>
    </row>
    <row r="131" spans="1:18" s="67" customFormat="1">
      <c r="A131" s="66" t="str">
        <f>VLOOKUP(C131,classifications!C:F,4,FALSE)</f>
        <v>UA</v>
      </c>
      <c r="B131" s="66" t="s">
        <v>560</v>
      </c>
      <c r="C131" s="68" t="s">
        <v>298</v>
      </c>
      <c r="D131" s="66" t="s">
        <v>814</v>
      </c>
      <c r="E131" s="66" t="s">
        <v>296</v>
      </c>
      <c r="F131" s="66" t="s">
        <v>263</v>
      </c>
      <c r="G131" s="66" t="s">
        <v>303</v>
      </c>
      <c r="H131" s="66" t="s">
        <v>258</v>
      </c>
      <c r="I131" s="66" t="s">
        <v>297</v>
      </c>
      <c r="J131" s="66" t="s">
        <v>304</v>
      </c>
      <c r="K131" s="66" t="s">
        <v>246</v>
      </c>
      <c r="L131" s="66" t="s">
        <v>259</v>
      </c>
      <c r="M131" s="66" t="s">
        <v>287</v>
      </c>
      <c r="N131" s="66" t="s">
        <v>285</v>
      </c>
      <c r="O131" s="66" t="s">
        <v>278</v>
      </c>
      <c r="P131" s="66" t="s">
        <v>249</v>
      </c>
      <c r="Q131" s="66" t="s">
        <v>812</v>
      </c>
      <c r="R131" s="66" t="s">
        <v>816</v>
      </c>
    </row>
    <row r="132" spans="1:18">
      <c r="A132" s="66" t="str">
        <f>VLOOKUP(C132,classifications!C:F,4,FALSE)</f>
        <v>UA</v>
      </c>
      <c r="B132" s="66" t="s">
        <v>561</v>
      </c>
      <c r="C132" s="68" t="s">
        <v>813</v>
      </c>
      <c r="D132" s="66" t="s">
        <v>290</v>
      </c>
      <c r="E132" s="66" t="s">
        <v>224</v>
      </c>
      <c r="F132" s="66" t="s">
        <v>268</v>
      </c>
      <c r="G132" s="66" t="s">
        <v>240</v>
      </c>
      <c r="H132" s="66" t="s">
        <v>241</v>
      </c>
      <c r="I132" s="66" t="s">
        <v>227</v>
      </c>
      <c r="J132" s="66" t="s">
        <v>273</v>
      </c>
      <c r="K132" s="66" t="s">
        <v>253</v>
      </c>
      <c r="L132" s="66" t="s">
        <v>226</v>
      </c>
      <c r="M132" s="66" t="s">
        <v>255</v>
      </c>
      <c r="N132" s="66" t="s">
        <v>265</v>
      </c>
      <c r="O132" s="66" t="s">
        <v>295</v>
      </c>
      <c r="P132" s="66" t="s">
        <v>248</v>
      </c>
      <c r="Q132" s="66" t="s">
        <v>251</v>
      </c>
      <c r="R132" s="66" t="s">
        <v>232</v>
      </c>
    </row>
    <row r="133" spans="1:18" s="67" customFormat="1">
      <c r="A133" s="66" t="str">
        <f>VLOOKUP(C133,classifications!C:F,4,FALSE)</f>
        <v>UA</v>
      </c>
      <c r="B133" s="66" t="s">
        <v>562</v>
      </c>
      <c r="C133" s="68" t="s">
        <v>299</v>
      </c>
      <c r="D133" s="66" t="s">
        <v>812</v>
      </c>
      <c r="E133" s="66" t="s">
        <v>249</v>
      </c>
      <c r="F133" s="66" t="s">
        <v>295</v>
      </c>
      <c r="G133" s="66" t="s">
        <v>258</v>
      </c>
      <c r="H133" s="66" t="s">
        <v>246</v>
      </c>
      <c r="I133" s="66" t="s">
        <v>292</v>
      </c>
      <c r="J133" s="66" t="s">
        <v>304</v>
      </c>
      <c r="K133" s="66" t="s">
        <v>252</v>
      </c>
      <c r="L133" s="66" t="s">
        <v>287</v>
      </c>
      <c r="M133" s="66" t="s">
        <v>325</v>
      </c>
      <c r="N133" s="66" t="s">
        <v>259</v>
      </c>
      <c r="O133" s="66" t="s">
        <v>227</v>
      </c>
      <c r="P133" s="66" t="s">
        <v>277</v>
      </c>
      <c r="Q133" s="66" t="s">
        <v>264</v>
      </c>
      <c r="R133" s="66" t="s">
        <v>282</v>
      </c>
    </row>
    <row r="134" spans="1:18" s="67" customFormat="1">
      <c r="A134" s="66"/>
      <c r="B134" s="66"/>
      <c r="C134" s="66"/>
      <c r="D134" s="66"/>
      <c r="E134" s="66"/>
      <c r="F134" s="66"/>
      <c r="G134" s="66"/>
      <c r="H134" s="66"/>
      <c r="I134" s="66"/>
      <c r="J134" s="66"/>
      <c r="K134" s="66"/>
      <c r="L134" s="66"/>
      <c r="M134" s="66"/>
      <c r="N134" s="66"/>
      <c r="O134" s="66"/>
      <c r="P134" s="66"/>
      <c r="Q134" s="66"/>
      <c r="R134" s="66"/>
    </row>
    <row r="135" spans="1:18" s="67" customFormat="1">
      <c r="A135" s="66"/>
      <c r="B135" s="65" t="s">
        <v>415</v>
      </c>
      <c r="C135" s="66"/>
      <c r="D135" s="66"/>
      <c r="E135" s="66"/>
      <c r="F135" s="66"/>
      <c r="G135" s="66"/>
      <c r="H135" s="66"/>
      <c r="I135" s="66"/>
      <c r="J135" s="66"/>
      <c r="K135" s="66"/>
      <c r="L135" s="66"/>
      <c r="M135" s="66"/>
      <c r="N135" s="66"/>
      <c r="O135" s="66"/>
      <c r="P135" s="66"/>
      <c r="Q135" s="66"/>
      <c r="R135" s="66"/>
    </row>
    <row r="136" spans="1:18" s="67" customFormat="1">
      <c r="A136" s="66" t="str">
        <f>VLOOKUP(C136,classifications!C:F,4,FALSE)</f>
        <v>SC</v>
      </c>
      <c r="B136" s="66" t="s">
        <v>563</v>
      </c>
      <c r="C136" s="66" t="s">
        <v>300</v>
      </c>
      <c r="D136" s="66" t="s">
        <v>324</v>
      </c>
      <c r="E136" s="66" t="s">
        <v>329</v>
      </c>
      <c r="F136" s="66" t="s">
        <v>302</v>
      </c>
      <c r="G136" s="66" t="s">
        <v>313</v>
      </c>
      <c r="H136" s="66" t="s">
        <v>312</v>
      </c>
      <c r="I136" s="66" t="s">
        <v>330</v>
      </c>
      <c r="J136" s="66" t="s">
        <v>314</v>
      </c>
      <c r="K136" s="66" t="s">
        <v>317</v>
      </c>
      <c r="L136" s="66" t="s">
        <v>331</v>
      </c>
      <c r="M136" s="66" t="s">
        <v>320</v>
      </c>
      <c r="N136" s="66" t="s">
        <v>332</v>
      </c>
      <c r="O136" s="66" t="s">
        <v>326</v>
      </c>
      <c r="P136" s="66" t="s">
        <v>311</v>
      </c>
      <c r="Q136" s="66" t="s">
        <v>328</v>
      </c>
      <c r="R136" s="66" t="s">
        <v>321</v>
      </c>
    </row>
    <row r="137" spans="1:18" s="67" customFormat="1">
      <c r="A137" s="66" t="str">
        <f>VLOOKUP(C137,classifications!C:F,4,FALSE)</f>
        <v>SC</v>
      </c>
      <c r="B137" s="66" t="s">
        <v>564</v>
      </c>
      <c r="C137" s="66" t="s">
        <v>302</v>
      </c>
      <c r="D137" s="66" t="s">
        <v>324</v>
      </c>
      <c r="E137" s="66" t="s">
        <v>330</v>
      </c>
      <c r="F137" s="66" t="s">
        <v>312</v>
      </c>
      <c r="G137" s="66" t="s">
        <v>317</v>
      </c>
      <c r="H137" s="66" t="s">
        <v>328</v>
      </c>
      <c r="I137" s="66" t="s">
        <v>332</v>
      </c>
      <c r="J137" s="66" t="s">
        <v>300</v>
      </c>
      <c r="K137" s="66" t="s">
        <v>313</v>
      </c>
      <c r="L137" s="66" t="s">
        <v>321</v>
      </c>
      <c r="M137" s="66" t="s">
        <v>326</v>
      </c>
      <c r="N137" s="66" t="s">
        <v>327</v>
      </c>
      <c r="O137" s="66" t="s">
        <v>311</v>
      </c>
      <c r="P137" s="66" t="s">
        <v>320</v>
      </c>
      <c r="Q137" s="66" t="s">
        <v>314</v>
      </c>
      <c r="R137" s="66" t="s">
        <v>331</v>
      </c>
    </row>
    <row r="138" spans="1:18" s="67" customFormat="1">
      <c r="A138" s="66" t="str">
        <f>VLOOKUP(C138,classifications!C:F,4,FALSE)</f>
        <v>SC</v>
      </c>
      <c r="B138" s="66" t="s">
        <v>565</v>
      </c>
      <c r="C138" s="66" t="s">
        <v>306</v>
      </c>
      <c r="D138" s="66" t="s">
        <v>307</v>
      </c>
      <c r="E138" s="66" t="s">
        <v>320</v>
      </c>
      <c r="F138" s="66" t="s">
        <v>318</v>
      </c>
      <c r="G138" s="66" t="s">
        <v>327</v>
      </c>
      <c r="H138" s="66" t="s">
        <v>323</v>
      </c>
      <c r="I138" s="66" t="s">
        <v>328</v>
      </c>
      <c r="J138" s="66" t="s">
        <v>332</v>
      </c>
      <c r="K138" s="66" t="s">
        <v>319</v>
      </c>
      <c r="L138" s="66" t="s">
        <v>326</v>
      </c>
      <c r="M138" s="66" t="s">
        <v>330</v>
      </c>
      <c r="N138" s="66" t="s">
        <v>312</v>
      </c>
      <c r="O138" s="66" t="s">
        <v>308</v>
      </c>
      <c r="P138" s="66" t="s">
        <v>316</v>
      </c>
      <c r="Q138" s="66" t="s">
        <v>317</v>
      </c>
      <c r="R138" s="66" t="s">
        <v>309</v>
      </c>
    </row>
    <row r="139" spans="1:18" s="67" customFormat="1">
      <c r="A139" s="66" t="str">
        <f>VLOOKUP(C139,classifications!C:F,4,FALSE)</f>
        <v>SC</v>
      </c>
      <c r="B139" s="66" t="s">
        <v>566</v>
      </c>
      <c r="C139" s="68" t="s">
        <v>307</v>
      </c>
      <c r="D139" s="66" t="s">
        <v>323</v>
      </c>
      <c r="E139" s="66" t="s">
        <v>327</v>
      </c>
      <c r="F139" s="66" t="s">
        <v>332</v>
      </c>
      <c r="G139" s="66" t="s">
        <v>328</v>
      </c>
      <c r="H139" s="66" t="s">
        <v>306</v>
      </c>
      <c r="I139" s="66" t="s">
        <v>318</v>
      </c>
      <c r="J139" s="66" t="s">
        <v>330</v>
      </c>
      <c r="K139" s="66" t="s">
        <v>319</v>
      </c>
      <c r="L139" s="66" t="s">
        <v>316</v>
      </c>
      <c r="M139" s="66" t="s">
        <v>312</v>
      </c>
      <c r="N139" s="66" t="s">
        <v>321</v>
      </c>
      <c r="O139" s="66" t="s">
        <v>326</v>
      </c>
      <c r="P139" s="66" t="s">
        <v>317</v>
      </c>
      <c r="Q139" s="66" t="s">
        <v>320</v>
      </c>
      <c r="R139" s="66" t="s">
        <v>311</v>
      </c>
    </row>
    <row r="140" spans="1:18" s="67" customFormat="1">
      <c r="A140" s="66" t="str">
        <f>VLOOKUP(C140,classifications!C:F,4,FALSE)</f>
        <v>SC</v>
      </c>
      <c r="B140" s="66" t="s">
        <v>567</v>
      </c>
      <c r="C140" s="66" t="s">
        <v>308</v>
      </c>
      <c r="D140" s="66" t="s">
        <v>320</v>
      </c>
      <c r="E140" s="66" t="s">
        <v>310</v>
      </c>
      <c r="F140" s="66" t="s">
        <v>309</v>
      </c>
      <c r="G140" s="66" t="s">
        <v>326</v>
      </c>
      <c r="H140" s="66" t="s">
        <v>312</v>
      </c>
      <c r="I140" s="66" t="s">
        <v>331</v>
      </c>
      <c r="J140" s="66" t="s">
        <v>306</v>
      </c>
      <c r="K140" s="66" t="s">
        <v>332</v>
      </c>
      <c r="L140" s="66" t="s">
        <v>328</v>
      </c>
      <c r="M140" s="66" t="s">
        <v>330</v>
      </c>
      <c r="N140" s="66" t="s">
        <v>318</v>
      </c>
      <c r="O140" s="66" t="s">
        <v>319</v>
      </c>
      <c r="P140" s="66" t="s">
        <v>311</v>
      </c>
      <c r="Q140" s="66" t="s">
        <v>317</v>
      </c>
      <c r="R140" s="66" t="s">
        <v>313</v>
      </c>
    </row>
    <row r="141" spans="1:18" s="67" customFormat="1">
      <c r="A141" s="66" t="str">
        <f>VLOOKUP(C141,classifications!C:F,4,FALSE)</f>
        <v>SC</v>
      </c>
      <c r="B141" s="66" t="s">
        <v>568</v>
      </c>
      <c r="C141" s="66" t="s">
        <v>309</v>
      </c>
      <c r="D141" s="66" t="s">
        <v>308</v>
      </c>
      <c r="E141" s="66" t="s">
        <v>326</v>
      </c>
      <c r="F141" s="66" t="s">
        <v>320</v>
      </c>
      <c r="G141" s="66" t="s">
        <v>312</v>
      </c>
      <c r="H141" s="66" t="s">
        <v>310</v>
      </c>
      <c r="I141" s="66" t="s">
        <v>328</v>
      </c>
      <c r="J141" s="66" t="s">
        <v>331</v>
      </c>
      <c r="K141" s="66" t="s">
        <v>332</v>
      </c>
      <c r="L141" s="66" t="s">
        <v>319</v>
      </c>
      <c r="M141" s="66" t="s">
        <v>306</v>
      </c>
      <c r="N141" s="66" t="s">
        <v>330</v>
      </c>
      <c r="O141" s="66" t="s">
        <v>317</v>
      </c>
      <c r="P141" s="66" t="s">
        <v>313</v>
      </c>
      <c r="Q141" s="66" t="s">
        <v>318</v>
      </c>
      <c r="R141" s="66" t="s">
        <v>300</v>
      </c>
    </row>
    <row r="142" spans="1:18" s="67" customFormat="1">
      <c r="A142" s="66" t="str">
        <f>VLOOKUP(C142,classifications!C:F,4,FALSE)</f>
        <v>SC</v>
      </c>
      <c r="B142" s="66" t="s">
        <v>569</v>
      </c>
      <c r="C142" s="66" t="s">
        <v>310</v>
      </c>
      <c r="D142" s="66" t="s">
        <v>331</v>
      </c>
      <c r="E142" s="66" t="s">
        <v>308</v>
      </c>
      <c r="F142" s="66" t="s">
        <v>312</v>
      </c>
      <c r="G142" s="66" t="s">
        <v>332</v>
      </c>
      <c r="H142" s="66" t="s">
        <v>326</v>
      </c>
      <c r="I142" s="66" t="s">
        <v>309</v>
      </c>
      <c r="J142" s="66" t="s">
        <v>328</v>
      </c>
      <c r="K142" s="66" t="s">
        <v>315</v>
      </c>
      <c r="L142" s="66" t="s">
        <v>311</v>
      </c>
      <c r="M142" s="66" t="s">
        <v>330</v>
      </c>
      <c r="N142" s="66" t="s">
        <v>320</v>
      </c>
      <c r="O142" s="66" t="s">
        <v>319</v>
      </c>
      <c r="P142" s="66" t="s">
        <v>313</v>
      </c>
      <c r="Q142" s="66" t="s">
        <v>318</v>
      </c>
      <c r="R142" s="66" t="s">
        <v>306</v>
      </c>
    </row>
    <row r="143" spans="1:18" s="67" customFormat="1">
      <c r="A143" s="66" t="str">
        <f>VLOOKUP(C143,classifications!C:F,4,FALSE)</f>
        <v>SC</v>
      </c>
      <c r="B143" s="66" t="s">
        <v>570</v>
      </c>
      <c r="C143" s="66" t="s">
        <v>311</v>
      </c>
      <c r="D143" s="66" t="s">
        <v>315</v>
      </c>
      <c r="E143" s="66" t="s">
        <v>313</v>
      </c>
      <c r="F143" s="66" t="s">
        <v>331</v>
      </c>
      <c r="G143" s="66" t="s">
        <v>330</v>
      </c>
      <c r="H143" s="66" t="s">
        <v>332</v>
      </c>
      <c r="I143" s="66" t="s">
        <v>312</v>
      </c>
      <c r="J143" s="66" t="s">
        <v>327</v>
      </c>
      <c r="K143" s="66" t="s">
        <v>328</v>
      </c>
      <c r="L143" s="66" t="s">
        <v>321</v>
      </c>
      <c r="M143" s="66" t="s">
        <v>323</v>
      </c>
      <c r="N143" s="66" t="s">
        <v>316</v>
      </c>
      <c r="O143" s="66" t="s">
        <v>307</v>
      </c>
      <c r="P143" s="66" t="s">
        <v>314</v>
      </c>
      <c r="Q143" s="66" t="s">
        <v>310</v>
      </c>
      <c r="R143" s="66" t="s">
        <v>308</v>
      </c>
    </row>
    <row r="144" spans="1:18" s="67" customFormat="1">
      <c r="A144" s="66" t="str">
        <f>VLOOKUP(C144,classifications!C:F,4,FALSE)</f>
        <v>SC</v>
      </c>
      <c r="B144" s="66" t="s">
        <v>571</v>
      </c>
      <c r="C144" s="66" t="s">
        <v>312</v>
      </c>
      <c r="D144" s="66" t="s">
        <v>330</v>
      </c>
      <c r="E144" s="66" t="s">
        <v>332</v>
      </c>
      <c r="F144" s="66" t="s">
        <v>328</v>
      </c>
      <c r="G144" s="66" t="s">
        <v>326</v>
      </c>
      <c r="H144" s="66" t="s">
        <v>320</v>
      </c>
      <c r="I144" s="66" t="s">
        <v>317</v>
      </c>
      <c r="J144" s="66" t="s">
        <v>327</v>
      </c>
      <c r="K144" s="66" t="s">
        <v>300</v>
      </c>
      <c r="L144" s="66" t="s">
        <v>331</v>
      </c>
      <c r="M144" s="66" t="s">
        <v>324</v>
      </c>
      <c r="N144" s="66" t="s">
        <v>308</v>
      </c>
      <c r="O144" s="66" t="s">
        <v>323</v>
      </c>
      <c r="P144" s="66" t="s">
        <v>311</v>
      </c>
      <c r="Q144" s="66" t="s">
        <v>307</v>
      </c>
      <c r="R144" s="66" t="s">
        <v>313</v>
      </c>
    </row>
    <row r="145" spans="1:18" s="67" customFormat="1">
      <c r="A145" s="66" t="str">
        <f>VLOOKUP(C145,classifications!C:F,4,FALSE)</f>
        <v>SC</v>
      </c>
      <c r="B145" s="66" t="s">
        <v>572</v>
      </c>
      <c r="C145" s="66" t="s">
        <v>313</v>
      </c>
      <c r="D145" s="66" t="s">
        <v>311</v>
      </c>
      <c r="E145" s="66" t="s">
        <v>331</v>
      </c>
      <c r="F145" s="66" t="s">
        <v>315</v>
      </c>
      <c r="G145" s="66" t="s">
        <v>312</v>
      </c>
      <c r="H145" s="66" t="s">
        <v>330</v>
      </c>
      <c r="I145" s="66" t="s">
        <v>324</v>
      </c>
      <c r="J145" s="66" t="s">
        <v>300</v>
      </c>
      <c r="K145" s="66" t="s">
        <v>332</v>
      </c>
      <c r="L145" s="66" t="s">
        <v>317</v>
      </c>
      <c r="M145" s="66" t="s">
        <v>314</v>
      </c>
      <c r="N145" s="66" t="s">
        <v>327</v>
      </c>
      <c r="O145" s="66" t="s">
        <v>328</v>
      </c>
      <c r="P145" s="66" t="s">
        <v>308</v>
      </c>
      <c r="Q145" s="66" t="s">
        <v>302</v>
      </c>
      <c r="R145" s="66" t="s">
        <v>329</v>
      </c>
    </row>
    <row r="146" spans="1:18" s="67" customFormat="1">
      <c r="A146" s="66" t="str">
        <f>VLOOKUP(C146,classifications!C:F,4,FALSE)</f>
        <v>SC</v>
      </c>
      <c r="B146" s="66" t="s">
        <v>573</v>
      </c>
      <c r="C146" s="66" t="s">
        <v>332</v>
      </c>
      <c r="D146" s="66" t="s">
        <v>330</v>
      </c>
      <c r="E146" s="66" t="s">
        <v>312</v>
      </c>
      <c r="F146" s="66" t="s">
        <v>328</v>
      </c>
      <c r="G146" s="66" t="s">
        <v>327</v>
      </c>
      <c r="H146" s="66" t="s">
        <v>307</v>
      </c>
      <c r="I146" s="66" t="s">
        <v>323</v>
      </c>
      <c r="J146" s="66" t="s">
        <v>326</v>
      </c>
      <c r="K146" s="66" t="s">
        <v>319</v>
      </c>
      <c r="L146" s="66" t="s">
        <v>320</v>
      </c>
      <c r="M146" s="66" t="s">
        <v>306</v>
      </c>
      <c r="N146" s="66" t="s">
        <v>317</v>
      </c>
      <c r="O146" s="66" t="s">
        <v>311</v>
      </c>
      <c r="P146" s="66" t="s">
        <v>321</v>
      </c>
      <c r="Q146" s="66" t="s">
        <v>318</v>
      </c>
      <c r="R146" s="66" t="s">
        <v>300</v>
      </c>
    </row>
    <row r="147" spans="1:18" s="67" customFormat="1">
      <c r="A147" s="66" t="str">
        <f>VLOOKUP(C147,classifications!C:F,4,FALSE)</f>
        <v>SC</v>
      </c>
      <c r="B147" s="66" t="s">
        <v>574</v>
      </c>
      <c r="C147" s="66" t="s">
        <v>314</v>
      </c>
      <c r="D147" s="66" t="s">
        <v>324</v>
      </c>
      <c r="E147" s="66" t="s">
        <v>313</v>
      </c>
      <c r="F147" s="66" t="s">
        <v>311</v>
      </c>
      <c r="G147" s="66" t="s">
        <v>315</v>
      </c>
      <c r="H147" s="66" t="s">
        <v>329</v>
      </c>
      <c r="I147" s="66" t="s">
        <v>331</v>
      </c>
      <c r="J147" s="66" t="s">
        <v>300</v>
      </c>
      <c r="K147" s="66" t="s">
        <v>321</v>
      </c>
      <c r="L147" s="66" t="s">
        <v>330</v>
      </c>
      <c r="M147" s="66" t="s">
        <v>302</v>
      </c>
      <c r="N147" s="66" t="s">
        <v>312</v>
      </c>
      <c r="O147" s="66" t="s">
        <v>332</v>
      </c>
      <c r="P147" s="66" t="s">
        <v>327</v>
      </c>
      <c r="Q147" s="66" t="s">
        <v>328</v>
      </c>
      <c r="R147" s="66" t="s">
        <v>323</v>
      </c>
    </row>
    <row r="148" spans="1:18" s="67" customFormat="1">
      <c r="A148" s="66" t="str">
        <f>VLOOKUP(C148,classifications!C:F,4,FALSE)</f>
        <v>SC</v>
      </c>
      <c r="B148" s="66" t="s">
        <v>575</v>
      </c>
      <c r="C148" s="66" t="s">
        <v>315</v>
      </c>
      <c r="D148" s="66" t="s">
        <v>311</v>
      </c>
      <c r="E148" s="66" t="s">
        <v>313</v>
      </c>
      <c r="F148" s="66" t="s">
        <v>331</v>
      </c>
      <c r="G148" s="66" t="s">
        <v>312</v>
      </c>
      <c r="H148" s="66" t="s">
        <v>332</v>
      </c>
      <c r="I148" s="66" t="s">
        <v>330</v>
      </c>
      <c r="J148" s="66" t="s">
        <v>321</v>
      </c>
      <c r="K148" s="66" t="s">
        <v>316</v>
      </c>
      <c r="L148" s="66" t="s">
        <v>328</v>
      </c>
      <c r="M148" s="66" t="s">
        <v>327</v>
      </c>
      <c r="N148" s="66" t="s">
        <v>323</v>
      </c>
      <c r="O148" s="66" t="s">
        <v>310</v>
      </c>
      <c r="P148" s="66" t="s">
        <v>314</v>
      </c>
      <c r="Q148" s="66" t="s">
        <v>307</v>
      </c>
      <c r="R148" s="66" t="s">
        <v>318</v>
      </c>
    </row>
    <row r="149" spans="1:18" s="67" customFormat="1">
      <c r="A149" s="66" t="str">
        <f>VLOOKUP(C149,classifications!C:F,4,FALSE)</f>
        <v>SC</v>
      </c>
      <c r="B149" s="66" t="s">
        <v>576</v>
      </c>
      <c r="C149" s="66" t="s">
        <v>316</v>
      </c>
      <c r="D149" s="66" t="s">
        <v>323</v>
      </c>
      <c r="E149" s="66" t="s">
        <v>327</v>
      </c>
      <c r="F149" s="66" t="s">
        <v>307</v>
      </c>
      <c r="G149" s="66" t="s">
        <v>306</v>
      </c>
      <c r="H149" s="66" t="s">
        <v>321</v>
      </c>
      <c r="I149" s="66" t="s">
        <v>315</v>
      </c>
      <c r="J149" s="66" t="s">
        <v>330</v>
      </c>
      <c r="K149" s="66" t="s">
        <v>332</v>
      </c>
      <c r="L149" s="66" t="s">
        <v>312</v>
      </c>
      <c r="M149" s="66" t="s">
        <v>311</v>
      </c>
      <c r="N149" s="66" t="s">
        <v>328</v>
      </c>
      <c r="O149" s="66" t="s">
        <v>318</v>
      </c>
      <c r="P149" s="66" t="s">
        <v>319</v>
      </c>
      <c r="Q149" s="66" t="s">
        <v>317</v>
      </c>
      <c r="R149" s="66" t="s">
        <v>320</v>
      </c>
    </row>
    <row r="150" spans="1:18" s="67" customFormat="1">
      <c r="A150" s="66" t="str">
        <f>VLOOKUP(C150,classifications!C:F,4,FALSE)</f>
        <v>SC</v>
      </c>
      <c r="B150" s="66" t="s">
        <v>577</v>
      </c>
      <c r="C150" s="68" t="s">
        <v>317</v>
      </c>
      <c r="D150" s="66" t="s">
        <v>330</v>
      </c>
      <c r="E150" s="66" t="s">
        <v>312</v>
      </c>
      <c r="F150" s="66" t="s">
        <v>327</v>
      </c>
      <c r="G150" s="66" t="s">
        <v>320</v>
      </c>
      <c r="H150" s="66" t="s">
        <v>332</v>
      </c>
      <c r="I150" s="66" t="s">
        <v>323</v>
      </c>
      <c r="J150" s="66" t="s">
        <v>328</v>
      </c>
      <c r="K150" s="66" t="s">
        <v>300</v>
      </c>
      <c r="L150" s="66" t="s">
        <v>326</v>
      </c>
      <c r="M150" s="66" t="s">
        <v>307</v>
      </c>
      <c r="N150" s="66" t="s">
        <v>324</v>
      </c>
      <c r="O150" s="66" t="s">
        <v>313</v>
      </c>
      <c r="P150" s="66" t="s">
        <v>321</v>
      </c>
      <c r="Q150" s="66" t="s">
        <v>306</v>
      </c>
      <c r="R150" s="66" t="s">
        <v>308</v>
      </c>
    </row>
    <row r="151" spans="1:18" s="67" customFormat="1">
      <c r="A151" s="66" t="str">
        <f>VLOOKUP(C151,classifications!C:F,4,FALSE)</f>
        <v>SC</v>
      </c>
      <c r="B151" s="66" t="s">
        <v>578</v>
      </c>
      <c r="C151" s="66" t="s">
        <v>318</v>
      </c>
      <c r="D151" s="66" t="s">
        <v>319</v>
      </c>
      <c r="E151" s="66" t="s">
        <v>307</v>
      </c>
      <c r="F151" s="66" t="s">
        <v>328</v>
      </c>
      <c r="G151" s="66" t="s">
        <v>306</v>
      </c>
      <c r="H151" s="66" t="s">
        <v>323</v>
      </c>
      <c r="I151" s="66" t="s">
        <v>332</v>
      </c>
      <c r="J151" s="66" t="s">
        <v>327</v>
      </c>
      <c r="K151" s="66" t="s">
        <v>326</v>
      </c>
      <c r="L151" s="66" t="s">
        <v>330</v>
      </c>
      <c r="M151" s="66" t="s">
        <v>312</v>
      </c>
      <c r="N151" s="66" t="s">
        <v>308</v>
      </c>
      <c r="O151" s="66" t="s">
        <v>320</v>
      </c>
      <c r="P151" s="66" t="s">
        <v>316</v>
      </c>
      <c r="Q151" s="66" t="s">
        <v>317</v>
      </c>
      <c r="R151" s="66" t="s">
        <v>311</v>
      </c>
    </row>
    <row r="152" spans="1:18" s="67" customFormat="1">
      <c r="A152" s="66" t="str">
        <f>VLOOKUP(C152,classifications!C:F,4,FALSE)</f>
        <v>SC</v>
      </c>
      <c r="B152" s="66" t="s">
        <v>579</v>
      </c>
      <c r="C152" s="66" t="s">
        <v>319</v>
      </c>
      <c r="D152" s="66" t="s">
        <v>328</v>
      </c>
      <c r="E152" s="66" t="s">
        <v>318</v>
      </c>
      <c r="F152" s="66" t="s">
        <v>326</v>
      </c>
      <c r="G152" s="66" t="s">
        <v>307</v>
      </c>
      <c r="H152" s="66" t="s">
        <v>332</v>
      </c>
      <c r="I152" s="66" t="s">
        <v>306</v>
      </c>
      <c r="J152" s="66" t="s">
        <v>312</v>
      </c>
      <c r="K152" s="66" t="s">
        <v>323</v>
      </c>
      <c r="L152" s="66" t="s">
        <v>330</v>
      </c>
      <c r="M152" s="66" t="s">
        <v>327</v>
      </c>
      <c r="N152" s="66" t="s">
        <v>320</v>
      </c>
      <c r="O152" s="66" t="s">
        <v>308</v>
      </c>
      <c r="P152" s="66" t="s">
        <v>317</v>
      </c>
      <c r="Q152" s="66" t="s">
        <v>316</v>
      </c>
      <c r="R152" s="66" t="s">
        <v>310</v>
      </c>
    </row>
    <row r="153" spans="1:18" s="67" customFormat="1">
      <c r="A153" s="66" t="str">
        <f>VLOOKUP(C153,classifications!C:F,4,FALSE)</f>
        <v>SC</v>
      </c>
      <c r="B153" s="66" t="s">
        <v>580</v>
      </c>
      <c r="C153" s="68" t="s">
        <v>320</v>
      </c>
      <c r="D153" s="66" t="s">
        <v>326</v>
      </c>
      <c r="E153" s="66" t="s">
        <v>312</v>
      </c>
      <c r="F153" s="66" t="s">
        <v>308</v>
      </c>
      <c r="G153" s="66" t="s">
        <v>306</v>
      </c>
      <c r="H153" s="66" t="s">
        <v>330</v>
      </c>
      <c r="I153" s="66" t="s">
        <v>332</v>
      </c>
      <c r="J153" s="66" t="s">
        <v>317</v>
      </c>
      <c r="K153" s="66" t="s">
        <v>309</v>
      </c>
      <c r="L153" s="66" t="s">
        <v>328</v>
      </c>
      <c r="M153" s="66" t="s">
        <v>319</v>
      </c>
      <c r="N153" s="66" t="s">
        <v>327</v>
      </c>
      <c r="O153" s="66" t="s">
        <v>307</v>
      </c>
      <c r="P153" s="66" t="s">
        <v>318</v>
      </c>
      <c r="Q153" s="66" t="s">
        <v>331</v>
      </c>
      <c r="R153" s="66" t="s">
        <v>310</v>
      </c>
    </row>
    <row r="154" spans="1:18" s="67" customFormat="1">
      <c r="A154" s="66" t="str">
        <f>VLOOKUP(C154,classifications!C:F,4,FALSE)</f>
        <v>SC</v>
      </c>
      <c r="B154" s="66" t="s">
        <v>581</v>
      </c>
      <c r="C154" s="66" t="s">
        <v>321</v>
      </c>
      <c r="D154" s="66" t="s">
        <v>323</v>
      </c>
      <c r="E154" s="66" t="s">
        <v>330</v>
      </c>
      <c r="F154" s="66" t="s">
        <v>327</v>
      </c>
      <c r="G154" s="66" t="s">
        <v>332</v>
      </c>
      <c r="H154" s="66" t="s">
        <v>307</v>
      </c>
      <c r="I154" s="66" t="s">
        <v>328</v>
      </c>
      <c r="J154" s="66" t="s">
        <v>312</v>
      </c>
      <c r="K154" s="66" t="s">
        <v>315</v>
      </c>
      <c r="L154" s="66" t="s">
        <v>311</v>
      </c>
      <c r="M154" s="66" t="s">
        <v>316</v>
      </c>
      <c r="N154" s="66" t="s">
        <v>300</v>
      </c>
      <c r="O154" s="66" t="s">
        <v>317</v>
      </c>
      <c r="P154" s="66" t="s">
        <v>324</v>
      </c>
      <c r="Q154" s="66" t="s">
        <v>313</v>
      </c>
      <c r="R154" s="66" t="s">
        <v>314</v>
      </c>
    </row>
    <row r="155" spans="1:18" s="67" customFormat="1">
      <c r="A155" s="66" t="str">
        <f>VLOOKUP(C155,classifications!C:F,4,FALSE)</f>
        <v>SC</v>
      </c>
      <c r="B155" s="66" t="s">
        <v>582</v>
      </c>
      <c r="C155" s="66" t="s">
        <v>323</v>
      </c>
      <c r="D155" s="66" t="s">
        <v>327</v>
      </c>
      <c r="E155" s="66" t="s">
        <v>307</v>
      </c>
      <c r="F155" s="66" t="s">
        <v>330</v>
      </c>
      <c r="G155" s="66" t="s">
        <v>316</v>
      </c>
      <c r="H155" s="66" t="s">
        <v>332</v>
      </c>
      <c r="I155" s="66" t="s">
        <v>321</v>
      </c>
      <c r="J155" s="66" t="s">
        <v>328</v>
      </c>
      <c r="K155" s="66" t="s">
        <v>306</v>
      </c>
      <c r="L155" s="66" t="s">
        <v>318</v>
      </c>
      <c r="M155" s="66" t="s">
        <v>312</v>
      </c>
      <c r="N155" s="66" t="s">
        <v>317</v>
      </c>
      <c r="O155" s="66" t="s">
        <v>319</v>
      </c>
      <c r="P155" s="66" t="s">
        <v>311</v>
      </c>
      <c r="Q155" s="66" t="s">
        <v>315</v>
      </c>
      <c r="R155" s="66" t="s">
        <v>326</v>
      </c>
    </row>
    <row r="156" spans="1:18" s="67" customFormat="1">
      <c r="A156" s="66" t="str">
        <f>VLOOKUP(C156,classifications!C:F,4,FALSE)</f>
        <v>SC</v>
      </c>
      <c r="B156" s="66" t="s">
        <v>583</v>
      </c>
      <c r="C156" s="66" t="s">
        <v>324</v>
      </c>
      <c r="D156" s="66" t="s">
        <v>300</v>
      </c>
      <c r="E156" s="66" t="s">
        <v>302</v>
      </c>
      <c r="F156" s="66" t="s">
        <v>330</v>
      </c>
      <c r="G156" s="66" t="s">
        <v>312</v>
      </c>
      <c r="H156" s="66" t="s">
        <v>313</v>
      </c>
      <c r="I156" s="66" t="s">
        <v>314</v>
      </c>
      <c r="J156" s="66" t="s">
        <v>317</v>
      </c>
      <c r="K156" s="66" t="s">
        <v>332</v>
      </c>
      <c r="L156" s="66" t="s">
        <v>329</v>
      </c>
      <c r="M156" s="66" t="s">
        <v>321</v>
      </c>
      <c r="N156" s="66" t="s">
        <v>331</v>
      </c>
      <c r="O156" s="66" t="s">
        <v>311</v>
      </c>
      <c r="P156" s="66" t="s">
        <v>328</v>
      </c>
      <c r="Q156" s="66" t="s">
        <v>320</v>
      </c>
      <c r="R156" s="66" t="s">
        <v>326</v>
      </c>
    </row>
    <row r="157" spans="1:18" s="67" customFormat="1">
      <c r="A157" s="66" t="str">
        <f>VLOOKUP(C157,classifications!C:F,4,FALSE)</f>
        <v>SC</v>
      </c>
      <c r="B157" s="66" t="s">
        <v>584</v>
      </c>
      <c r="C157" s="66" t="s">
        <v>326</v>
      </c>
      <c r="D157" s="66" t="s">
        <v>328</v>
      </c>
      <c r="E157" s="66" t="s">
        <v>320</v>
      </c>
      <c r="F157" s="66" t="s">
        <v>312</v>
      </c>
      <c r="G157" s="66" t="s">
        <v>319</v>
      </c>
      <c r="H157" s="66" t="s">
        <v>332</v>
      </c>
      <c r="I157" s="66" t="s">
        <v>330</v>
      </c>
      <c r="J157" s="66" t="s">
        <v>308</v>
      </c>
      <c r="K157" s="66" t="s">
        <v>309</v>
      </c>
      <c r="L157" s="66" t="s">
        <v>306</v>
      </c>
      <c r="M157" s="66" t="s">
        <v>317</v>
      </c>
      <c r="N157" s="66" t="s">
        <v>307</v>
      </c>
      <c r="O157" s="66" t="s">
        <v>318</v>
      </c>
      <c r="P157" s="66" t="s">
        <v>327</v>
      </c>
      <c r="Q157" s="66" t="s">
        <v>300</v>
      </c>
      <c r="R157" s="66" t="s">
        <v>310</v>
      </c>
    </row>
    <row r="158" spans="1:18" s="67" customFormat="1">
      <c r="A158" s="66" t="str">
        <f>VLOOKUP(C158,classifications!C:F,4,FALSE)</f>
        <v>SC</v>
      </c>
      <c r="B158" s="66" t="s">
        <v>585</v>
      </c>
      <c r="C158" s="66" t="s">
        <v>327</v>
      </c>
      <c r="D158" s="66" t="s">
        <v>323</v>
      </c>
      <c r="E158" s="66" t="s">
        <v>307</v>
      </c>
      <c r="F158" s="66" t="s">
        <v>332</v>
      </c>
      <c r="G158" s="66" t="s">
        <v>330</v>
      </c>
      <c r="H158" s="66" t="s">
        <v>328</v>
      </c>
      <c r="I158" s="66" t="s">
        <v>312</v>
      </c>
      <c r="J158" s="66" t="s">
        <v>321</v>
      </c>
      <c r="K158" s="66" t="s">
        <v>306</v>
      </c>
      <c r="L158" s="66" t="s">
        <v>317</v>
      </c>
      <c r="M158" s="66" t="s">
        <v>316</v>
      </c>
      <c r="N158" s="66" t="s">
        <v>311</v>
      </c>
      <c r="O158" s="66" t="s">
        <v>318</v>
      </c>
      <c r="P158" s="66" t="s">
        <v>319</v>
      </c>
      <c r="Q158" s="66" t="s">
        <v>315</v>
      </c>
      <c r="R158" s="66" t="s">
        <v>326</v>
      </c>
    </row>
    <row r="159" spans="1:18" s="67" customFormat="1">
      <c r="A159" s="66" t="str">
        <f>VLOOKUP(C159,classifications!C:F,4,FALSE)</f>
        <v>SC</v>
      </c>
      <c r="B159" s="66" t="s">
        <v>586</v>
      </c>
      <c r="C159" s="66" t="s">
        <v>328</v>
      </c>
      <c r="D159" s="66" t="s">
        <v>332</v>
      </c>
      <c r="E159" s="66" t="s">
        <v>319</v>
      </c>
      <c r="F159" s="66" t="s">
        <v>312</v>
      </c>
      <c r="G159" s="66" t="s">
        <v>330</v>
      </c>
      <c r="H159" s="66" t="s">
        <v>326</v>
      </c>
      <c r="I159" s="66" t="s">
        <v>307</v>
      </c>
      <c r="J159" s="66" t="s">
        <v>327</v>
      </c>
      <c r="K159" s="66" t="s">
        <v>323</v>
      </c>
      <c r="L159" s="66" t="s">
        <v>318</v>
      </c>
      <c r="M159" s="66" t="s">
        <v>306</v>
      </c>
      <c r="N159" s="66" t="s">
        <v>320</v>
      </c>
      <c r="O159" s="66" t="s">
        <v>317</v>
      </c>
      <c r="P159" s="66" t="s">
        <v>321</v>
      </c>
      <c r="Q159" s="66" t="s">
        <v>311</v>
      </c>
      <c r="R159" s="66" t="s">
        <v>300</v>
      </c>
    </row>
    <row r="160" spans="1:18" s="67" customFormat="1">
      <c r="A160" s="66" t="str">
        <f>VLOOKUP(C160,classifications!C:F,4,FALSE)</f>
        <v>SC</v>
      </c>
      <c r="B160" s="66" t="s">
        <v>587</v>
      </c>
      <c r="C160" s="66" t="s">
        <v>329</v>
      </c>
      <c r="D160" s="66" t="s">
        <v>302</v>
      </c>
      <c r="E160" s="66" t="s">
        <v>324</v>
      </c>
      <c r="F160" s="66" t="s">
        <v>313</v>
      </c>
      <c r="G160" s="66" t="s">
        <v>314</v>
      </c>
      <c r="H160" s="66" t="s">
        <v>331</v>
      </c>
      <c r="I160" s="66" t="s">
        <v>300</v>
      </c>
      <c r="J160" s="66" t="s">
        <v>312</v>
      </c>
      <c r="K160" s="66" t="s">
        <v>311</v>
      </c>
      <c r="L160" s="66" t="s">
        <v>330</v>
      </c>
      <c r="M160" s="66" t="s">
        <v>320</v>
      </c>
      <c r="N160" s="66" t="s">
        <v>315</v>
      </c>
      <c r="O160" s="66" t="s">
        <v>317</v>
      </c>
      <c r="P160" s="66" t="s">
        <v>332</v>
      </c>
      <c r="Q160" s="66" t="s">
        <v>308</v>
      </c>
      <c r="R160" s="66" t="s">
        <v>310</v>
      </c>
    </row>
    <row r="161" spans="1:18">
      <c r="A161" s="66" t="str">
        <f>VLOOKUP(C161,classifications!C:F,4,FALSE)</f>
        <v>SC</v>
      </c>
      <c r="B161" s="66" t="s">
        <v>588</v>
      </c>
      <c r="C161" s="66" t="s">
        <v>330</v>
      </c>
      <c r="D161" s="66" t="s">
        <v>312</v>
      </c>
      <c r="E161" s="66" t="s">
        <v>332</v>
      </c>
      <c r="F161" s="66" t="s">
        <v>327</v>
      </c>
      <c r="G161" s="66" t="s">
        <v>328</v>
      </c>
      <c r="H161" s="66" t="s">
        <v>317</v>
      </c>
      <c r="I161" s="66" t="s">
        <v>323</v>
      </c>
      <c r="J161" s="66" t="s">
        <v>307</v>
      </c>
      <c r="K161" s="66" t="s">
        <v>321</v>
      </c>
      <c r="L161" s="66" t="s">
        <v>300</v>
      </c>
      <c r="M161" s="66" t="s">
        <v>326</v>
      </c>
      <c r="N161" s="66" t="s">
        <v>320</v>
      </c>
      <c r="O161" s="66" t="s">
        <v>324</v>
      </c>
      <c r="P161" s="66" t="s">
        <v>311</v>
      </c>
      <c r="Q161" s="66" t="s">
        <v>306</v>
      </c>
      <c r="R161" s="66" t="s">
        <v>313</v>
      </c>
    </row>
    <row r="162" spans="1:18" s="67" customFormat="1">
      <c r="A162" s="66" t="str">
        <f>VLOOKUP(C162,classifications!C:F,4,FALSE)</f>
        <v>SC</v>
      </c>
      <c r="B162" s="66" t="s">
        <v>589</v>
      </c>
      <c r="C162" s="66" t="s">
        <v>331</v>
      </c>
      <c r="D162" s="66" t="s">
        <v>310</v>
      </c>
      <c r="E162" s="66" t="s">
        <v>313</v>
      </c>
      <c r="F162" s="66" t="s">
        <v>311</v>
      </c>
      <c r="G162" s="66" t="s">
        <v>312</v>
      </c>
      <c r="H162" s="66" t="s">
        <v>308</v>
      </c>
      <c r="I162" s="66" t="s">
        <v>315</v>
      </c>
      <c r="J162" s="66" t="s">
        <v>330</v>
      </c>
      <c r="K162" s="66" t="s">
        <v>332</v>
      </c>
      <c r="L162" s="66" t="s">
        <v>328</v>
      </c>
      <c r="M162" s="66" t="s">
        <v>324</v>
      </c>
      <c r="N162" s="66" t="s">
        <v>320</v>
      </c>
      <c r="O162" s="66" t="s">
        <v>326</v>
      </c>
      <c r="P162" s="66" t="s">
        <v>327</v>
      </c>
      <c r="Q162" s="66" t="s">
        <v>314</v>
      </c>
      <c r="R162" s="66" t="s">
        <v>309</v>
      </c>
    </row>
    <row r="163" spans="1:18" s="67" customFormat="1">
      <c r="A163" s="66"/>
      <c r="B163" s="66"/>
      <c r="C163" s="66"/>
      <c r="D163" s="66"/>
      <c r="E163" s="66"/>
      <c r="F163" s="66"/>
      <c r="G163" s="66"/>
      <c r="H163" s="66"/>
      <c r="I163" s="66"/>
      <c r="J163" s="66"/>
      <c r="K163" s="66"/>
      <c r="L163" s="66"/>
      <c r="M163" s="66"/>
      <c r="N163" s="66"/>
      <c r="O163" s="66"/>
      <c r="P163" s="66"/>
      <c r="Q163" s="66"/>
      <c r="R163" s="66"/>
    </row>
    <row r="164" spans="1:18" s="67" customFormat="1">
      <c r="A164" s="66"/>
      <c r="B164" s="65" t="s">
        <v>590</v>
      </c>
      <c r="C164" s="66"/>
      <c r="D164" s="66"/>
      <c r="E164" s="66"/>
      <c r="F164" s="66"/>
      <c r="G164" s="66"/>
      <c r="H164" s="66"/>
      <c r="I164" s="66"/>
      <c r="J164" s="66"/>
      <c r="K164" s="66"/>
      <c r="L164" s="66"/>
      <c r="M164" s="66"/>
      <c r="N164" s="66"/>
      <c r="O164" s="66"/>
      <c r="P164" s="66"/>
      <c r="Q164" s="66"/>
      <c r="R164" s="66"/>
    </row>
    <row r="165" spans="1:18" s="67" customFormat="1">
      <c r="A165" s="66" t="str">
        <f>VLOOKUP(C165,classifications!C:F,4,FALSE)</f>
        <v>SD</v>
      </c>
      <c r="B165" s="66" t="s">
        <v>591</v>
      </c>
      <c r="C165" s="66" t="s">
        <v>11</v>
      </c>
      <c r="D165" s="66" t="s">
        <v>88</v>
      </c>
      <c r="E165" s="66" t="s">
        <v>193</v>
      </c>
      <c r="F165" s="66" t="s">
        <v>342</v>
      </c>
      <c r="G165" s="66" t="s">
        <v>146</v>
      </c>
      <c r="H165" s="66" t="s">
        <v>35</v>
      </c>
      <c r="I165" s="66" t="s">
        <v>56</v>
      </c>
      <c r="J165" s="66" t="s">
        <v>96</v>
      </c>
      <c r="K165" s="66" t="s">
        <v>166</v>
      </c>
      <c r="L165" s="66" t="s">
        <v>173</v>
      </c>
      <c r="M165" s="66" t="s">
        <v>136</v>
      </c>
      <c r="N165" s="66" t="s">
        <v>185</v>
      </c>
      <c r="O165" s="66" t="s">
        <v>55</v>
      </c>
      <c r="P165" s="66" t="s">
        <v>33</v>
      </c>
      <c r="Q165" s="66" t="s">
        <v>138</v>
      </c>
      <c r="R165" s="66" t="s">
        <v>64</v>
      </c>
    </row>
    <row r="166" spans="1:18" s="67" customFormat="1">
      <c r="A166" s="66" t="str">
        <f>VLOOKUP(C166,classifications!C:F,4,FALSE)</f>
        <v>SD</v>
      </c>
      <c r="B166" s="66" t="s">
        <v>592</v>
      </c>
      <c r="C166" s="66" t="s">
        <v>38</v>
      </c>
      <c r="D166" s="66" t="s">
        <v>137</v>
      </c>
      <c r="E166" s="66" t="s">
        <v>82</v>
      </c>
      <c r="F166" s="66" t="s">
        <v>136</v>
      </c>
      <c r="G166" s="66" t="s">
        <v>87</v>
      </c>
      <c r="H166" s="66" t="s">
        <v>188</v>
      </c>
      <c r="I166" s="66" t="s">
        <v>169</v>
      </c>
      <c r="J166" s="66" t="s">
        <v>151</v>
      </c>
      <c r="K166" s="66" t="s">
        <v>172</v>
      </c>
      <c r="L166" s="66" t="s">
        <v>55</v>
      </c>
      <c r="M166" s="66" t="s">
        <v>177</v>
      </c>
      <c r="N166" s="66" t="s">
        <v>104</v>
      </c>
      <c r="O166" s="66" t="s">
        <v>21</v>
      </c>
      <c r="P166" s="66" t="s">
        <v>146</v>
      </c>
      <c r="Q166" s="66" t="s">
        <v>56</v>
      </c>
      <c r="R166" s="66" t="s">
        <v>105</v>
      </c>
    </row>
    <row r="167" spans="1:18" s="67" customFormat="1">
      <c r="A167" s="66" t="str">
        <f>VLOOKUP(C167,classifications!C:F,4,FALSE)</f>
        <v>SD</v>
      </c>
      <c r="B167" s="66" t="s">
        <v>593</v>
      </c>
      <c r="C167" s="66" t="s">
        <v>137</v>
      </c>
      <c r="D167" s="66" t="s">
        <v>38</v>
      </c>
      <c r="E167" s="66" t="s">
        <v>21</v>
      </c>
      <c r="F167" s="66" t="s">
        <v>136</v>
      </c>
      <c r="G167" s="66" t="s">
        <v>172</v>
      </c>
      <c r="H167" s="66" t="s">
        <v>87</v>
      </c>
      <c r="I167" s="66" t="s">
        <v>169</v>
      </c>
      <c r="J167" s="66" t="s">
        <v>188</v>
      </c>
      <c r="K167" s="66" t="s">
        <v>105</v>
      </c>
      <c r="L167" s="66" t="s">
        <v>55</v>
      </c>
      <c r="M167" s="66" t="s">
        <v>82</v>
      </c>
      <c r="N167" s="66" t="s">
        <v>44</v>
      </c>
      <c r="O167" s="66" t="s">
        <v>162</v>
      </c>
      <c r="P167" s="66" t="s">
        <v>156</v>
      </c>
      <c r="Q167" s="66" t="s">
        <v>146</v>
      </c>
      <c r="R167" s="66" t="s">
        <v>177</v>
      </c>
    </row>
    <row r="168" spans="1:18" s="67" customFormat="1">
      <c r="A168" s="66" t="str">
        <f>VLOOKUP(C168,classifications!C:F,4,FALSE)</f>
        <v>SD</v>
      </c>
      <c r="B168" s="66" t="s">
        <v>594</v>
      </c>
      <c r="C168" s="66" t="s">
        <v>193</v>
      </c>
      <c r="D168" s="66" t="s">
        <v>11</v>
      </c>
      <c r="E168" s="66" t="s">
        <v>342</v>
      </c>
      <c r="F168" s="66" t="s">
        <v>56</v>
      </c>
      <c r="G168" s="66" t="s">
        <v>348</v>
      </c>
      <c r="H168" s="66" t="s">
        <v>96</v>
      </c>
      <c r="I168" s="66" t="s">
        <v>173</v>
      </c>
      <c r="J168" s="66" t="s">
        <v>33</v>
      </c>
      <c r="K168" s="66" t="s">
        <v>64</v>
      </c>
      <c r="L168" s="66" t="s">
        <v>35</v>
      </c>
      <c r="M168" s="66" t="s">
        <v>151</v>
      </c>
      <c r="N168" s="66" t="s">
        <v>88</v>
      </c>
      <c r="O168" s="66" t="s">
        <v>77</v>
      </c>
      <c r="P168" s="66" t="s">
        <v>146</v>
      </c>
      <c r="Q168" s="66" t="s">
        <v>47</v>
      </c>
      <c r="R168" s="66" t="s">
        <v>104</v>
      </c>
    </row>
    <row r="169" spans="1:18" s="67" customFormat="1">
      <c r="A169" s="66" t="str">
        <f>VLOOKUP(C169,classifications!C:F,4,FALSE)</f>
        <v>SD</v>
      </c>
      <c r="B169" s="66" t="s">
        <v>595</v>
      </c>
      <c r="C169" s="66" t="s">
        <v>27</v>
      </c>
      <c r="D169" s="66" t="s">
        <v>118</v>
      </c>
      <c r="E169" s="66" t="s">
        <v>175</v>
      </c>
      <c r="F169" s="66" t="s">
        <v>66</v>
      </c>
      <c r="G169" s="66" t="s">
        <v>180</v>
      </c>
      <c r="H169" s="66" t="s">
        <v>34</v>
      </c>
      <c r="I169" s="66" t="s">
        <v>131</v>
      </c>
      <c r="J169" s="66" t="s">
        <v>46</v>
      </c>
      <c r="K169" s="66" t="s">
        <v>174</v>
      </c>
      <c r="L169" s="66" t="s">
        <v>48</v>
      </c>
      <c r="M169" s="66" t="s">
        <v>129</v>
      </c>
      <c r="N169" s="66" t="s">
        <v>85</v>
      </c>
      <c r="O169" s="66" t="s">
        <v>189</v>
      </c>
      <c r="P169" s="66" t="s">
        <v>47</v>
      </c>
      <c r="Q169" s="66" t="s">
        <v>120</v>
      </c>
      <c r="R169" s="66" t="s">
        <v>117</v>
      </c>
    </row>
    <row r="170" spans="1:18" s="67" customFormat="1">
      <c r="A170" s="66" t="str">
        <f>VLOOKUP(C170,classifications!C:F,4,FALSE)</f>
        <v>SD</v>
      </c>
      <c r="B170" s="66" t="s">
        <v>596</v>
      </c>
      <c r="C170" s="66" t="s">
        <v>52</v>
      </c>
      <c r="D170" s="66" t="s">
        <v>103</v>
      </c>
      <c r="E170" s="66" t="s">
        <v>145</v>
      </c>
      <c r="F170" s="66" t="s">
        <v>102</v>
      </c>
      <c r="G170" s="66" t="s">
        <v>12</v>
      </c>
      <c r="H170" s="66" t="s">
        <v>100</v>
      </c>
      <c r="I170" s="66" t="s">
        <v>185</v>
      </c>
      <c r="J170" s="66" t="s">
        <v>144</v>
      </c>
      <c r="K170" s="66" t="s">
        <v>109</v>
      </c>
      <c r="L170" s="66" t="s">
        <v>58</v>
      </c>
      <c r="M170" s="66" t="s">
        <v>166</v>
      </c>
      <c r="N170" s="66" t="s">
        <v>167</v>
      </c>
      <c r="O170" s="66" t="s">
        <v>10</v>
      </c>
      <c r="P170" s="66" t="s">
        <v>70</v>
      </c>
      <c r="Q170" s="66" t="s">
        <v>152</v>
      </c>
      <c r="R170" s="66" t="s">
        <v>130</v>
      </c>
    </row>
    <row r="171" spans="1:18" s="67" customFormat="1">
      <c r="A171" s="66" t="str">
        <f>VLOOKUP(C171,classifications!C:F,4,FALSE)</f>
        <v>SD</v>
      </c>
      <c r="B171" s="66" t="s">
        <v>597</v>
      </c>
      <c r="C171" s="66" t="s">
        <v>68</v>
      </c>
      <c r="D171" s="66" t="s">
        <v>141</v>
      </c>
      <c r="E171" s="66" t="s">
        <v>20</v>
      </c>
      <c r="F171" s="66" t="s">
        <v>15</v>
      </c>
      <c r="G171" s="66" t="s">
        <v>195</v>
      </c>
      <c r="H171" s="66" t="s">
        <v>7</v>
      </c>
      <c r="I171" s="66" t="s">
        <v>65</v>
      </c>
      <c r="J171" s="66" t="s">
        <v>345</v>
      </c>
      <c r="K171" s="66" t="s">
        <v>30</v>
      </c>
      <c r="L171" s="66" t="s">
        <v>376</v>
      </c>
      <c r="M171" s="66" t="s">
        <v>18</v>
      </c>
      <c r="N171" s="66" t="s">
        <v>91</v>
      </c>
      <c r="O171" s="66" t="s">
        <v>99</v>
      </c>
      <c r="P171" s="66" t="s">
        <v>183</v>
      </c>
      <c r="Q171" s="66" t="s">
        <v>59</v>
      </c>
      <c r="R171" s="66" t="s">
        <v>142</v>
      </c>
    </row>
    <row r="172" spans="1:18" s="67" customFormat="1">
      <c r="A172" s="66" t="str">
        <f>VLOOKUP(C172,classifications!C:F,4,FALSE)</f>
        <v>SD</v>
      </c>
      <c r="B172" s="66" t="s">
        <v>598</v>
      </c>
      <c r="C172" s="66" t="s">
        <v>88</v>
      </c>
      <c r="D172" s="66" t="s">
        <v>35</v>
      </c>
      <c r="E172" s="66" t="s">
        <v>96</v>
      </c>
      <c r="F172" s="66" t="s">
        <v>342</v>
      </c>
      <c r="G172" s="66" t="s">
        <v>11</v>
      </c>
      <c r="H172" s="66" t="s">
        <v>32</v>
      </c>
      <c r="I172" s="66" t="s">
        <v>41</v>
      </c>
      <c r="J172" s="66" t="s">
        <v>19</v>
      </c>
      <c r="K172" s="66" t="s">
        <v>33</v>
      </c>
      <c r="L172" s="66" t="s">
        <v>166</v>
      </c>
      <c r="M172" s="66" t="s">
        <v>153</v>
      </c>
      <c r="N172" s="66" t="s">
        <v>128</v>
      </c>
      <c r="O172" s="66" t="s">
        <v>10</v>
      </c>
      <c r="P172" s="66" t="s">
        <v>142</v>
      </c>
      <c r="Q172" s="66" t="s">
        <v>344</v>
      </c>
      <c r="R172" s="66" t="s">
        <v>152</v>
      </c>
    </row>
    <row r="173" spans="1:18" s="67" customFormat="1">
      <c r="A173" s="66" t="str">
        <f>VLOOKUP(C173,classifications!C:F,4,FALSE)</f>
        <v>SD</v>
      </c>
      <c r="B173" s="66" t="s">
        <v>599</v>
      </c>
      <c r="C173" s="66" t="s">
        <v>138</v>
      </c>
      <c r="D173" s="66" t="s">
        <v>173</v>
      </c>
      <c r="E173" s="66" t="s">
        <v>146</v>
      </c>
      <c r="F173" s="66" t="s">
        <v>172</v>
      </c>
      <c r="G173" s="66" t="s">
        <v>166</v>
      </c>
      <c r="H173" s="66" t="s">
        <v>188</v>
      </c>
      <c r="I173" s="66" t="s">
        <v>11</v>
      </c>
      <c r="J173" s="66" t="s">
        <v>136</v>
      </c>
      <c r="K173" s="66" t="s">
        <v>349</v>
      </c>
      <c r="L173" s="66" t="s">
        <v>145</v>
      </c>
      <c r="M173" s="66" t="s">
        <v>185</v>
      </c>
      <c r="N173" s="66" t="s">
        <v>55</v>
      </c>
      <c r="O173" s="66" t="s">
        <v>56</v>
      </c>
      <c r="P173" s="66" t="s">
        <v>79</v>
      </c>
      <c r="Q173" s="66" t="s">
        <v>52</v>
      </c>
      <c r="R173" s="66" t="s">
        <v>88</v>
      </c>
    </row>
    <row r="174" spans="1:18" s="67" customFormat="1">
      <c r="A174" s="66" t="str">
        <f>VLOOKUP(C174,classifications!C:F,4,FALSE)</f>
        <v>SD</v>
      </c>
      <c r="B174" s="66" t="s">
        <v>600</v>
      </c>
      <c r="C174" s="66" t="s">
        <v>6</v>
      </c>
      <c r="D174" s="66" t="s">
        <v>51</v>
      </c>
      <c r="E174" s="66" t="s">
        <v>30</v>
      </c>
      <c r="F174" s="66" t="s">
        <v>176</v>
      </c>
      <c r="G174" s="66" t="s">
        <v>15</v>
      </c>
      <c r="H174" s="66" t="s">
        <v>108</v>
      </c>
      <c r="I174" s="66" t="s">
        <v>134</v>
      </c>
      <c r="J174" s="66" t="s">
        <v>170</v>
      </c>
      <c r="K174" s="66" t="s">
        <v>345</v>
      </c>
      <c r="L174" s="66" t="s">
        <v>7</v>
      </c>
      <c r="M174" s="66" t="s">
        <v>42</v>
      </c>
      <c r="N174" s="66" t="s">
        <v>107</v>
      </c>
      <c r="O174" s="66" t="s">
        <v>195</v>
      </c>
      <c r="P174" s="66" t="s">
        <v>110</v>
      </c>
      <c r="Q174" s="66" t="s">
        <v>17</v>
      </c>
      <c r="R174" s="66" t="s">
        <v>194</v>
      </c>
    </row>
    <row r="175" spans="1:18" s="67" customFormat="1">
      <c r="A175" s="66" t="str">
        <f>VLOOKUP(C175,classifications!C:F,4,FALSE)</f>
        <v>SD</v>
      </c>
      <c r="B175" s="66" t="s">
        <v>601</v>
      </c>
      <c r="C175" s="66" t="s">
        <v>13</v>
      </c>
      <c r="D175" s="66" t="s">
        <v>119</v>
      </c>
      <c r="E175" s="66" t="s">
        <v>76</v>
      </c>
      <c r="F175" s="66" t="s">
        <v>28</v>
      </c>
      <c r="G175" s="66" t="s">
        <v>99</v>
      </c>
      <c r="H175" s="66" t="s">
        <v>65</v>
      </c>
      <c r="I175" s="66" t="s">
        <v>30</v>
      </c>
      <c r="J175" s="66" t="s">
        <v>176</v>
      </c>
      <c r="K175" s="66" t="s">
        <v>89</v>
      </c>
      <c r="L175" s="66" t="s">
        <v>51</v>
      </c>
      <c r="M175" s="66" t="s">
        <v>92</v>
      </c>
      <c r="N175" s="66" t="s">
        <v>6</v>
      </c>
      <c r="O175" s="66" t="s">
        <v>74</v>
      </c>
      <c r="P175" s="66" t="s">
        <v>9</v>
      </c>
      <c r="Q175" s="66" t="s">
        <v>195</v>
      </c>
      <c r="R175" s="66" t="s">
        <v>346</v>
      </c>
    </row>
    <row r="176" spans="1:18" s="67" customFormat="1">
      <c r="A176" s="66" t="str">
        <f>VLOOKUP(C176,classifications!C:F,4,FALSE)</f>
        <v>SD</v>
      </c>
      <c r="B176" s="66" t="s">
        <v>602</v>
      </c>
      <c r="C176" s="66" t="s">
        <v>30</v>
      </c>
      <c r="D176" s="66" t="s">
        <v>15</v>
      </c>
      <c r="E176" s="66" t="s">
        <v>107</v>
      </c>
      <c r="F176" s="66" t="s">
        <v>195</v>
      </c>
      <c r="G176" s="66" t="s">
        <v>7</v>
      </c>
      <c r="H176" s="66" t="s">
        <v>99</v>
      </c>
      <c r="I176" s="66" t="s">
        <v>86</v>
      </c>
      <c r="J176" s="66" t="s">
        <v>65</v>
      </c>
      <c r="K176" s="66" t="s">
        <v>28</v>
      </c>
      <c r="L176" s="66" t="s">
        <v>59</v>
      </c>
      <c r="M176" s="66" t="s">
        <v>345</v>
      </c>
      <c r="N176" s="66" t="s">
        <v>36</v>
      </c>
      <c r="O176" s="66" t="s">
        <v>39</v>
      </c>
      <c r="P176" s="66" t="s">
        <v>142</v>
      </c>
      <c r="Q176" s="66" t="s">
        <v>190</v>
      </c>
      <c r="R176" s="66" t="s">
        <v>42</v>
      </c>
    </row>
    <row r="177" spans="1:18" s="67" customFormat="1">
      <c r="A177" s="66" t="str">
        <f>VLOOKUP(C177,classifications!C:F,4,FALSE)</f>
        <v>SD</v>
      </c>
      <c r="B177" s="66" t="s">
        <v>603</v>
      </c>
      <c r="C177" s="66" t="s">
        <v>42</v>
      </c>
      <c r="D177" s="66" t="s">
        <v>15</v>
      </c>
      <c r="E177" s="66" t="s">
        <v>114</v>
      </c>
      <c r="F177" s="66" t="s">
        <v>17</v>
      </c>
      <c r="G177" s="66" t="s">
        <v>30</v>
      </c>
      <c r="H177" s="66" t="s">
        <v>115</v>
      </c>
      <c r="I177" s="66" t="s">
        <v>345</v>
      </c>
      <c r="J177" s="66" t="s">
        <v>195</v>
      </c>
      <c r="K177" s="66" t="s">
        <v>183</v>
      </c>
      <c r="L177" s="66" t="s">
        <v>107</v>
      </c>
      <c r="M177" s="66" t="s">
        <v>99</v>
      </c>
      <c r="N177" s="66" t="s">
        <v>7</v>
      </c>
      <c r="O177" s="66" t="s">
        <v>6</v>
      </c>
      <c r="P177" s="66" t="s">
        <v>135</v>
      </c>
      <c r="Q177" s="66" t="s">
        <v>59</v>
      </c>
      <c r="R177" s="66" t="s">
        <v>28</v>
      </c>
    </row>
    <row r="178" spans="1:18" s="67" customFormat="1">
      <c r="A178" s="66" t="str">
        <f>VLOOKUP(C178,classifications!C:F,4,FALSE)</f>
        <v>SD</v>
      </c>
      <c r="B178" s="66" t="s">
        <v>604</v>
      </c>
      <c r="C178" s="66" t="s">
        <v>62</v>
      </c>
      <c r="D178" s="66" t="s">
        <v>132</v>
      </c>
      <c r="E178" s="66" t="s">
        <v>45</v>
      </c>
      <c r="F178" s="66" t="s">
        <v>50</v>
      </c>
      <c r="G178" s="66" t="s">
        <v>181</v>
      </c>
      <c r="H178" s="66" t="s">
        <v>78</v>
      </c>
      <c r="I178" s="66" t="s">
        <v>123</v>
      </c>
      <c r="J178" s="66" t="s">
        <v>12</v>
      </c>
      <c r="K178" s="66" t="s">
        <v>109</v>
      </c>
      <c r="L178" s="66" t="s">
        <v>100</v>
      </c>
      <c r="M178" s="66" t="s">
        <v>154</v>
      </c>
      <c r="N178" s="66" t="s">
        <v>124</v>
      </c>
      <c r="O178" s="66" t="s">
        <v>97</v>
      </c>
      <c r="P178" s="66" t="s">
        <v>44</v>
      </c>
      <c r="Q178" s="66" t="s">
        <v>102</v>
      </c>
      <c r="R178" s="66" t="s">
        <v>167</v>
      </c>
    </row>
    <row r="179" spans="1:18" s="67" customFormat="1">
      <c r="A179" s="66" t="str">
        <f>VLOOKUP(C179,classifications!C:F,4,FALSE)</f>
        <v>SD</v>
      </c>
      <c r="B179" s="66" t="s">
        <v>605</v>
      </c>
      <c r="C179" s="66" t="s">
        <v>143</v>
      </c>
      <c r="D179" s="66" t="s">
        <v>140</v>
      </c>
      <c r="E179" s="66" t="s">
        <v>182</v>
      </c>
      <c r="F179" s="66" t="s">
        <v>45</v>
      </c>
      <c r="G179" s="66" t="s">
        <v>71</v>
      </c>
      <c r="H179" s="66" t="s">
        <v>37</v>
      </c>
      <c r="I179" s="66" t="s">
        <v>53</v>
      </c>
      <c r="J179" s="66" t="s">
        <v>108</v>
      </c>
      <c r="K179" s="66" t="s">
        <v>44</v>
      </c>
      <c r="L179" s="66" t="s">
        <v>50</v>
      </c>
      <c r="M179" s="66" t="s">
        <v>158</v>
      </c>
      <c r="N179" s="66" t="s">
        <v>121</v>
      </c>
      <c r="O179" s="66" t="s">
        <v>132</v>
      </c>
      <c r="P179" s="66" t="s">
        <v>164</v>
      </c>
      <c r="Q179" s="66" t="s">
        <v>113</v>
      </c>
      <c r="R179" s="66" t="s">
        <v>62</v>
      </c>
    </row>
    <row r="180" spans="1:18" s="67" customFormat="1">
      <c r="A180" s="66" t="str">
        <f>VLOOKUP(C180,classifications!C:F,4,FALSE)</f>
        <v>SD</v>
      </c>
      <c r="B180" s="66" t="s">
        <v>606</v>
      </c>
      <c r="C180" s="66" t="s">
        <v>7</v>
      </c>
      <c r="D180" s="66" t="s">
        <v>345</v>
      </c>
      <c r="E180" s="66" t="s">
        <v>65</v>
      </c>
      <c r="F180" s="66" t="s">
        <v>142</v>
      </c>
      <c r="G180" s="66" t="s">
        <v>344</v>
      </c>
      <c r="H180" s="66" t="s">
        <v>183</v>
      </c>
      <c r="I180" s="66" t="s">
        <v>15</v>
      </c>
      <c r="J180" s="66" t="s">
        <v>39</v>
      </c>
      <c r="K180" s="66" t="s">
        <v>86</v>
      </c>
      <c r="L180" s="66" t="s">
        <v>195</v>
      </c>
      <c r="M180" s="66" t="s">
        <v>147</v>
      </c>
      <c r="N180" s="66" t="s">
        <v>107</v>
      </c>
      <c r="O180" s="66" t="s">
        <v>72</v>
      </c>
      <c r="P180" s="66" t="s">
        <v>154</v>
      </c>
      <c r="Q180" s="66" t="s">
        <v>30</v>
      </c>
      <c r="R180" s="66" t="s">
        <v>153</v>
      </c>
    </row>
    <row r="181" spans="1:18" s="67" customFormat="1">
      <c r="A181" s="66" t="str">
        <f>VLOOKUP(C181,classifications!C:F,4,FALSE)</f>
        <v>SD</v>
      </c>
      <c r="B181" s="66" t="s">
        <v>607</v>
      </c>
      <c r="C181" s="66" t="s">
        <v>17</v>
      </c>
      <c r="D181" s="66" t="s">
        <v>9</v>
      </c>
      <c r="E181" s="66" t="s">
        <v>99</v>
      </c>
      <c r="F181" s="66" t="s">
        <v>42</v>
      </c>
      <c r="G181" s="66" t="s">
        <v>15</v>
      </c>
      <c r="H181" s="66" t="s">
        <v>126</v>
      </c>
      <c r="I181" s="66" t="s">
        <v>30</v>
      </c>
      <c r="J181" s="66" t="s">
        <v>346</v>
      </c>
      <c r="K181" s="66" t="s">
        <v>107</v>
      </c>
      <c r="L181" s="66" t="s">
        <v>28</v>
      </c>
      <c r="M181" s="66" t="s">
        <v>345</v>
      </c>
      <c r="N181" s="66" t="s">
        <v>36</v>
      </c>
      <c r="O181" s="66" t="s">
        <v>110</v>
      </c>
      <c r="P181" s="66" t="s">
        <v>65</v>
      </c>
      <c r="Q181" s="66" t="s">
        <v>7</v>
      </c>
      <c r="R181" s="66" t="s">
        <v>6</v>
      </c>
    </row>
    <row r="182" spans="1:18" s="67" customFormat="1">
      <c r="A182" s="66" t="str">
        <f>VLOOKUP(C182,classifications!C:F,4,FALSE)</f>
        <v>SD</v>
      </c>
      <c r="B182" s="66" t="s">
        <v>608</v>
      </c>
      <c r="C182" s="66" t="s">
        <v>36</v>
      </c>
      <c r="D182" s="66" t="s">
        <v>99</v>
      </c>
      <c r="E182" s="66" t="s">
        <v>28</v>
      </c>
      <c r="F182" s="66" t="s">
        <v>30</v>
      </c>
      <c r="G182" s="66" t="s">
        <v>107</v>
      </c>
      <c r="H182" s="66" t="s">
        <v>195</v>
      </c>
      <c r="I182" s="66" t="s">
        <v>9</v>
      </c>
      <c r="J182" s="66" t="s">
        <v>190</v>
      </c>
      <c r="K182" s="66" t="s">
        <v>65</v>
      </c>
      <c r="L182" s="66" t="s">
        <v>15</v>
      </c>
      <c r="M182" s="66" t="s">
        <v>346</v>
      </c>
      <c r="N182" s="66" t="s">
        <v>95</v>
      </c>
      <c r="O182" s="66" t="s">
        <v>17</v>
      </c>
      <c r="P182" s="66" t="s">
        <v>90</v>
      </c>
      <c r="Q182" s="66" t="s">
        <v>161</v>
      </c>
      <c r="R182" s="66" t="s">
        <v>42</v>
      </c>
    </row>
    <row r="183" spans="1:18" s="67" customFormat="1">
      <c r="A183" s="66" t="str">
        <f>VLOOKUP(C183,classifications!C:F,4,FALSE)</f>
        <v>SD</v>
      </c>
      <c r="B183" s="66" t="s">
        <v>609</v>
      </c>
      <c r="C183" s="66" t="s">
        <v>50</v>
      </c>
      <c r="D183" s="66" t="s">
        <v>132</v>
      </c>
      <c r="E183" s="66" t="s">
        <v>78</v>
      </c>
      <c r="F183" s="66" t="s">
        <v>45</v>
      </c>
      <c r="G183" s="66" t="s">
        <v>44</v>
      </c>
      <c r="H183" s="66" t="s">
        <v>62</v>
      </c>
      <c r="I183" s="66" t="s">
        <v>109</v>
      </c>
      <c r="J183" s="66" t="s">
        <v>123</v>
      </c>
      <c r="K183" s="66" t="s">
        <v>181</v>
      </c>
      <c r="L183" s="66" t="s">
        <v>98</v>
      </c>
      <c r="M183" s="66" t="s">
        <v>192</v>
      </c>
      <c r="N183" s="66" t="s">
        <v>97</v>
      </c>
      <c r="O183" s="66" t="s">
        <v>156</v>
      </c>
      <c r="P183" s="66" t="s">
        <v>12</v>
      </c>
      <c r="Q183" s="66" t="s">
        <v>140</v>
      </c>
      <c r="R183" s="66" t="s">
        <v>101</v>
      </c>
    </row>
    <row r="184" spans="1:18" s="67" customFormat="1">
      <c r="A184" s="66" t="str">
        <f>VLOOKUP(C184,classifications!C:F,4,FALSE)</f>
        <v>SD</v>
      </c>
      <c r="B184" s="66" t="s">
        <v>610</v>
      </c>
      <c r="C184" s="66" t="s">
        <v>65</v>
      </c>
      <c r="D184" s="66" t="s">
        <v>7</v>
      </c>
      <c r="E184" s="66" t="s">
        <v>195</v>
      </c>
      <c r="F184" s="66" t="s">
        <v>72</v>
      </c>
      <c r="G184" s="66" t="s">
        <v>346</v>
      </c>
      <c r="H184" s="66" t="s">
        <v>107</v>
      </c>
      <c r="I184" s="66" t="s">
        <v>28</v>
      </c>
      <c r="J184" s="66" t="s">
        <v>91</v>
      </c>
      <c r="K184" s="66" t="s">
        <v>99</v>
      </c>
      <c r="L184" s="66" t="s">
        <v>86</v>
      </c>
      <c r="M184" s="66" t="s">
        <v>30</v>
      </c>
      <c r="N184" s="66" t="s">
        <v>25</v>
      </c>
      <c r="O184" s="66" t="s">
        <v>39</v>
      </c>
      <c r="P184" s="66" t="s">
        <v>9</v>
      </c>
      <c r="Q184" s="66" t="s">
        <v>142</v>
      </c>
      <c r="R184" s="66" t="s">
        <v>147</v>
      </c>
    </row>
    <row r="185" spans="1:18" s="67" customFormat="1">
      <c r="A185" s="66" t="str">
        <f>VLOOKUP(C185,classifications!C:F,4,FALSE)</f>
        <v>SD</v>
      </c>
      <c r="B185" s="66" t="s">
        <v>611</v>
      </c>
      <c r="C185" s="66" t="s">
        <v>86</v>
      </c>
      <c r="D185" s="66" t="s">
        <v>39</v>
      </c>
      <c r="E185" s="66" t="s">
        <v>126</v>
      </c>
      <c r="F185" s="66" t="s">
        <v>7</v>
      </c>
      <c r="G185" s="66" t="s">
        <v>345</v>
      </c>
      <c r="H185" s="66" t="s">
        <v>147</v>
      </c>
      <c r="I185" s="66" t="s">
        <v>183</v>
      </c>
      <c r="J185" s="66" t="s">
        <v>195</v>
      </c>
      <c r="K185" s="66" t="s">
        <v>142</v>
      </c>
      <c r="L185" s="66" t="s">
        <v>30</v>
      </c>
      <c r="M185" s="66" t="s">
        <v>65</v>
      </c>
      <c r="N185" s="66" t="s">
        <v>94</v>
      </c>
      <c r="O185" s="66" t="s">
        <v>91</v>
      </c>
      <c r="P185" s="66" t="s">
        <v>344</v>
      </c>
      <c r="Q185" s="66" t="s">
        <v>101</v>
      </c>
      <c r="R185" s="66" t="s">
        <v>58</v>
      </c>
    </row>
    <row r="186" spans="1:18" s="67" customFormat="1">
      <c r="A186" s="66" t="str">
        <f>VLOOKUP(C186,classifications!C:F,4,FALSE)</f>
        <v>SD</v>
      </c>
      <c r="B186" s="66" t="s">
        <v>612</v>
      </c>
      <c r="C186" s="66" t="s">
        <v>110</v>
      </c>
      <c r="D186" s="66" t="s">
        <v>107</v>
      </c>
      <c r="E186" s="66" t="s">
        <v>149</v>
      </c>
      <c r="F186" s="66" t="s">
        <v>183</v>
      </c>
      <c r="G186" s="66" t="s">
        <v>345</v>
      </c>
      <c r="H186" s="66" t="s">
        <v>184</v>
      </c>
      <c r="I186" s="66" t="s">
        <v>7</v>
      </c>
      <c r="J186" s="66" t="s">
        <v>195</v>
      </c>
      <c r="K186" s="66" t="s">
        <v>20</v>
      </c>
      <c r="L186" s="66" t="s">
        <v>15</v>
      </c>
      <c r="M186" s="66" t="s">
        <v>65</v>
      </c>
      <c r="N186" s="66" t="s">
        <v>70</v>
      </c>
      <c r="O186" s="66" t="s">
        <v>112</v>
      </c>
      <c r="P186" s="66" t="s">
        <v>344</v>
      </c>
      <c r="Q186" s="66" t="s">
        <v>39</v>
      </c>
      <c r="R186" s="66" t="s">
        <v>94</v>
      </c>
    </row>
    <row r="187" spans="1:18" s="67" customFormat="1">
      <c r="A187" s="66" t="str">
        <f>VLOOKUP(C187,classifications!C:F,4,FALSE)</f>
        <v>SD</v>
      </c>
      <c r="B187" s="66" t="s">
        <v>613</v>
      </c>
      <c r="C187" s="66" t="s">
        <v>139</v>
      </c>
      <c r="D187" s="66" t="s">
        <v>58</v>
      </c>
      <c r="E187" s="66" t="s">
        <v>344</v>
      </c>
      <c r="F187" s="66" t="s">
        <v>39</v>
      </c>
      <c r="G187" s="66" t="s">
        <v>135</v>
      </c>
      <c r="H187" s="66" t="s">
        <v>345</v>
      </c>
      <c r="I187" s="66" t="s">
        <v>112</v>
      </c>
      <c r="J187" s="66" t="s">
        <v>100</v>
      </c>
      <c r="K187" s="66" t="s">
        <v>115</v>
      </c>
      <c r="L187" s="66" t="s">
        <v>147</v>
      </c>
      <c r="M187" s="66" t="s">
        <v>49</v>
      </c>
      <c r="N187" s="66" t="s">
        <v>184</v>
      </c>
      <c r="O187" s="66" t="s">
        <v>183</v>
      </c>
      <c r="P187" s="66" t="s">
        <v>157</v>
      </c>
      <c r="Q187" s="66" t="s">
        <v>154</v>
      </c>
      <c r="R187" s="66" t="s">
        <v>94</v>
      </c>
    </row>
    <row r="188" spans="1:18" s="67" customFormat="1">
      <c r="A188" s="66" t="str">
        <f>VLOOKUP(C188,classifications!C:F,4,FALSE)</f>
        <v>SD</v>
      </c>
      <c r="B188" s="66" t="s">
        <v>614</v>
      </c>
      <c r="C188" s="66" t="s">
        <v>53</v>
      </c>
      <c r="D188" s="66" t="s">
        <v>182</v>
      </c>
      <c r="E188" s="66" t="s">
        <v>127</v>
      </c>
      <c r="F188" s="66" t="s">
        <v>106</v>
      </c>
      <c r="G188" s="66" t="s">
        <v>164</v>
      </c>
      <c r="H188" s="66" t="s">
        <v>37</v>
      </c>
      <c r="I188" s="66" t="s">
        <v>8</v>
      </c>
      <c r="J188" s="66" t="s">
        <v>113</v>
      </c>
      <c r="K188" s="66" t="s">
        <v>140</v>
      </c>
      <c r="L188" s="66" t="s">
        <v>71</v>
      </c>
      <c r="M188" s="66" t="s">
        <v>178</v>
      </c>
      <c r="N188" s="66" t="s">
        <v>158</v>
      </c>
      <c r="O188" s="66" t="s">
        <v>143</v>
      </c>
      <c r="P188" s="66" t="s">
        <v>93</v>
      </c>
      <c r="Q188" s="66" t="s">
        <v>54</v>
      </c>
      <c r="R188" s="66" t="s">
        <v>194</v>
      </c>
    </row>
    <row r="189" spans="1:18" s="67" customFormat="1">
      <c r="A189" s="66" t="str">
        <f>VLOOKUP(C189,classifications!C:F,4,FALSE)</f>
        <v>SD</v>
      </c>
      <c r="B189" s="66" t="s">
        <v>615</v>
      </c>
      <c r="C189" s="66" t="s">
        <v>66</v>
      </c>
      <c r="D189" s="66" t="s">
        <v>34</v>
      </c>
      <c r="E189" s="66" t="s">
        <v>190</v>
      </c>
      <c r="F189" s="66" t="s">
        <v>174</v>
      </c>
      <c r="G189" s="66" t="s">
        <v>73</v>
      </c>
      <c r="H189" s="66" t="s">
        <v>92</v>
      </c>
      <c r="I189" s="66" t="s">
        <v>131</v>
      </c>
      <c r="J189" s="66" t="s">
        <v>120</v>
      </c>
      <c r="K189" s="66" t="s">
        <v>95</v>
      </c>
      <c r="L189" s="66" t="s">
        <v>30</v>
      </c>
      <c r="M189" s="66" t="s">
        <v>90</v>
      </c>
      <c r="N189" s="66" t="s">
        <v>41</v>
      </c>
      <c r="O189" s="66" t="s">
        <v>29</v>
      </c>
      <c r="P189" s="66" t="s">
        <v>59</v>
      </c>
      <c r="Q189" s="66" t="s">
        <v>60</v>
      </c>
      <c r="R189" s="66" t="s">
        <v>180</v>
      </c>
    </row>
    <row r="190" spans="1:18" s="67" customFormat="1">
      <c r="A190" s="66" t="str">
        <f>VLOOKUP(C190,classifications!C:F,4,FALSE)</f>
        <v>SD</v>
      </c>
      <c r="B190" s="66" t="s">
        <v>616</v>
      </c>
      <c r="C190" s="66" t="s">
        <v>102</v>
      </c>
      <c r="D190" s="66" t="s">
        <v>12</v>
      </c>
      <c r="E190" s="66" t="s">
        <v>109</v>
      </c>
      <c r="F190" s="66" t="s">
        <v>101</v>
      </c>
      <c r="G190" s="66" t="s">
        <v>100</v>
      </c>
      <c r="H190" s="66" t="s">
        <v>157</v>
      </c>
      <c r="I190" s="66" t="s">
        <v>78</v>
      </c>
      <c r="J190" s="66" t="s">
        <v>58</v>
      </c>
      <c r="K190" s="66" t="s">
        <v>97</v>
      </c>
      <c r="L190" s="66" t="s">
        <v>344</v>
      </c>
      <c r="M190" s="66" t="s">
        <v>167</v>
      </c>
      <c r="N190" s="66" t="s">
        <v>94</v>
      </c>
      <c r="O190" s="66" t="s">
        <v>103</v>
      </c>
      <c r="P190" s="66" t="s">
        <v>163</v>
      </c>
      <c r="Q190" s="66" t="s">
        <v>152</v>
      </c>
      <c r="R190" s="66" t="s">
        <v>144</v>
      </c>
    </row>
    <row r="191" spans="1:18" s="67" customFormat="1">
      <c r="A191" s="66" t="str">
        <f>VLOOKUP(C191,classifications!C:F,4,FALSE)</f>
        <v>SD</v>
      </c>
      <c r="B191" s="66" t="s">
        <v>617</v>
      </c>
      <c r="C191" s="66" t="s">
        <v>108</v>
      </c>
      <c r="D191" s="66" t="s">
        <v>194</v>
      </c>
      <c r="E191" s="66" t="s">
        <v>170</v>
      </c>
      <c r="F191" s="66" t="s">
        <v>71</v>
      </c>
      <c r="G191" s="66" t="s">
        <v>164</v>
      </c>
      <c r="H191" s="66" t="s">
        <v>134</v>
      </c>
      <c r="I191" s="66" t="s">
        <v>133</v>
      </c>
      <c r="J191" s="66" t="s">
        <v>897</v>
      </c>
      <c r="K191" s="66" t="s">
        <v>6</v>
      </c>
      <c r="L191" s="66" t="s">
        <v>51</v>
      </c>
      <c r="M191" s="66" t="s">
        <v>93</v>
      </c>
      <c r="N191" s="66" t="s">
        <v>176</v>
      </c>
      <c r="O191" s="66" t="s">
        <v>4</v>
      </c>
      <c r="P191" s="66" t="s">
        <v>140</v>
      </c>
      <c r="Q191" s="66" t="s">
        <v>101</v>
      </c>
      <c r="R191" s="66" t="s">
        <v>92</v>
      </c>
    </row>
    <row r="192" spans="1:18" s="67" customFormat="1">
      <c r="A192" s="66" t="str">
        <f>VLOOKUP(C192,classifications!C:F,4,FALSE)</f>
        <v>SD</v>
      </c>
      <c r="B192" s="66" t="s">
        <v>618</v>
      </c>
      <c r="C192" s="66" t="s">
        <v>140</v>
      </c>
      <c r="D192" s="66" t="s">
        <v>182</v>
      </c>
      <c r="E192" s="66" t="s">
        <v>37</v>
      </c>
      <c r="F192" s="66" t="s">
        <v>143</v>
      </c>
      <c r="G192" s="66" t="s">
        <v>121</v>
      </c>
      <c r="H192" s="66" t="s">
        <v>158</v>
      </c>
      <c r="I192" s="66" t="s">
        <v>71</v>
      </c>
      <c r="J192" s="66" t="s">
        <v>44</v>
      </c>
      <c r="K192" s="66" t="s">
        <v>164</v>
      </c>
      <c r="L192" s="66" t="s">
        <v>45</v>
      </c>
      <c r="M192" s="66" t="s">
        <v>50</v>
      </c>
      <c r="N192" s="66" t="s">
        <v>156</v>
      </c>
      <c r="O192" s="66" t="s">
        <v>78</v>
      </c>
      <c r="P192" s="66" t="s">
        <v>93</v>
      </c>
      <c r="Q192" s="66" t="s">
        <v>53</v>
      </c>
      <c r="R192" s="66" t="s">
        <v>132</v>
      </c>
    </row>
    <row r="193" spans="1:18" s="67" customFormat="1">
      <c r="A193" s="66" t="str">
        <f>VLOOKUP(C193,classifications!C:F,4,FALSE)</f>
        <v>SD</v>
      </c>
      <c r="B193" s="66" t="s">
        <v>619</v>
      </c>
      <c r="C193" s="66" t="s">
        <v>164</v>
      </c>
      <c r="D193" s="66" t="s">
        <v>93</v>
      </c>
      <c r="E193" s="66" t="s">
        <v>71</v>
      </c>
      <c r="F193" s="66" t="s">
        <v>158</v>
      </c>
      <c r="G193" s="66" t="s">
        <v>8</v>
      </c>
      <c r="H193" s="66" t="s">
        <v>53</v>
      </c>
      <c r="I193" s="66" t="s">
        <v>134</v>
      </c>
      <c r="J193" s="66" t="s">
        <v>170</v>
      </c>
      <c r="K193" s="66" t="s">
        <v>108</v>
      </c>
      <c r="L193" s="66" t="s">
        <v>182</v>
      </c>
      <c r="M193" s="66" t="s">
        <v>194</v>
      </c>
      <c r="N193" s="66" t="s">
        <v>178</v>
      </c>
      <c r="O193" s="66" t="s">
        <v>106</v>
      </c>
      <c r="P193" s="66" t="s">
        <v>140</v>
      </c>
      <c r="Q193" s="66" t="s">
        <v>37</v>
      </c>
      <c r="R193" s="66" t="s">
        <v>163</v>
      </c>
    </row>
    <row r="194" spans="1:18" s="67" customFormat="1">
      <c r="A194" s="66" t="str">
        <f>VLOOKUP(C194,classifications!C:F,4,FALSE)</f>
        <v>SD</v>
      </c>
      <c r="B194" s="66" t="s">
        <v>620</v>
      </c>
      <c r="C194" s="66" t="s">
        <v>170</v>
      </c>
      <c r="D194" s="66" t="s">
        <v>108</v>
      </c>
      <c r="E194" s="66" t="s">
        <v>164</v>
      </c>
      <c r="F194" s="66" t="s">
        <v>194</v>
      </c>
      <c r="G194" s="66" t="s">
        <v>134</v>
      </c>
      <c r="H194" s="66" t="s">
        <v>71</v>
      </c>
      <c r="I194" s="66" t="s">
        <v>181</v>
      </c>
      <c r="J194" s="66" t="s">
        <v>4</v>
      </c>
      <c r="K194" s="66" t="s">
        <v>6</v>
      </c>
      <c r="L194" s="66" t="s">
        <v>93</v>
      </c>
      <c r="M194" s="66" t="s">
        <v>154</v>
      </c>
      <c r="N194" s="66" t="s">
        <v>176</v>
      </c>
      <c r="O194" s="66" t="s">
        <v>184</v>
      </c>
      <c r="P194" s="66" t="s">
        <v>51</v>
      </c>
      <c r="Q194" s="66" t="s">
        <v>132</v>
      </c>
      <c r="R194" s="66" t="s">
        <v>113</v>
      </c>
    </row>
    <row r="195" spans="1:18" s="67" customFormat="1">
      <c r="A195" s="66" t="str">
        <f>VLOOKUP(C195,classifications!C:F,4,FALSE)</f>
        <v>SD</v>
      </c>
      <c r="B195" s="66" t="s">
        <v>621</v>
      </c>
      <c r="C195" s="66" t="s">
        <v>181</v>
      </c>
      <c r="D195" s="66" t="s">
        <v>132</v>
      </c>
      <c r="E195" s="66" t="s">
        <v>45</v>
      </c>
      <c r="F195" s="66" t="s">
        <v>62</v>
      </c>
      <c r="G195" s="66" t="s">
        <v>50</v>
      </c>
      <c r="H195" s="66" t="s">
        <v>97</v>
      </c>
      <c r="I195" s="66" t="s">
        <v>98</v>
      </c>
      <c r="J195" s="66" t="s">
        <v>109</v>
      </c>
      <c r="K195" s="66" t="s">
        <v>78</v>
      </c>
      <c r="L195" s="66" t="s">
        <v>102</v>
      </c>
      <c r="M195" s="66" t="s">
        <v>12</v>
      </c>
      <c r="N195" s="66" t="s">
        <v>154</v>
      </c>
      <c r="O195" s="66" t="s">
        <v>170</v>
      </c>
      <c r="P195" s="66" t="s">
        <v>23</v>
      </c>
      <c r="Q195" s="66" t="s">
        <v>157</v>
      </c>
      <c r="R195" s="66" t="s">
        <v>101</v>
      </c>
    </row>
    <row r="196" spans="1:18" s="67" customFormat="1">
      <c r="A196" s="66" t="str">
        <f>VLOOKUP(C196,classifications!C:F,4,FALSE)</f>
        <v>SD</v>
      </c>
      <c r="B196" s="66" t="s">
        <v>622</v>
      </c>
      <c r="C196" s="66" t="s">
        <v>40</v>
      </c>
      <c r="D196" s="66" t="s">
        <v>182</v>
      </c>
      <c r="E196" s="66" t="s">
        <v>127</v>
      </c>
      <c r="F196" s="66" t="s">
        <v>53</v>
      </c>
      <c r="G196" s="66" t="s">
        <v>93</v>
      </c>
      <c r="H196" s="66" t="s">
        <v>121</v>
      </c>
      <c r="I196" s="66" t="s">
        <v>37</v>
      </c>
      <c r="J196" s="66" t="s">
        <v>186</v>
      </c>
      <c r="K196" s="66" t="s">
        <v>71</v>
      </c>
      <c r="L196" s="66" t="s">
        <v>140</v>
      </c>
      <c r="M196" s="66" t="s">
        <v>8</v>
      </c>
      <c r="N196" s="66" t="s">
        <v>54</v>
      </c>
      <c r="O196" s="66" t="s">
        <v>113</v>
      </c>
      <c r="P196" s="66" t="s">
        <v>164</v>
      </c>
      <c r="Q196" s="66" t="s">
        <v>45</v>
      </c>
      <c r="R196" s="66" t="s">
        <v>158</v>
      </c>
    </row>
    <row r="197" spans="1:18" s="67" customFormat="1">
      <c r="A197" s="66" t="str">
        <f>VLOOKUP(C197,classifications!C:F,4,FALSE)</f>
        <v>SD</v>
      </c>
      <c r="B197" s="66" t="s">
        <v>623</v>
      </c>
      <c r="C197" s="66" t="s">
        <v>54</v>
      </c>
      <c r="D197" s="66" t="s">
        <v>44</v>
      </c>
      <c r="E197" s="66" t="s">
        <v>53</v>
      </c>
      <c r="F197" s="66" t="s">
        <v>98</v>
      </c>
      <c r="G197" s="66" t="s">
        <v>78</v>
      </c>
      <c r="H197" s="66" t="s">
        <v>156</v>
      </c>
      <c r="I197" s="66" t="s">
        <v>37</v>
      </c>
      <c r="J197" s="66" t="s">
        <v>182</v>
      </c>
      <c r="K197" s="66" t="s">
        <v>178</v>
      </c>
      <c r="L197" s="66" t="s">
        <v>109</v>
      </c>
      <c r="M197" s="66" t="s">
        <v>181</v>
      </c>
      <c r="N197" s="66" t="s">
        <v>121</v>
      </c>
      <c r="O197" s="66" t="s">
        <v>45</v>
      </c>
      <c r="P197" s="66" t="s">
        <v>127</v>
      </c>
      <c r="Q197" s="66" t="s">
        <v>50</v>
      </c>
      <c r="R197" s="66" t="s">
        <v>192</v>
      </c>
    </row>
    <row r="198" spans="1:18" s="67" customFormat="1">
      <c r="A198" s="66" t="str">
        <f>VLOOKUP(C198,classifications!C:F,4,FALSE)</f>
        <v>SD</v>
      </c>
      <c r="B198" s="66" t="s">
        <v>624</v>
      </c>
      <c r="C198" s="66" t="s">
        <v>109</v>
      </c>
      <c r="D198" s="66" t="s">
        <v>12</v>
      </c>
      <c r="E198" s="66" t="s">
        <v>78</v>
      </c>
      <c r="F198" s="66" t="s">
        <v>102</v>
      </c>
      <c r="G198" s="66" t="s">
        <v>192</v>
      </c>
      <c r="H198" s="66" t="s">
        <v>100</v>
      </c>
      <c r="I198" s="66" t="s">
        <v>98</v>
      </c>
      <c r="J198" s="66" t="s">
        <v>97</v>
      </c>
      <c r="K198" s="66" t="s">
        <v>167</v>
      </c>
      <c r="L198" s="66" t="s">
        <v>103</v>
      </c>
      <c r="M198" s="66" t="s">
        <v>101</v>
      </c>
      <c r="N198" s="66" t="s">
        <v>50</v>
      </c>
      <c r="O198" s="66" t="s">
        <v>157</v>
      </c>
      <c r="P198" s="66" t="s">
        <v>123</v>
      </c>
      <c r="Q198" s="66" t="s">
        <v>144</v>
      </c>
      <c r="R198" s="66" t="s">
        <v>181</v>
      </c>
    </row>
    <row r="199" spans="1:18" s="67" customFormat="1">
      <c r="A199" s="66" t="str">
        <f>VLOOKUP(C199,classifications!C:F,4,FALSE)</f>
        <v>SD</v>
      </c>
      <c r="B199" s="66" t="s">
        <v>625</v>
      </c>
      <c r="C199" s="66" t="s">
        <v>121</v>
      </c>
      <c r="D199" s="66" t="s">
        <v>140</v>
      </c>
      <c r="E199" s="66" t="s">
        <v>182</v>
      </c>
      <c r="F199" s="66" t="s">
        <v>158</v>
      </c>
      <c r="G199" s="66" t="s">
        <v>37</v>
      </c>
      <c r="H199" s="66" t="s">
        <v>93</v>
      </c>
      <c r="I199" s="66" t="s">
        <v>44</v>
      </c>
      <c r="J199" s="66" t="s">
        <v>78</v>
      </c>
      <c r="K199" s="66" t="s">
        <v>109</v>
      </c>
      <c r="L199" s="66" t="s">
        <v>62</v>
      </c>
      <c r="M199" s="66" t="s">
        <v>12</v>
      </c>
      <c r="N199" s="66" t="s">
        <v>50</v>
      </c>
      <c r="O199" s="66" t="s">
        <v>45</v>
      </c>
      <c r="P199" s="66" t="s">
        <v>170</v>
      </c>
      <c r="Q199" s="66" t="s">
        <v>156</v>
      </c>
      <c r="R199" s="66" t="s">
        <v>71</v>
      </c>
    </row>
    <row r="200" spans="1:18" s="67" customFormat="1">
      <c r="A200" s="66" t="str">
        <f>VLOOKUP(C200,classifications!C:F,4,FALSE)</f>
        <v>SD</v>
      </c>
      <c r="B200" s="66" t="s">
        <v>626</v>
      </c>
      <c r="C200" s="66" t="s">
        <v>182</v>
      </c>
      <c r="D200" s="66" t="s">
        <v>140</v>
      </c>
      <c r="E200" s="66" t="s">
        <v>37</v>
      </c>
      <c r="F200" s="66" t="s">
        <v>53</v>
      </c>
      <c r="G200" s="66" t="s">
        <v>127</v>
      </c>
      <c r="H200" s="66" t="s">
        <v>143</v>
      </c>
      <c r="I200" s="66" t="s">
        <v>164</v>
      </c>
      <c r="J200" s="66" t="s">
        <v>113</v>
      </c>
      <c r="K200" s="66" t="s">
        <v>71</v>
      </c>
      <c r="L200" s="66" t="s">
        <v>121</v>
      </c>
      <c r="M200" s="66" t="s">
        <v>158</v>
      </c>
      <c r="N200" s="66" t="s">
        <v>93</v>
      </c>
      <c r="O200" s="66" t="s">
        <v>106</v>
      </c>
      <c r="P200" s="66" t="s">
        <v>44</v>
      </c>
      <c r="Q200" s="66" t="s">
        <v>108</v>
      </c>
      <c r="R200" s="66" t="s">
        <v>50</v>
      </c>
    </row>
    <row r="201" spans="1:18" s="67" customFormat="1">
      <c r="A201" s="66" t="str">
        <f>VLOOKUP(C201,classifications!C:F,4,FALSE)</f>
        <v>SD</v>
      </c>
      <c r="B201" s="66" t="s">
        <v>627</v>
      </c>
      <c r="C201" s="66" t="s">
        <v>350</v>
      </c>
      <c r="D201" s="66" t="s">
        <v>108</v>
      </c>
      <c r="E201" s="66" t="s">
        <v>4</v>
      </c>
      <c r="F201" s="66" t="s">
        <v>170</v>
      </c>
      <c r="G201" s="66" t="s">
        <v>164</v>
      </c>
      <c r="H201" s="66" t="s">
        <v>71</v>
      </c>
      <c r="I201" s="66" t="s">
        <v>194</v>
      </c>
      <c r="J201" s="66" t="s">
        <v>163</v>
      </c>
      <c r="K201" s="66" t="s">
        <v>191</v>
      </c>
      <c r="L201" s="66" t="s">
        <v>6</v>
      </c>
      <c r="M201" s="66" t="s">
        <v>134</v>
      </c>
      <c r="N201" s="66" t="s">
        <v>93</v>
      </c>
      <c r="O201" s="66" t="s">
        <v>30</v>
      </c>
      <c r="P201" s="66" t="s">
        <v>101</v>
      </c>
      <c r="Q201" s="66" t="s">
        <v>92</v>
      </c>
      <c r="R201" s="66" t="s">
        <v>182</v>
      </c>
    </row>
    <row r="202" spans="1:18" s="67" customFormat="1">
      <c r="A202" s="66" t="str">
        <f>VLOOKUP(C202,classifications!C:F,4,FALSE)</f>
        <v>SD</v>
      </c>
      <c r="B202" s="66" t="s">
        <v>628</v>
      </c>
      <c r="C202" s="66" t="s">
        <v>60</v>
      </c>
      <c r="D202" s="66" t="s">
        <v>191</v>
      </c>
      <c r="E202" s="66" t="s">
        <v>897</v>
      </c>
      <c r="F202" s="66" t="s">
        <v>34</v>
      </c>
      <c r="G202" s="66" t="s">
        <v>168</v>
      </c>
      <c r="H202" s="66" t="s">
        <v>66</v>
      </c>
      <c r="I202" s="66" t="s">
        <v>8</v>
      </c>
      <c r="J202" s="66" t="s">
        <v>4</v>
      </c>
      <c r="K202" s="66" t="s">
        <v>195</v>
      </c>
      <c r="L202" s="66" t="s">
        <v>83</v>
      </c>
      <c r="M202" s="66" t="s">
        <v>163</v>
      </c>
      <c r="N202" s="66" t="s">
        <v>133</v>
      </c>
      <c r="O202" s="66" t="s">
        <v>190</v>
      </c>
      <c r="P202" s="66" t="s">
        <v>93</v>
      </c>
      <c r="Q202" s="66" t="s">
        <v>29</v>
      </c>
      <c r="R202" s="66" t="s">
        <v>90</v>
      </c>
    </row>
    <row r="203" spans="1:18" s="67" customFormat="1">
      <c r="A203" s="66" t="str">
        <f>VLOOKUP(C203,classifications!C:F,4,FALSE)</f>
        <v>SD</v>
      </c>
      <c r="B203" s="66" t="s">
        <v>629</v>
      </c>
      <c r="C203" s="66" t="s">
        <v>83</v>
      </c>
      <c r="D203" s="66" t="s">
        <v>168</v>
      </c>
      <c r="E203" s="66" t="s">
        <v>76</v>
      </c>
      <c r="F203" s="66" t="s">
        <v>897</v>
      </c>
      <c r="G203" s="66" t="s">
        <v>74</v>
      </c>
      <c r="H203" s="66" t="s">
        <v>95</v>
      </c>
      <c r="I203" s="66" t="s">
        <v>90</v>
      </c>
      <c r="J203" s="66" t="s">
        <v>190</v>
      </c>
      <c r="K203" s="66" t="s">
        <v>191</v>
      </c>
      <c r="L203" s="66" t="s">
        <v>60</v>
      </c>
      <c r="M203" s="66" t="s">
        <v>13</v>
      </c>
      <c r="N203" s="66" t="s">
        <v>120</v>
      </c>
      <c r="O203" s="66" t="s">
        <v>89</v>
      </c>
      <c r="P203" s="66" t="s">
        <v>51</v>
      </c>
      <c r="Q203" s="66" t="s">
        <v>119</v>
      </c>
      <c r="R203" s="66" t="s">
        <v>36</v>
      </c>
    </row>
    <row r="204" spans="1:18" s="67" customFormat="1">
      <c r="A204" s="66" t="str">
        <f>VLOOKUP(C204,classifications!C:F,4,FALSE)</f>
        <v>SD</v>
      </c>
      <c r="B204" s="66" t="s">
        <v>630</v>
      </c>
      <c r="C204" s="66" t="s">
        <v>93</v>
      </c>
      <c r="D204" s="66" t="s">
        <v>164</v>
      </c>
      <c r="E204" s="66" t="s">
        <v>134</v>
      </c>
      <c r="F204" s="66" t="s">
        <v>125</v>
      </c>
      <c r="G204" s="66" t="s">
        <v>158</v>
      </c>
      <c r="H204" s="66" t="s">
        <v>4</v>
      </c>
      <c r="I204" s="66" t="s">
        <v>8</v>
      </c>
      <c r="J204" s="66" t="s">
        <v>71</v>
      </c>
      <c r="K204" s="66" t="s">
        <v>37</v>
      </c>
      <c r="L204" s="66" t="s">
        <v>897</v>
      </c>
      <c r="M204" s="66" t="s">
        <v>182</v>
      </c>
      <c r="N204" s="66" t="s">
        <v>170</v>
      </c>
      <c r="O204" s="66" t="s">
        <v>67</v>
      </c>
      <c r="P204" s="66" t="s">
        <v>108</v>
      </c>
      <c r="Q204" s="66" t="s">
        <v>178</v>
      </c>
      <c r="R204" s="66" t="s">
        <v>140</v>
      </c>
    </row>
    <row r="205" spans="1:18" s="67" customFormat="1">
      <c r="A205" s="66" t="str">
        <f>VLOOKUP(C205,classifications!C:F,4,FALSE)</f>
        <v>SD</v>
      </c>
      <c r="B205" s="66" t="s">
        <v>631</v>
      </c>
      <c r="C205" s="66" t="s">
        <v>127</v>
      </c>
      <c r="D205" s="66" t="s">
        <v>53</v>
      </c>
      <c r="E205" s="66" t="s">
        <v>182</v>
      </c>
      <c r="F205" s="66" t="s">
        <v>113</v>
      </c>
      <c r="G205" s="66" t="s">
        <v>37</v>
      </c>
      <c r="H205" s="66" t="s">
        <v>71</v>
      </c>
      <c r="I205" s="66" t="s">
        <v>164</v>
      </c>
      <c r="J205" s="66" t="s">
        <v>140</v>
      </c>
      <c r="K205" s="66" t="s">
        <v>93</v>
      </c>
      <c r="L205" s="66" t="s">
        <v>8</v>
      </c>
      <c r="M205" s="66" t="s">
        <v>98</v>
      </c>
      <c r="N205" s="66" t="s">
        <v>40</v>
      </c>
      <c r="O205" s="66" t="s">
        <v>106</v>
      </c>
      <c r="P205" s="66" t="s">
        <v>121</v>
      </c>
      <c r="Q205" s="66" t="s">
        <v>186</v>
      </c>
      <c r="R205" s="66" t="s">
        <v>158</v>
      </c>
    </row>
    <row r="206" spans="1:18" s="67" customFormat="1">
      <c r="A206" s="66" t="str">
        <f>VLOOKUP(C206,classifications!C:F,4,FALSE)</f>
        <v>SD</v>
      </c>
      <c r="B206" s="66" t="s">
        <v>632</v>
      </c>
      <c r="C206" s="66" t="s">
        <v>178</v>
      </c>
      <c r="D206" s="66" t="s">
        <v>106</v>
      </c>
      <c r="E206" s="66" t="s">
        <v>164</v>
      </c>
      <c r="F206" s="66" t="s">
        <v>158</v>
      </c>
      <c r="G206" s="66" t="s">
        <v>37</v>
      </c>
      <c r="H206" s="66" t="s">
        <v>87</v>
      </c>
      <c r="I206" s="66" t="s">
        <v>93</v>
      </c>
      <c r="J206" s="66" t="s">
        <v>53</v>
      </c>
      <c r="K206" s="66" t="s">
        <v>67</v>
      </c>
      <c r="L206" s="66" t="s">
        <v>140</v>
      </c>
      <c r="M206" s="66" t="s">
        <v>156</v>
      </c>
      <c r="N206" s="66" t="s">
        <v>55</v>
      </c>
      <c r="O206" s="66" t="s">
        <v>81</v>
      </c>
      <c r="P206" s="66" t="s">
        <v>182</v>
      </c>
      <c r="Q206" s="66" t="s">
        <v>104</v>
      </c>
      <c r="R206" s="66" t="s">
        <v>78</v>
      </c>
    </row>
    <row r="207" spans="1:18" s="67" customFormat="1">
      <c r="A207" s="66" t="str">
        <f>VLOOKUP(C207,classifications!C:F,4,FALSE)</f>
        <v>SD</v>
      </c>
      <c r="B207" s="66" t="s">
        <v>633</v>
      </c>
      <c r="C207" s="66" t="s">
        <v>14</v>
      </c>
      <c r="D207" s="66" t="s">
        <v>47</v>
      </c>
      <c r="E207" s="66" t="s">
        <v>41</v>
      </c>
      <c r="F207" s="66" t="s">
        <v>19</v>
      </c>
      <c r="G207" s="66" t="s">
        <v>73</v>
      </c>
      <c r="H207" s="66" t="s">
        <v>111</v>
      </c>
      <c r="I207" s="66" t="s">
        <v>342</v>
      </c>
      <c r="J207" s="66" t="s">
        <v>116</v>
      </c>
      <c r="K207" s="66" t="s">
        <v>155</v>
      </c>
      <c r="L207" s="66" t="s">
        <v>90</v>
      </c>
      <c r="M207" s="66" t="s">
        <v>122</v>
      </c>
      <c r="N207" s="66" t="s">
        <v>346</v>
      </c>
      <c r="O207" s="66" t="s">
        <v>96</v>
      </c>
      <c r="P207" s="66" t="s">
        <v>75</v>
      </c>
      <c r="Q207" s="66" t="s">
        <v>33</v>
      </c>
      <c r="R207" s="66" t="s">
        <v>160</v>
      </c>
    </row>
    <row r="208" spans="1:18" s="67" customFormat="1">
      <c r="A208" s="66" t="str">
        <f>VLOOKUP(C208,classifications!C:F,4,FALSE)</f>
        <v>SD</v>
      </c>
      <c r="B208" s="66" t="s">
        <v>634</v>
      </c>
      <c r="C208" s="66" t="s">
        <v>19</v>
      </c>
      <c r="D208" s="66" t="s">
        <v>96</v>
      </c>
      <c r="E208" s="66" t="s">
        <v>142</v>
      </c>
      <c r="F208" s="66" t="s">
        <v>111</v>
      </c>
      <c r="G208" s="66" t="s">
        <v>41</v>
      </c>
      <c r="H208" s="66" t="s">
        <v>345</v>
      </c>
      <c r="I208" s="66" t="s">
        <v>39</v>
      </c>
      <c r="J208" s="66" t="s">
        <v>183</v>
      </c>
      <c r="K208" s="66" t="s">
        <v>88</v>
      </c>
      <c r="L208" s="66" t="s">
        <v>157</v>
      </c>
      <c r="M208" s="66" t="s">
        <v>152</v>
      </c>
      <c r="N208" s="66" t="s">
        <v>128</v>
      </c>
      <c r="O208" s="66" t="s">
        <v>58</v>
      </c>
      <c r="P208" s="66" t="s">
        <v>153</v>
      </c>
      <c r="Q208" s="66" t="s">
        <v>10</v>
      </c>
      <c r="R208" s="66" t="s">
        <v>32</v>
      </c>
    </row>
    <row r="209" spans="1:18" s="67" customFormat="1">
      <c r="A209" s="66" t="str">
        <f>VLOOKUP(C209,classifications!C:F,4,FALSE)</f>
        <v>SD</v>
      </c>
      <c r="B209" s="66" t="s">
        <v>635</v>
      </c>
      <c r="C209" s="66" t="s">
        <v>21</v>
      </c>
      <c r="D209" s="66" t="s">
        <v>64</v>
      </c>
      <c r="E209" s="66" t="s">
        <v>188</v>
      </c>
      <c r="F209" s="66" t="s">
        <v>55</v>
      </c>
      <c r="G209" s="66" t="s">
        <v>136</v>
      </c>
      <c r="H209" s="66" t="s">
        <v>169</v>
      </c>
      <c r="I209" s="66" t="s">
        <v>87</v>
      </c>
      <c r="J209" s="66" t="s">
        <v>159</v>
      </c>
      <c r="K209" s="66" t="s">
        <v>173</v>
      </c>
      <c r="L209" s="66" t="s">
        <v>150</v>
      </c>
      <c r="M209" s="66" t="s">
        <v>105</v>
      </c>
      <c r="N209" s="66" t="s">
        <v>166</v>
      </c>
      <c r="O209" s="66" t="s">
        <v>162</v>
      </c>
      <c r="P209" s="66" t="s">
        <v>348</v>
      </c>
      <c r="Q209" s="66" t="s">
        <v>104</v>
      </c>
      <c r="R209" s="66" t="s">
        <v>185</v>
      </c>
    </row>
    <row r="210" spans="1:18" s="67" customFormat="1">
      <c r="A210" s="66" t="str">
        <f>VLOOKUP(C210,classifications!C:F,4,FALSE)</f>
        <v>SD</v>
      </c>
      <c r="B210" s="66" t="s">
        <v>636</v>
      </c>
      <c r="C210" s="66" t="s">
        <v>31</v>
      </c>
      <c r="D210" s="66" t="s">
        <v>72</v>
      </c>
      <c r="E210" s="66" t="s">
        <v>154</v>
      </c>
      <c r="F210" s="66" t="s">
        <v>147</v>
      </c>
      <c r="G210" s="66" t="s">
        <v>25</v>
      </c>
      <c r="H210" s="66" t="s">
        <v>344</v>
      </c>
      <c r="I210" s="66" t="s">
        <v>94</v>
      </c>
      <c r="J210" s="66" t="s">
        <v>149</v>
      </c>
      <c r="K210" s="66" t="s">
        <v>347</v>
      </c>
      <c r="L210" s="66" t="s">
        <v>195</v>
      </c>
      <c r="M210" s="66" t="s">
        <v>86</v>
      </c>
      <c r="N210" s="66" t="s">
        <v>65</v>
      </c>
      <c r="O210" s="66" t="s">
        <v>39</v>
      </c>
      <c r="P210" s="66" t="s">
        <v>7</v>
      </c>
      <c r="Q210" s="66" t="s">
        <v>23</v>
      </c>
      <c r="R210" s="66" t="s">
        <v>157</v>
      </c>
    </row>
    <row r="211" spans="1:18" s="67" customFormat="1">
      <c r="A211" s="66" t="str">
        <f>VLOOKUP(C211,classifications!C:F,4,FALSE)</f>
        <v>SD</v>
      </c>
      <c r="B211" s="66" t="s">
        <v>637</v>
      </c>
      <c r="C211" s="66" t="s">
        <v>33</v>
      </c>
      <c r="D211" s="66" t="s">
        <v>96</v>
      </c>
      <c r="E211" s="66" t="s">
        <v>41</v>
      </c>
      <c r="F211" s="66" t="s">
        <v>174</v>
      </c>
      <c r="G211" s="66" t="s">
        <v>342</v>
      </c>
      <c r="H211" s="66" t="s">
        <v>88</v>
      </c>
      <c r="I211" s="66" t="s">
        <v>47</v>
      </c>
      <c r="J211" s="66" t="s">
        <v>32</v>
      </c>
      <c r="K211" s="66" t="s">
        <v>56</v>
      </c>
      <c r="L211" s="66" t="s">
        <v>153</v>
      </c>
      <c r="M211" s="66" t="s">
        <v>81</v>
      </c>
      <c r="N211" s="66" t="s">
        <v>19</v>
      </c>
      <c r="O211" s="66" t="s">
        <v>111</v>
      </c>
      <c r="P211" s="66" t="s">
        <v>104</v>
      </c>
      <c r="Q211" s="66" t="s">
        <v>166</v>
      </c>
      <c r="R211" s="66" t="s">
        <v>193</v>
      </c>
    </row>
    <row r="212" spans="1:18" s="67" customFormat="1">
      <c r="A212" s="66" t="str">
        <f>VLOOKUP(C212,classifications!C:F,4,FALSE)</f>
        <v>SD</v>
      </c>
      <c r="B212" s="66" t="s">
        <v>638</v>
      </c>
      <c r="C212" s="66" t="s">
        <v>41</v>
      </c>
      <c r="D212" s="66" t="s">
        <v>96</v>
      </c>
      <c r="E212" s="66" t="s">
        <v>32</v>
      </c>
      <c r="F212" s="66" t="s">
        <v>33</v>
      </c>
      <c r="G212" s="66" t="s">
        <v>19</v>
      </c>
      <c r="H212" s="66" t="s">
        <v>88</v>
      </c>
      <c r="I212" s="66" t="s">
        <v>111</v>
      </c>
      <c r="J212" s="66" t="s">
        <v>342</v>
      </c>
      <c r="K212" s="66" t="s">
        <v>153</v>
      </c>
      <c r="L212" s="66" t="s">
        <v>174</v>
      </c>
      <c r="M212" s="66" t="s">
        <v>128</v>
      </c>
      <c r="N212" s="66" t="s">
        <v>142</v>
      </c>
      <c r="O212" s="66" t="s">
        <v>47</v>
      </c>
      <c r="P212" s="66" t="s">
        <v>35</v>
      </c>
      <c r="Q212" s="66" t="s">
        <v>152</v>
      </c>
      <c r="R212" s="66" t="s">
        <v>59</v>
      </c>
    </row>
    <row r="213" spans="1:18" s="67" customFormat="1">
      <c r="A213" s="66" t="str">
        <f>VLOOKUP(C213,classifications!C:F,4,FALSE)</f>
        <v>SD</v>
      </c>
      <c r="B213" s="66" t="s">
        <v>639</v>
      </c>
      <c r="C213" s="66" t="s">
        <v>64</v>
      </c>
      <c r="D213" s="66" t="s">
        <v>136</v>
      </c>
      <c r="E213" s="66" t="s">
        <v>55</v>
      </c>
      <c r="F213" s="66" t="s">
        <v>111</v>
      </c>
      <c r="G213" s="66" t="s">
        <v>87</v>
      </c>
      <c r="H213" s="66" t="s">
        <v>56</v>
      </c>
      <c r="I213" s="66" t="s">
        <v>21</v>
      </c>
      <c r="J213" s="66" t="s">
        <v>166</v>
      </c>
      <c r="K213" s="66" t="s">
        <v>188</v>
      </c>
      <c r="L213" s="66" t="s">
        <v>146</v>
      </c>
      <c r="M213" s="66" t="s">
        <v>169</v>
      </c>
      <c r="N213" s="66" t="s">
        <v>104</v>
      </c>
      <c r="O213" s="66" t="s">
        <v>348</v>
      </c>
      <c r="P213" s="66" t="s">
        <v>173</v>
      </c>
      <c r="Q213" s="66" t="s">
        <v>185</v>
      </c>
      <c r="R213" s="66" t="s">
        <v>96</v>
      </c>
    </row>
    <row r="214" spans="1:18" s="67" customFormat="1">
      <c r="A214" s="66" t="str">
        <f>VLOOKUP(C214,classifications!C:F,4,FALSE)</f>
        <v>SD</v>
      </c>
      <c r="B214" s="66" t="s">
        <v>640</v>
      </c>
      <c r="C214" s="66" t="s">
        <v>80</v>
      </c>
      <c r="D214" s="66" t="s">
        <v>155</v>
      </c>
      <c r="E214" s="66" t="s">
        <v>90</v>
      </c>
      <c r="F214" s="66" t="s">
        <v>122</v>
      </c>
      <c r="G214" s="66" t="s">
        <v>14</v>
      </c>
      <c r="H214" s="66" t="s">
        <v>43</v>
      </c>
      <c r="I214" s="66" t="s">
        <v>161</v>
      </c>
      <c r="J214" s="66" t="s">
        <v>131</v>
      </c>
      <c r="K214" s="66" t="s">
        <v>75</v>
      </c>
      <c r="L214" s="66" t="s">
        <v>180</v>
      </c>
      <c r="M214" s="66" t="s">
        <v>46</v>
      </c>
      <c r="N214" s="66" t="s">
        <v>36</v>
      </c>
      <c r="O214" s="66" t="s">
        <v>120</v>
      </c>
      <c r="P214" s="66" t="s">
        <v>95</v>
      </c>
      <c r="Q214" s="66" t="s">
        <v>179</v>
      </c>
      <c r="R214" s="66" t="s">
        <v>73</v>
      </c>
    </row>
    <row r="215" spans="1:18" s="67" customFormat="1">
      <c r="A215" s="66" t="str">
        <f>VLOOKUP(C215,classifications!C:F,4,FALSE)</f>
        <v>SD</v>
      </c>
      <c r="B215" s="66" t="s">
        <v>641</v>
      </c>
      <c r="C215" s="66" t="s">
        <v>97</v>
      </c>
      <c r="D215" s="66" t="s">
        <v>100</v>
      </c>
      <c r="E215" s="66" t="s">
        <v>124</v>
      </c>
      <c r="F215" s="66" t="s">
        <v>167</v>
      </c>
      <c r="G215" s="66" t="s">
        <v>157</v>
      </c>
      <c r="H215" s="66" t="s">
        <v>23</v>
      </c>
      <c r="I215" s="66" t="s">
        <v>109</v>
      </c>
      <c r="J215" s="66" t="s">
        <v>94</v>
      </c>
      <c r="K215" s="66" t="s">
        <v>123</v>
      </c>
      <c r="L215" s="66" t="s">
        <v>78</v>
      </c>
      <c r="M215" s="66" t="s">
        <v>12</v>
      </c>
      <c r="N215" s="66" t="s">
        <v>102</v>
      </c>
      <c r="O215" s="66" t="s">
        <v>79</v>
      </c>
      <c r="P215" s="66" t="s">
        <v>181</v>
      </c>
      <c r="Q215" s="66" t="s">
        <v>70</v>
      </c>
      <c r="R215" s="66" t="s">
        <v>149</v>
      </c>
    </row>
    <row r="216" spans="1:18" s="67" customFormat="1">
      <c r="A216" s="66" t="str">
        <f>VLOOKUP(C216,classifications!C:F,4,FALSE)</f>
        <v>SD</v>
      </c>
      <c r="B216" s="66" t="s">
        <v>642</v>
      </c>
      <c r="C216" s="66" t="s">
        <v>125</v>
      </c>
      <c r="D216" s="66" t="s">
        <v>67</v>
      </c>
      <c r="E216" s="66" t="s">
        <v>93</v>
      </c>
      <c r="F216" s="66" t="s">
        <v>61</v>
      </c>
      <c r="G216" s="66" t="s">
        <v>130</v>
      </c>
      <c r="H216" s="66" t="s">
        <v>94</v>
      </c>
      <c r="I216" s="66" t="s">
        <v>16</v>
      </c>
      <c r="J216" s="66" t="s">
        <v>102</v>
      </c>
      <c r="K216" s="66" t="s">
        <v>164</v>
      </c>
      <c r="L216" s="66" t="s">
        <v>344</v>
      </c>
      <c r="M216" s="66" t="s">
        <v>31</v>
      </c>
      <c r="N216" s="66" t="s">
        <v>4</v>
      </c>
      <c r="O216" s="66" t="s">
        <v>134</v>
      </c>
      <c r="P216" s="66" t="s">
        <v>147</v>
      </c>
      <c r="Q216" s="66" t="s">
        <v>170</v>
      </c>
      <c r="R216" s="66" t="s">
        <v>178</v>
      </c>
    </row>
    <row r="217" spans="1:18" s="67" customFormat="1">
      <c r="A217" s="66" t="str">
        <f>VLOOKUP(C217,classifications!C:F,4,FALSE)</f>
        <v>SD</v>
      </c>
      <c r="B217" s="66" t="s">
        <v>643</v>
      </c>
      <c r="C217" s="66" t="s">
        <v>165</v>
      </c>
      <c r="D217" s="66" t="s">
        <v>176</v>
      </c>
      <c r="E217" s="66" t="s">
        <v>194</v>
      </c>
      <c r="F217" s="66" t="s">
        <v>897</v>
      </c>
      <c r="G217" s="66" t="s">
        <v>8</v>
      </c>
      <c r="H217" s="66" t="s">
        <v>57</v>
      </c>
      <c r="I217" s="66" t="s">
        <v>51</v>
      </c>
      <c r="J217" s="66" t="s">
        <v>133</v>
      </c>
      <c r="K217" s="66" t="s">
        <v>164</v>
      </c>
      <c r="L217" s="66" t="s">
        <v>170</v>
      </c>
      <c r="M217" s="66" t="s">
        <v>113</v>
      </c>
      <c r="N217" s="66" t="s">
        <v>108</v>
      </c>
      <c r="O217" s="66" t="s">
        <v>134</v>
      </c>
      <c r="P217" s="66" t="s">
        <v>168</v>
      </c>
      <c r="Q217" s="66" t="s">
        <v>71</v>
      </c>
      <c r="R217" s="66" t="s">
        <v>76</v>
      </c>
    </row>
    <row r="218" spans="1:18" s="67" customFormat="1">
      <c r="A218" s="66" t="str">
        <f>VLOOKUP(C218,classifications!C:F,4,FALSE)</f>
        <v>SD</v>
      </c>
      <c r="B218" s="66" t="s">
        <v>644</v>
      </c>
      <c r="C218" s="66" t="s">
        <v>172</v>
      </c>
      <c r="D218" s="66" t="s">
        <v>79</v>
      </c>
      <c r="E218" s="66" t="s">
        <v>145</v>
      </c>
      <c r="F218" s="66" t="s">
        <v>188</v>
      </c>
      <c r="G218" s="66" t="s">
        <v>136</v>
      </c>
      <c r="H218" s="66" t="s">
        <v>138</v>
      </c>
      <c r="I218" s="66" t="s">
        <v>349</v>
      </c>
      <c r="J218" s="66" t="s">
        <v>166</v>
      </c>
      <c r="K218" s="66" t="s">
        <v>173</v>
      </c>
      <c r="L218" s="66" t="s">
        <v>146</v>
      </c>
      <c r="M218" s="66" t="s">
        <v>82</v>
      </c>
      <c r="N218" s="66" t="s">
        <v>167</v>
      </c>
      <c r="O218" s="66" t="s">
        <v>55</v>
      </c>
      <c r="P218" s="66" t="s">
        <v>156</v>
      </c>
      <c r="Q218" s="66" t="s">
        <v>87</v>
      </c>
      <c r="R218" s="66" t="s">
        <v>185</v>
      </c>
    </row>
    <row r="219" spans="1:18" s="67" customFormat="1">
      <c r="A219" s="66" t="str">
        <f>VLOOKUP(C219,classifications!C:F,4,FALSE)</f>
        <v>SD</v>
      </c>
      <c r="B219" s="66" t="s">
        <v>645</v>
      </c>
      <c r="C219" s="66" t="s">
        <v>34</v>
      </c>
      <c r="D219" s="66" t="s">
        <v>174</v>
      </c>
      <c r="E219" s="66" t="s">
        <v>66</v>
      </c>
      <c r="F219" s="66" t="s">
        <v>190</v>
      </c>
      <c r="G219" s="66" t="s">
        <v>24</v>
      </c>
      <c r="H219" s="66" t="s">
        <v>73</v>
      </c>
      <c r="I219" s="66" t="s">
        <v>33</v>
      </c>
      <c r="J219" s="66" t="s">
        <v>41</v>
      </c>
      <c r="K219" s="66" t="s">
        <v>128</v>
      </c>
      <c r="L219" s="66" t="s">
        <v>29</v>
      </c>
      <c r="M219" s="66" t="s">
        <v>163</v>
      </c>
      <c r="N219" s="66" t="s">
        <v>171</v>
      </c>
      <c r="O219" s="66" t="s">
        <v>131</v>
      </c>
      <c r="P219" s="66" t="s">
        <v>96</v>
      </c>
      <c r="Q219" s="66" t="s">
        <v>191</v>
      </c>
      <c r="R219" s="66" t="s">
        <v>111</v>
      </c>
    </row>
    <row r="220" spans="1:18" s="67" customFormat="1">
      <c r="A220" s="66" t="str">
        <f>VLOOKUP(C220,classifications!C:F,4,FALSE)</f>
        <v>SD</v>
      </c>
      <c r="B220" s="66" t="s">
        <v>646</v>
      </c>
      <c r="C220" s="66" t="s">
        <v>44</v>
      </c>
      <c r="D220" s="66" t="s">
        <v>156</v>
      </c>
      <c r="E220" s="66" t="s">
        <v>78</v>
      </c>
      <c r="F220" s="66" t="s">
        <v>50</v>
      </c>
      <c r="G220" s="66" t="s">
        <v>45</v>
      </c>
      <c r="H220" s="66" t="s">
        <v>192</v>
      </c>
      <c r="I220" s="66" t="s">
        <v>140</v>
      </c>
      <c r="J220" s="66" t="s">
        <v>109</v>
      </c>
      <c r="K220" s="66" t="s">
        <v>132</v>
      </c>
      <c r="L220" s="66" t="s">
        <v>37</v>
      </c>
      <c r="M220" s="66" t="s">
        <v>98</v>
      </c>
      <c r="N220" s="66" t="s">
        <v>62</v>
      </c>
      <c r="O220" s="66" t="s">
        <v>182</v>
      </c>
      <c r="P220" s="66" t="s">
        <v>181</v>
      </c>
      <c r="Q220" s="66" t="s">
        <v>121</v>
      </c>
      <c r="R220" s="66" t="s">
        <v>12</v>
      </c>
    </row>
    <row r="221" spans="1:18" s="67" customFormat="1">
      <c r="A221" s="66" t="str">
        <f>VLOOKUP(C221,classifications!C:F,4,FALSE)</f>
        <v>SD</v>
      </c>
      <c r="B221" s="66" t="s">
        <v>647</v>
      </c>
      <c r="C221" s="66" t="s">
        <v>70</v>
      </c>
      <c r="D221" s="66" t="s">
        <v>184</v>
      </c>
      <c r="E221" s="66" t="s">
        <v>100</v>
      </c>
      <c r="F221" s="66" t="s">
        <v>12</v>
      </c>
      <c r="G221" s="66" t="s">
        <v>345</v>
      </c>
      <c r="H221" s="66" t="s">
        <v>97</v>
      </c>
      <c r="I221" s="66" t="s">
        <v>112</v>
      </c>
      <c r="J221" s="66" t="s">
        <v>183</v>
      </c>
      <c r="K221" s="66" t="s">
        <v>144</v>
      </c>
      <c r="L221" s="66" t="s">
        <v>103</v>
      </c>
      <c r="M221" s="66" t="s">
        <v>109</v>
      </c>
      <c r="N221" s="66" t="s">
        <v>157</v>
      </c>
      <c r="O221" s="66" t="s">
        <v>154</v>
      </c>
      <c r="P221" s="66" t="s">
        <v>344</v>
      </c>
      <c r="Q221" s="66" t="s">
        <v>20</v>
      </c>
      <c r="R221" s="66" t="s">
        <v>102</v>
      </c>
    </row>
    <row r="222" spans="1:18" s="67" customFormat="1">
      <c r="A222" s="66" t="str">
        <f>VLOOKUP(C222,classifications!C:F,4,FALSE)</f>
        <v>SD</v>
      </c>
      <c r="B222" s="66" t="s">
        <v>648</v>
      </c>
      <c r="C222" s="66" t="s">
        <v>73</v>
      </c>
      <c r="D222" s="66" t="s">
        <v>190</v>
      </c>
      <c r="E222" s="66" t="s">
        <v>91</v>
      </c>
      <c r="F222" s="66" t="s">
        <v>346</v>
      </c>
      <c r="G222" s="66" t="s">
        <v>131</v>
      </c>
      <c r="H222" s="66" t="s">
        <v>59</v>
      </c>
      <c r="I222" s="66" t="s">
        <v>75</v>
      </c>
      <c r="J222" s="66" t="s">
        <v>28</v>
      </c>
      <c r="K222" s="66" t="s">
        <v>90</v>
      </c>
      <c r="L222" s="66" t="s">
        <v>128</v>
      </c>
      <c r="M222" s="66" t="s">
        <v>122</v>
      </c>
      <c r="N222" s="66" t="s">
        <v>119</v>
      </c>
      <c r="O222" s="66" t="s">
        <v>161</v>
      </c>
      <c r="P222" s="66" t="s">
        <v>65</v>
      </c>
      <c r="Q222" s="66" t="s">
        <v>99</v>
      </c>
      <c r="R222" s="66" t="s">
        <v>41</v>
      </c>
    </row>
    <row r="223" spans="1:18" s="67" customFormat="1">
      <c r="A223" s="66" t="str">
        <f>VLOOKUP(C223,classifications!C:F,4,FALSE)</f>
        <v>SD</v>
      </c>
      <c r="B223" s="66" t="s">
        <v>649</v>
      </c>
      <c r="C223" s="66" t="s">
        <v>157</v>
      </c>
      <c r="D223" s="66" t="s">
        <v>94</v>
      </c>
      <c r="E223" s="66" t="s">
        <v>101</v>
      </c>
      <c r="F223" s="66" t="s">
        <v>23</v>
      </c>
      <c r="G223" s="66" t="s">
        <v>344</v>
      </c>
      <c r="H223" s="66" t="s">
        <v>149</v>
      </c>
      <c r="I223" s="66" t="s">
        <v>167</v>
      </c>
      <c r="J223" s="66" t="s">
        <v>97</v>
      </c>
      <c r="K223" s="66" t="s">
        <v>153</v>
      </c>
      <c r="L223" s="66" t="s">
        <v>163</v>
      </c>
      <c r="M223" s="66" t="s">
        <v>185</v>
      </c>
      <c r="N223" s="66" t="s">
        <v>55</v>
      </c>
      <c r="O223" s="66" t="s">
        <v>102</v>
      </c>
      <c r="P223" s="66" t="s">
        <v>12</v>
      </c>
      <c r="Q223" s="66" t="s">
        <v>166</v>
      </c>
      <c r="R223" s="66" t="s">
        <v>345</v>
      </c>
    </row>
    <row r="224" spans="1:18" s="67" customFormat="1">
      <c r="A224" s="66" t="str">
        <f>VLOOKUP(C224,classifications!C:F,4,FALSE)</f>
        <v>SD</v>
      </c>
      <c r="B224" s="66" t="s">
        <v>650</v>
      </c>
      <c r="C224" s="66" t="s">
        <v>167</v>
      </c>
      <c r="D224" s="66" t="s">
        <v>166</v>
      </c>
      <c r="E224" s="66" t="s">
        <v>12</v>
      </c>
      <c r="F224" s="66" t="s">
        <v>97</v>
      </c>
      <c r="G224" s="66" t="s">
        <v>157</v>
      </c>
      <c r="H224" s="66" t="s">
        <v>79</v>
      </c>
      <c r="I224" s="66" t="s">
        <v>100</v>
      </c>
      <c r="J224" s="66" t="s">
        <v>94</v>
      </c>
      <c r="K224" s="66" t="s">
        <v>185</v>
      </c>
      <c r="L224" s="66" t="s">
        <v>109</v>
      </c>
      <c r="M224" s="66" t="s">
        <v>192</v>
      </c>
      <c r="N224" s="66" t="s">
        <v>78</v>
      </c>
      <c r="O224" s="66" t="s">
        <v>23</v>
      </c>
      <c r="P224" s="66" t="s">
        <v>130</v>
      </c>
      <c r="Q224" s="66" t="s">
        <v>49</v>
      </c>
      <c r="R224" s="66" t="s">
        <v>344</v>
      </c>
    </row>
    <row r="225" spans="1:18" s="67" customFormat="1">
      <c r="A225" s="66" t="str">
        <f>VLOOKUP(C225,classifications!C:F,4,FALSE)</f>
        <v>SD</v>
      </c>
      <c r="B225" s="66" t="s">
        <v>651</v>
      </c>
      <c r="C225" s="66" t="s">
        <v>342</v>
      </c>
      <c r="D225" s="66" t="s">
        <v>88</v>
      </c>
      <c r="E225" s="66" t="s">
        <v>47</v>
      </c>
      <c r="F225" s="66" t="s">
        <v>33</v>
      </c>
      <c r="G225" s="66" t="s">
        <v>96</v>
      </c>
      <c r="H225" s="66" t="s">
        <v>193</v>
      </c>
      <c r="I225" s="66" t="s">
        <v>11</v>
      </c>
      <c r="J225" s="66" t="s">
        <v>35</v>
      </c>
      <c r="K225" s="66" t="s">
        <v>41</v>
      </c>
      <c r="L225" s="66" t="s">
        <v>349</v>
      </c>
      <c r="M225" s="66" t="s">
        <v>56</v>
      </c>
      <c r="N225" s="66" t="s">
        <v>19</v>
      </c>
      <c r="O225" s="66" t="s">
        <v>111</v>
      </c>
      <c r="P225" s="66" t="s">
        <v>166</v>
      </c>
      <c r="Q225" s="66" t="s">
        <v>173</v>
      </c>
      <c r="R225" s="66" t="s">
        <v>10</v>
      </c>
    </row>
    <row r="226" spans="1:18" s="67" customFormat="1">
      <c r="A226" s="66" t="str">
        <f>VLOOKUP(C226,classifications!C:F,4,FALSE)</f>
        <v>SD</v>
      </c>
      <c r="B226" s="66" t="s">
        <v>652</v>
      </c>
      <c r="C226" s="66" t="s">
        <v>55</v>
      </c>
      <c r="D226" s="66" t="s">
        <v>146</v>
      </c>
      <c r="E226" s="66" t="s">
        <v>136</v>
      </c>
      <c r="F226" s="66" t="s">
        <v>185</v>
      </c>
      <c r="G226" s="66" t="s">
        <v>87</v>
      </c>
      <c r="H226" s="66" t="s">
        <v>166</v>
      </c>
      <c r="I226" s="66" t="s">
        <v>64</v>
      </c>
      <c r="J226" s="66" t="s">
        <v>104</v>
      </c>
      <c r="K226" s="66" t="s">
        <v>157</v>
      </c>
      <c r="L226" s="66" t="s">
        <v>56</v>
      </c>
      <c r="M226" s="66" t="s">
        <v>173</v>
      </c>
      <c r="N226" s="66" t="s">
        <v>188</v>
      </c>
      <c r="O226" s="66" t="s">
        <v>130</v>
      </c>
      <c r="P226" s="66" t="s">
        <v>79</v>
      </c>
      <c r="Q226" s="66" t="s">
        <v>23</v>
      </c>
      <c r="R226" s="66" t="s">
        <v>167</v>
      </c>
    </row>
    <row r="227" spans="1:18" s="67" customFormat="1">
      <c r="A227" s="66" t="str">
        <f>VLOOKUP(C227,classifications!C:F,4,FALSE)</f>
        <v>SD</v>
      </c>
      <c r="B227" s="66" t="s">
        <v>653</v>
      </c>
      <c r="C227" s="66" t="s">
        <v>61</v>
      </c>
      <c r="D227" s="66" t="s">
        <v>67</v>
      </c>
      <c r="E227" s="66" t="s">
        <v>125</v>
      </c>
      <c r="F227" s="66" t="s">
        <v>33</v>
      </c>
      <c r="G227" s="66" t="s">
        <v>128</v>
      </c>
      <c r="H227" s="66" t="s">
        <v>88</v>
      </c>
      <c r="I227" s="66" t="s">
        <v>96</v>
      </c>
      <c r="J227" s="66" t="s">
        <v>84</v>
      </c>
      <c r="K227" s="66" t="s">
        <v>16</v>
      </c>
      <c r="L227" s="66" t="s">
        <v>35</v>
      </c>
      <c r="M227" s="66" t="s">
        <v>166</v>
      </c>
      <c r="N227" s="66" t="s">
        <v>342</v>
      </c>
      <c r="O227" s="66" t="s">
        <v>147</v>
      </c>
      <c r="P227" s="66" t="s">
        <v>29</v>
      </c>
      <c r="Q227" s="66" t="s">
        <v>153</v>
      </c>
      <c r="R227" s="66" t="s">
        <v>160</v>
      </c>
    </row>
    <row r="228" spans="1:18" s="67" customFormat="1">
      <c r="A228" s="66" t="str">
        <f>VLOOKUP(C228,classifications!C:F,4,FALSE)</f>
        <v>SD</v>
      </c>
      <c r="B228" s="66" t="s">
        <v>654</v>
      </c>
      <c r="C228" s="66" t="s">
        <v>67</v>
      </c>
      <c r="D228" s="66" t="s">
        <v>125</v>
      </c>
      <c r="E228" s="66" t="s">
        <v>61</v>
      </c>
      <c r="F228" s="66" t="s">
        <v>93</v>
      </c>
      <c r="G228" s="66" t="s">
        <v>130</v>
      </c>
      <c r="H228" s="66" t="s">
        <v>158</v>
      </c>
      <c r="I228" s="66" t="s">
        <v>164</v>
      </c>
      <c r="J228" s="66" t="s">
        <v>178</v>
      </c>
      <c r="K228" s="66" t="s">
        <v>94</v>
      </c>
      <c r="L228" s="66" t="s">
        <v>16</v>
      </c>
      <c r="M228" s="66" t="s">
        <v>23</v>
      </c>
      <c r="N228" s="66" t="s">
        <v>153</v>
      </c>
      <c r="O228" s="66" t="s">
        <v>185</v>
      </c>
      <c r="P228" s="66" t="s">
        <v>167</v>
      </c>
      <c r="Q228" s="66" t="s">
        <v>166</v>
      </c>
      <c r="R228" s="66" t="s">
        <v>147</v>
      </c>
    </row>
    <row r="229" spans="1:18" s="67" customFormat="1">
      <c r="A229" s="66" t="str">
        <f>VLOOKUP(C229,classifications!C:F,4,FALSE)</f>
        <v>SD</v>
      </c>
      <c r="B229" s="66" t="s">
        <v>655</v>
      </c>
      <c r="C229" s="66" t="s">
        <v>74</v>
      </c>
      <c r="D229" s="66" t="s">
        <v>84</v>
      </c>
      <c r="E229" s="66" t="s">
        <v>4</v>
      </c>
      <c r="F229" s="66" t="s">
        <v>160</v>
      </c>
      <c r="G229" s="66" t="s">
        <v>75</v>
      </c>
      <c r="H229" s="66" t="s">
        <v>73</v>
      </c>
      <c r="I229" s="66" t="s">
        <v>51</v>
      </c>
      <c r="J229" s="66" t="s">
        <v>897</v>
      </c>
      <c r="K229" s="66" t="s">
        <v>346</v>
      </c>
      <c r="L229" s="66" t="s">
        <v>28</v>
      </c>
      <c r="M229" s="66" t="s">
        <v>91</v>
      </c>
      <c r="N229" s="66" t="s">
        <v>13</v>
      </c>
      <c r="O229" s="66" t="s">
        <v>190</v>
      </c>
      <c r="P229" s="66" t="s">
        <v>99</v>
      </c>
      <c r="Q229" s="66" t="s">
        <v>161</v>
      </c>
      <c r="R229" s="66" t="s">
        <v>122</v>
      </c>
    </row>
    <row r="230" spans="1:18" s="67" customFormat="1">
      <c r="A230" s="66" t="str">
        <f>VLOOKUP(C230,classifications!C:F,4,FALSE)</f>
        <v>SD</v>
      </c>
      <c r="B230" s="66" t="s">
        <v>656</v>
      </c>
      <c r="C230" s="66" t="s">
        <v>82</v>
      </c>
      <c r="D230" s="66" t="s">
        <v>136</v>
      </c>
      <c r="E230" s="66" t="s">
        <v>38</v>
      </c>
      <c r="F230" s="66" t="s">
        <v>146</v>
      </c>
      <c r="G230" s="66" t="s">
        <v>55</v>
      </c>
      <c r="H230" s="66" t="s">
        <v>104</v>
      </c>
      <c r="I230" s="66" t="s">
        <v>169</v>
      </c>
      <c r="J230" s="66" t="s">
        <v>56</v>
      </c>
      <c r="K230" s="66" t="s">
        <v>87</v>
      </c>
      <c r="L230" s="66" t="s">
        <v>172</v>
      </c>
      <c r="M230" s="66" t="s">
        <v>188</v>
      </c>
      <c r="N230" s="66" t="s">
        <v>151</v>
      </c>
      <c r="O230" s="66" t="s">
        <v>145</v>
      </c>
      <c r="P230" s="66" t="s">
        <v>159</v>
      </c>
      <c r="Q230" s="66" t="s">
        <v>79</v>
      </c>
      <c r="R230" s="66" t="s">
        <v>173</v>
      </c>
    </row>
    <row r="231" spans="1:18" s="67" customFormat="1">
      <c r="A231" s="66" t="str">
        <f>VLOOKUP(C231,classifications!C:F,4,FALSE)</f>
        <v>SD</v>
      </c>
      <c r="B231" s="66" t="s">
        <v>657</v>
      </c>
      <c r="C231" s="66" t="s">
        <v>84</v>
      </c>
      <c r="D231" s="66" t="s">
        <v>4</v>
      </c>
      <c r="E231" s="66" t="s">
        <v>51</v>
      </c>
      <c r="F231" s="66" t="s">
        <v>29</v>
      </c>
      <c r="G231" s="66" t="s">
        <v>61</v>
      </c>
      <c r="H231" s="66" t="s">
        <v>74</v>
      </c>
      <c r="I231" s="66" t="s">
        <v>897</v>
      </c>
      <c r="J231" s="66" t="s">
        <v>134</v>
      </c>
      <c r="K231" s="66" t="s">
        <v>107</v>
      </c>
      <c r="L231" s="66" t="s">
        <v>195</v>
      </c>
      <c r="M231" s="66" t="s">
        <v>93</v>
      </c>
      <c r="N231" s="66" t="s">
        <v>160</v>
      </c>
      <c r="O231" s="66" t="s">
        <v>176</v>
      </c>
      <c r="P231" s="66" t="s">
        <v>65</v>
      </c>
      <c r="Q231" s="66" t="s">
        <v>153</v>
      </c>
      <c r="R231" s="66" t="s">
        <v>67</v>
      </c>
    </row>
    <row r="232" spans="1:18" s="67" customFormat="1">
      <c r="A232" s="66" t="str">
        <f>VLOOKUP(C232,classifications!C:F,4,FALSE)</f>
        <v>SD</v>
      </c>
      <c r="B232" s="66" t="s">
        <v>658</v>
      </c>
      <c r="C232" s="66" t="s">
        <v>106</v>
      </c>
      <c r="D232" s="66" t="s">
        <v>53</v>
      </c>
      <c r="E232" s="66" t="s">
        <v>178</v>
      </c>
      <c r="F232" s="66" t="s">
        <v>158</v>
      </c>
      <c r="G232" s="66" t="s">
        <v>164</v>
      </c>
      <c r="H232" s="66" t="s">
        <v>37</v>
      </c>
      <c r="I232" s="66" t="s">
        <v>182</v>
      </c>
      <c r="J232" s="66" t="s">
        <v>8</v>
      </c>
      <c r="K232" s="66" t="s">
        <v>93</v>
      </c>
      <c r="L232" s="66" t="s">
        <v>140</v>
      </c>
      <c r="M232" s="66" t="s">
        <v>156</v>
      </c>
      <c r="N232" s="66" t="s">
        <v>148</v>
      </c>
      <c r="O232" s="66" t="s">
        <v>67</v>
      </c>
      <c r="P232" s="66" t="s">
        <v>127</v>
      </c>
      <c r="Q232" s="66" t="s">
        <v>81</v>
      </c>
      <c r="R232" s="66" t="s">
        <v>143</v>
      </c>
    </row>
    <row r="233" spans="1:18" s="67" customFormat="1">
      <c r="A233" s="66" t="str">
        <f>VLOOKUP(C233,classifications!C:F,4,FALSE)</f>
        <v>SD</v>
      </c>
      <c r="B233" s="66" t="s">
        <v>659</v>
      </c>
      <c r="C233" s="66" t="s">
        <v>131</v>
      </c>
      <c r="D233" s="66" t="s">
        <v>73</v>
      </c>
      <c r="E233" s="66" t="s">
        <v>190</v>
      </c>
      <c r="F233" s="66" t="s">
        <v>24</v>
      </c>
      <c r="G233" s="66" t="s">
        <v>122</v>
      </c>
      <c r="H233" s="66" t="s">
        <v>128</v>
      </c>
      <c r="I233" s="66" t="s">
        <v>75</v>
      </c>
      <c r="J233" s="66" t="s">
        <v>91</v>
      </c>
      <c r="K233" s="66" t="s">
        <v>155</v>
      </c>
      <c r="L233" s="66" t="s">
        <v>48</v>
      </c>
      <c r="M233" s="66" t="s">
        <v>34</v>
      </c>
      <c r="N233" s="66" t="s">
        <v>179</v>
      </c>
      <c r="O233" s="66" t="s">
        <v>59</v>
      </c>
      <c r="P233" s="66" t="s">
        <v>175</v>
      </c>
      <c r="Q233" s="66" t="s">
        <v>90</v>
      </c>
      <c r="R233" s="66" t="s">
        <v>161</v>
      </c>
    </row>
    <row r="234" spans="1:18" s="67" customFormat="1">
      <c r="A234" s="66" t="str">
        <f>VLOOKUP(C234,classifications!C:F,4,FALSE)</f>
        <v>SD</v>
      </c>
      <c r="B234" s="66" t="s">
        <v>660</v>
      </c>
      <c r="C234" s="66" t="s">
        <v>166</v>
      </c>
      <c r="D234" s="66" t="s">
        <v>173</v>
      </c>
      <c r="E234" s="66" t="s">
        <v>185</v>
      </c>
      <c r="F234" s="66" t="s">
        <v>146</v>
      </c>
      <c r="G234" s="66" t="s">
        <v>55</v>
      </c>
      <c r="H234" s="66" t="s">
        <v>167</v>
      </c>
      <c r="I234" s="66" t="s">
        <v>349</v>
      </c>
      <c r="J234" s="66" t="s">
        <v>136</v>
      </c>
      <c r="K234" s="66" t="s">
        <v>188</v>
      </c>
      <c r="L234" s="66" t="s">
        <v>157</v>
      </c>
      <c r="M234" s="66" t="s">
        <v>56</v>
      </c>
      <c r="N234" s="66" t="s">
        <v>96</v>
      </c>
      <c r="O234" s="66" t="s">
        <v>64</v>
      </c>
      <c r="P234" s="66" t="s">
        <v>10</v>
      </c>
      <c r="Q234" s="66" t="s">
        <v>87</v>
      </c>
      <c r="R234" s="66" t="s">
        <v>79</v>
      </c>
    </row>
    <row r="235" spans="1:18" s="67" customFormat="1">
      <c r="A235" s="66" t="str">
        <f>VLOOKUP(C235,classifications!C:F,4,FALSE)</f>
        <v>SD</v>
      </c>
      <c r="B235" s="66" t="s">
        <v>661</v>
      </c>
      <c r="C235" s="66" t="s">
        <v>188</v>
      </c>
      <c r="D235" s="66" t="s">
        <v>173</v>
      </c>
      <c r="E235" s="66" t="s">
        <v>136</v>
      </c>
      <c r="F235" s="66" t="s">
        <v>166</v>
      </c>
      <c r="G235" s="66" t="s">
        <v>87</v>
      </c>
      <c r="H235" s="66" t="s">
        <v>55</v>
      </c>
      <c r="I235" s="66" t="s">
        <v>146</v>
      </c>
      <c r="J235" s="66" t="s">
        <v>64</v>
      </c>
      <c r="K235" s="66" t="s">
        <v>104</v>
      </c>
      <c r="L235" s="66" t="s">
        <v>21</v>
      </c>
      <c r="M235" s="66" t="s">
        <v>156</v>
      </c>
      <c r="N235" s="66" t="s">
        <v>56</v>
      </c>
      <c r="O235" s="66" t="s">
        <v>349</v>
      </c>
      <c r="P235" s="66" t="s">
        <v>185</v>
      </c>
      <c r="Q235" s="66" t="s">
        <v>172</v>
      </c>
      <c r="R235" s="66" t="s">
        <v>169</v>
      </c>
    </row>
    <row r="236" spans="1:18" s="67" customFormat="1">
      <c r="A236" s="66" t="str">
        <f>VLOOKUP(C236,classifications!C:F,4,FALSE)</f>
        <v>SD</v>
      </c>
      <c r="B236" s="66" t="s">
        <v>662</v>
      </c>
      <c r="C236" s="66" t="s">
        <v>23</v>
      </c>
      <c r="D236" s="66" t="s">
        <v>157</v>
      </c>
      <c r="E236" s="66" t="s">
        <v>94</v>
      </c>
      <c r="F236" s="66" t="s">
        <v>97</v>
      </c>
      <c r="G236" s="66" t="s">
        <v>149</v>
      </c>
      <c r="H236" s="66" t="s">
        <v>167</v>
      </c>
      <c r="I236" s="66" t="s">
        <v>130</v>
      </c>
      <c r="J236" s="66" t="s">
        <v>55</v>
      </c>
      <c r="K236" s="66" t="s">
        <v>79</v>
      </c>
      <c r="L236" s="66" t="s">
        <v>154</v>
      </c>
      <c r="M236" s="66" t="s">
        <v>344</v>
      </c>
      <c r="N236" s="66" t="s">
        <v>98</v>
      </c>
      <c r="O236" s="66" t="s">
        <v>153</v>
      </c>
      <c r="P236" s="66" t="s">
        <v>181</v>
      </c>
      <c r="Q236" s="66" t="s">
        <v>78</v>
      </c>
      <c r="R236" s="66" t="s">
        <v>123</v>
      </c>
    </row>
    <row r="237" spans="1:18" s="67" customFormat="1">
      <c r="A237" s="66" t="str">
        <f>VLOOKUP(C237,classifications!C:F,4,FALSE)</f>
        <v>SD</v>
      </c>
      <c r="B237" s="66" t="s">
        <v>663</v>
      </c>
      <c r="C237" s="66" t="s">
        <v>122</v>
      </c>
      <c r="D237" s="66" t="s">
        <v>161</v>
      </c>
      <c r="E237" s="66" t="s">
        <v>28</v>
      </c>
      <c r="F237" s="66" t="s">
        <v>155</v>
      </c>
      <c r="G237" s="66" t="s">
        <v>190</v>
      </c>
      <c r="H237" s="66" t="s">
        <v>75</v>
      </c>
      <c r="I237" s="66" t="s">
        <v>179</v>
      </c>
      <c r="J237" s="66" t="s">
        <v>91</v>
      </c>
      <c r="K237" s="66" t="s">
        <v>73</v>
      </c>
      <c r="L237" s="66" t="s">
        <v>131</v>
      </c>
      <c r="M237" s="66" t="s">
        <v>346</v>
      </c>
      <c r="N237" s="66" t="s">
        <v>90</v>
      </c>
      <c r="O237" s="66" t="s">
        <v>128</v>
      </c>
      <c r="P237" s="66" t="s">
        <v>99</v>
      </c>
      <c r="Q237" s="66" t="s">
        <v>59</v>
      </c>
      <c r="R237" s="66" t="s">
        <v>107</v>
      </c>
    </row>
    <row r="238" spans="1:18" s="67" customFormat="1">
      <c r="A238" s="66" t="str">
        <f>VLOOKUP(C238,classifications!C:F,4,FALSE)</f>
        <v>SD</v>
      </c>
      <c r="B238" s="66" t="s">
        <v>664</v>
      </c>
      <c r="C238" s="66" t="s">
        <v>190</v>
      </c>
      <c r="D238" s="66" t="s">
        <v>73</v>
      </c>
      <c r="E238" s="66" t="s">
        <v>28</v>
      </c>
      <c r="F238" s="66" t="s">
        <v>91</v>
      </c>
      <c r="G238" s="66" t="s">
        <v>59</v>
      </c>
      <c r="H238" s="66" t="s">
        <v>30</v>
      </c>
      <c r="I238" s="66" t="s">
        <v>131</v>
      </c>
      <c r="J238" s="66" t="s">
        <v>122</v>
      </c>
      <c r="K238" s="66" t="s">
        <v>86</v>
      </c>
      <c r="L238" s="66" t="s">
        <v>120</v>
      </c>
      <c r="M238" s="66" t="s">
        <v>346</v>
      </c>
      <c r="N238" s="66" t="s">
        <v>34</v>
      </c>
      <c r="O238" s="66" t="s">
        <v>161</v>
      </c>
      <c r="P238" s="66" t="s">
        <v>99</v>
      </c>
      <c r="Q238" s="66" t="s">
        <v>90</v>
      </c>
      <c r="R238" s="66" t="s">
        <v>75</v>
      </c>
    </row>
    <row r="239" spans="1:18" s="67" customFormat="1">
      <c r="A239" s="66" t="str">
        <f>VLOOKUP(C239,classifications!C:F,4,FALSE)</f>
        <v>SD</v>
      </c>
      <c r="B239" s="66" t="s">
        <v>665</v>
      </c>
      <c r="C239" s="66" t="s">
        <v>192</v>
      </c>
      <c r="D239" s="66" t="s">
        <v>156</v>
      </c>
      <c r="E239" s="66" t="s">
        <v>78</v>
      </c>
      <c r="F239" s="66" t="s">
        <v>12</v>
      </c>
      <c r="G239" s="66" t="s">
        <v>109</v>
      </c>
      <c r="H239" s="66" t="s">
        <v>167</v>
      </c>
      <c r="I239" s="66" t="s">
        <v>148</v>
      </c>
      <c r="J239" s="66" t="s">
        <v>98</v>
      </c>
      <c r="K239" s="66" t="s">
        <v>144</v>
      </c>
      <c r="L239" s="66" t="s">
        <v>157</v>
      </c>
      <c r="M239" s="66" t="s">
        <v>101</v>
      </c>
      <c r="N239" s="66" t="s">
        <v>103</v>
      </c>
      <c r="O239" s="66" t="s">
        <v>50</v>
      </c>
      <c r="P239" s="66" t="s">
        <v>163</v>
      </c>
      <c r="Q239" s="66" t="s">
        <v>97</v>
      </c>
      <c r="R239" s="66" t="s">
        <v>153</v>
      </c>
    </row>
    <row r="240" spans="1:18" s="67" customFormat="1">
      <c r="A240" s="66" t="str">
        <f>VLOOKUP(C240,classifications!C:F,4,FALSE)</f>
        <v>SD</v>
      </c>
      <c r="B240" s="66" t="s">
        <v>666</v>
      </c>
      <c r="C240" s="66" t="s">
        <v>195</v>
      </c>
      <c r="D240" s="66" t="s">
        <v>65</v>
      </c>
      <c r="E240" s="66" t="s">
        <v>7</v>
      </c>
      <c r="F240" s="66" t="s">
        <v>107</v>
      </c>
      <c r="G240" s="66" t="s">
        <v>30</v>
      </c>
      <c r="H240" s="66" t="s">
        <v>86</v>
      </c>
      <c r="I240" s="66" t="s">
        <v>183</v>
      </c>
      <c r="J240" s="66" t="s">
        <v>15</v>
      </c>
      <c r="K240" s="66" t="s">
        <v>72</v>
      </c>
      <c r="L240" s="66" t="s">
        <v>345</v>
      </c>
      <c r="M240" s="66" t="s">
        <v>142</v>
      </c>
      <c r="N240" s="66" t="s">
        <v>68</v>
      </c>
      <c r="O240" s="66" t="s">
        <v>28</v>
      </c>
      <c r="P240" s="66" t="s">
        <v>91</v>
      </c>
      <c r="Q240" s="66" t="s">
        <v>163</v>
      </c>
      <c r="R240" s="66" t="s">
        <v>99</v>
      </c>
    </row>
    <row r="241" spans="1:18" s="67" customFormat="1">
      <c r="A241" s="66" t="str">
        <f>VLOOKUP(C241,classifications!C:F,4,FALSE)</f>
        <v>SD</v>
      </c>
      <c r="B241" s="66" t="s">
        <v>667</v>
      </c>
      <c r="C241" s="66" t="s">
        <v>98</v>
      </c>
      <c r="D241" s="66" t="s">
        <v>109</v>
      </c>
      <c r="E241" s="66" t="s">
        <v>192</v>
      </c>
      <c r="F241" s="66" t="s">
        <v>12</v>
      </c>
      <c r="G241" s="66" t="s">
        <v>181</v>
      </c>
      <c r="H241" s="66" t="s">
        <v>78</v>
      </c>
      <c r="I241" s="66" t="s">
        <v>50</v>
      </c>
      <c r="J241" s="66" t="s">
        <v>97</v>
      </c>
      <c r="K241" s="66" t="s">
        <v>70</v>
      </c>
      <c r="L241" s="66" t="s">
        <v>167</v>
      </c>
      <c r="M241" s="66" t="s">
        <v>156</v>
      </c>
      <c r="N241" s="66" t="s">
        <v>23</v>
      </c>
      <c r="O241" s="66" t="s">
        <v>157</v>
      </c>
      <c r="P241" s="66" t="s">
        <v>132</v>
      </c>
      <c r="Q241" s="66" t="s">
        <v>44</v>
      </c>
      <c r="R241" s="66" t="s">
        <v>102</v>
      </c>
    </row>
    <row r="242" spans="1:18" s="67" customFormat="1">
      <c r="A242" s="66" t="str">
        <f>VLOOKUP(C242,classifications!C:F,4,FALSE)</f>
        <v>SD</v>
      </c>
      <c r="B242" s="66" t="s">
        <v>668</v>
      </c>
      <c r="C242" s="66" t="s">
        <v>24</v>
      </c>
      <c r="D242" s="66" t="s">
        <v>128</v>
      </c>
      <c r="E242" s="66" t="s">
        <v>85</v>
      </c>
      <c r="F242" s="66" t="s">
        <v>75</v>
      </c>
      <c r="G242" s="66" t="s">
        <v>96</v>
      </c>
      <c r="H242" s="66" t="s">
        <v>47</v>
      </c>
      <c r="I242" s="66" t="s">
        <v>131</v>
      </c>
      <c r="J242" s="66" t="s">
        <v>111</v>
      </c>
      <c r="K242" s="66" t="s">
        <v>10</v>
      </c>
      <c r="L242" s="66" t="s">
        <v>171</v>
      </c>
      <c r="M242" s="66" t="s">
        <v>91</v>
      </c>
      <c r="N242" s="66" t="s">
        <v>73</v>
      </c>
      <c r="O242" s="66" t="s">
        <v>34</v>
      </c>
      <c r="P242" s="66" t="s">
        <v>33</v>
      </c>
      <c r="Q242" s="66" t="s">
        <v>190</v>
      </c>
      <c r="R242" s="66" t="s">
        <v>169</v>
      </c>
    </row>
    <row r="243" spans="1:18" s="67" customFormat="1">
      <c r="A243" s="66" t="str">
        <f>VLOOKUP(C243,classifications!C:F,4,FALSE)</f>
        <v>SD</v>
      </c>
      <c r="B243" s="66" t="s">
        <v>669</v>
      </c>
      <c r="C243" s="66" t="s">
        <v>47</v>
      </c>
      <c r="D243" s="66" t="s">
        <v>111</v>
      </c>
      <c r="E243" s="66" t="s">
        <v>342</v>
      </c>
      <c r="F243" s="66" t="s">
        <v>33</v>
      </c>
      <c r="G243" s="66" t="s">
        <v>96</v>
      </c>
      <c r="H243" s="66" t="s">
        <v>180</v>
      </c>
      <c r="I243" s="66" t="s">
        <v>85</v>
      </c>
      <c r="J243" s="66" t="s">
        <v>171</v>
      </c>
      <c r="K243" s="66" t="s">
        <v>19</v>
      </c>
      <c r="L243" s="66" t="s">
        <v>349</v>
      </c>
      <c r="M243" s="66" t="s">
        <v>24</v>
      </c>
      <c r="N243" s="66" t="s">
        <v>41</v>
      </c>
      <c r="O243" s="66" t="s">
        <v>56</v>
      </c>
      <c r="P243" s="66" t="s">
        <v>64</v>
      </c>
      <c r="Q243" s="66" t="s">
        <v>10</v>
      </c>
      <c r="R243" s="66" t="s">
        <v>128</v>
      </c>
    </row>
    <row r="244" spans="1:18" s="67" customFormat="1">
      <c r="A244" s="66" t="str">
        <f>VLOOKUP(C244,classifications!C:F,4,FALSE)</f>
        <v>SD</v>
      </c>
      <c r="B244" s="66" t="s">
        <v>670</v>
      </c>
      <c r="C244" s="66" t="s">
        <v>56</v>
      </c>
      <c r="D244" s="66" t="s">
        <v>104</v>
      </c>
      <c r="E244" s="66" t="s">
        <v>87</v>
      </c>
      <c r="F244" s="66" t="s">
        <v>55</v>
      </c>
      <c r="G244" s="66" t="s">
        <v>96</v>
      </c>
      <c r="H244" s="66" t="s">
        <v>349</v>
      </c>
      <c r="I244" s="66" t="s">
        <v>166</v>
      </c>
      <c r="J244" s="66" t="s">
        <v>136</v>
      </c>
      <c r="K244" s="66" t="s">
        <v>64</v>
      </c>
      <c r="L244" s="66" t="s">
        <v>146</v>
      </c>
      <c r="M244" s="66" t="s">
        <v>33</v>
      </c>
      <c r="N244" s="66" t="s">
        <v>193</v>
      </c>
      <c r="O244" s="66" t="s">
        <v>11</v>
      </c>
      <c r="P244" s="66" t="s">
        <v>169</v>
      </c>
      <c r="Q244" s="66" t="s">
        <v>173</v>
      </c>
      <c r="R244" s="66" t="s">
        <v>188</v>
      </c>
    </row>
    <row r="245" spans="1:18" s="67" customFormat="1">
      <c r="A245" s="66" t="str">
        <f>VLOOKUP(C245,classifications!C:F,4,FALSE)</f>
        <v>SD</v>
      </c>
      <c r="B245" s="66" t="s">
        <v>671</v>
      </c>
      <c r="C245" s="66" t="s">
        <v>85</v>
      </c>
      <c r="D245" s="66" t="s">
        <v>169</v>
      </c>
      <c r="E245" s="66" t="s">
        <v>24</v>
      </c>
      <c r="F245" s="66" t="s">
        <v>47</v>
      </c>
      <c r="G245" s="66" t="s">
        <v>171</v>
      </c>
      <c r="H245" s="66" t="s">
        <v>111</v>
      </c>
      <c r="I245" s="66" t="s">
        <v>64</v>
      </c>
      <c r="J245" s="66" t="s">
        <v>180</v>
      </c>
      <c r="K245" s="66" t="s">
        <v>56</v>
      </c>
      <c r="L245" s="66" t="s">
        <v>151</v>
      </c>
      <c r="M245" s="66" t="s">
        <v>193</v>
      </c>
      <c r="N245" s="66" t="s">
        <v>128</v>
      </c>
      <c r="O245" s="66" t="s">
        <v>96</v>
      </c>
      <c r="P245" s="66" t="s">
        <v>188</v>
      </c>
      <c r="Q245" s="66" t="s">
        <v>349</v>
      </c>
      <c r="R245" s="66" t="s">
        <v>21</v>
      </c>
    </row>
    <row r="246" spans="1:18" s="67" customFormat="1">
      <c r="A246" s="66" t="str">
        <f>VLOOKUP(C246,classifications!C:F,4,FALSE)</f>
        <v>SD</v>
      </c>
      <c r="B246" s="66" t="s">
        <v>672</v>
      </c>
      <c r="C246" s="66" t="s">
        <v>111</v>
      </c>
      <c r="D246" s="66" t="s">
        <v>47</v>
      </c>
      <c r="E246" s="66" t="s">
        <v>19</v>
      </c>
      <c r="F246" s="66" t="s">
        <v>96</v>
      </c>
      <c r="G246" s="66" t="s">
        <v>64</v>
      </c>
      <c r="H246" s="66" t="s">
        <v>128</v>
      </c>
      <c r="I246" s="66" t="s">
        <v>163</v>
      </c>
      <c r="J246" s="66" t="s">
        <v>166</v>
      </c>
      <c r="K246" s="66" t="s">
        <v>41</v>
      </c>
      <c r="L246" s="66" t="s">
        <v>33</v>
      </c>
      <c r="M246" s="66" t="s">
        <v>157</v>
      </c>
      <c r="N246" s="66" t="s">
        <v>56</v>
      </c>
      <c r="O246" s="66" t="s">
        <v>10</v>
      </c>
      <c r="P246" s="66" t="s">
        <v>342</v>
      </c>
      <c r="Q246" s="66" t="s">
        <v>85</v>
      </c>
      <c r="R246" s="66" t="s">
        <v>152</v>
      </c>
    </row>
    <row r="247" spans="1:18" s="67" customFormat="1">
      <c r="A247" s="66" t="str">
        <f>VLOOKUP(C247,classifications!C:F,4,FALSE)</f>
        <v>SD</v>
      </c>
      <c r="B247" s="66" t="s">
        <v>673</v>
      </c>
      <c r="C247" s="66" t="s">
        <v>151</v>
      </c>
      <c r="D247" s="66" t="s">
        <v>104</v>
      </c>
      <c r="E247" s="66" t="s">
        <v>56</v>
      </c>
      <c r="F247" s="66" t="s">
        <v>169</v>
      </c>
      <c r="G247" s="66" t="s">
        <v>193</v>
      </c>
      <c r="H247" s="66" t="s">
        <v>82</v>
      </c>
      <c r="I247" s="66" t="s">
        <v>188</v>
      </c>
      <c r="J247" s="66" t="s">
        <v>87</v>
      </c>
      <c r="K247" s="66" t="s">
        <v>85</v>
      </c>
      <c r="L247" s="66" t="s">
        <v>171</v>
      </c>
      <c r="M247" s="66" t="s">
        <v>349</v>
      </c>
      <c r="N247" s="66" t="s">
        <v>38</v>
      </c>
      <c r="O247" s="66" t="s">
        <v>136</v>
      </c>
      <c r="P247" s="66" t="s">
        <v>173</v>
      </c>
      <c r="Q247" s="66" t="s">
        <v>348</v>
      </c>
      <c r="R247" s="66" t="s">
        <v>63</v>
      </c>
    </row>
    <row r="248" spans="1:18" s="67" customFormat="1">
      <c r="A248" s="66" t="str">
        <f>VLOOKUP(C248,classifications!C:F,4,FALSE)</f>
        <v>SD</v>
      </c>
      <c r="B248" s="66" t="s">
        <v>674</v>
      </c>
      <c r="C248" s="66" t="s">
        <v>155</v>
      </c>
      <c r="D248" s="66" t="s">
        <v>80</v>
      </c>
      <c r="E248" s="66" t="s">
        <v>122</v>
      </c>
      <c r="F248" s="66" t="s">
        <v>90</v>
      </c>
      <c r="G248" s="66" t="s">
        <v>131</v>
      </c>
      <c r="H248" s="66" t="s">
        <v>14</v>
      </c>
      <c r="I248" s="66" t="s">
        <v>161</v>
      </c>
      <c r="J248" s="66" t="s">
        <v>180</v>
      </c>
      <c r="K248" s="66" t="s">
        <v>75</v>
      </c>
      <c r="L248" s="66" t="s">
        <v>190</v>
      </c>
      <c r="M248" s="66" t="s">
        <v>73</v>
      </c>
      <c r="N248" s="66" t="s">
        <v>43</v>
      </c>
      <c r="O248" s="66" t="s">
        <v>120</v>
      </c>
      <c r="P248" s="66" t="s">
        <v>28</v>
      </c>
      <c r="Q248" s="66" t="s">
        <v>36</v>
      </c>
      <c r="R248" s="66" t="s">
        <v>179</v>
      </c>
    </row>
    <row r="249" spans="1:18" s="67" customFormat="1">
      <c r="A249" s="66" t="str">
        <f>VLOOKUP(C249,classifications!C:F,4,FALSE)</f>
        <v>SD</v>
      </c>
      <c r="B249" s="66" t="s">
        <v>675</v>
      </c>
      <c r="C249" s="66" t="s">
        <v>169</v>
      </c>
      <c r="D249" s="66" t="s">
        <v>85</v>
      </c>
      <c r="E249" s="66" t="s">
        <v>87</v>
      </c>
      <c r="F249" s="66" t="s">
        <v>56</v>
      </c>
      <c r="G249" s="66" t="s">
        <v>64</v>
      </c>
      <c r="H249" s="66" t="s">
        <v>55</v>
      </c>
      <c r="I249" s="66" t="s">
        <v>104</v>
      </c>
      <c r="J249" s="66" t="s">
        <v>21</v>
      </c>
      <c r="K249" s="66" t="s">
        <v>188</v>
      </c>
      <c r="L249" s="66" t="s">
        <v>151</v>
      </c>
      <c r="M249" s="66" t="s">
        <v>166</v>
      </c>
      <c r="N249" s="66" t="s">
        <v>136</v>
      </c>
      <c r="O249" s="66" t="s">
        <v>82</v>
      </c>
      <c r="P249" s="66" t="s">
        <v>349</v>
      </c>
      <c r="Q249" s="66" t="s">
        <v>173</v>
      </c>
      <c r="R249" s="66" t="s">
        <v>24</v>
      </c>
    </row>
    <row r="250" spans="1:18" s="67" customFormat="1">
      <c r="A250" s="66" t="str">
        <f>VLOOKUP(C250,classifications!C:F,4,FALSE)</f>
        <v>SD</v>
      </c>
      <c r="B250" s="66" t="s">
        <v>676</v>
      </c>
      <c r="C250" s="66" t="s">
        <v>175</v>
      </c>
      <c r="D250" s="66" t="s">
        <v>48</v>
      </c>
      <c r="E250" s="66" t="s">
        <v>131</v>
      </c>
      <c r="F250" s="66" t="s">
        <v>118</v>
      </c>
      <c r="G250" s="66" t="s">
        <v>120</v>
      </c>
      <c r="H250" s="66" t="s">
        <v>66</v>
      </c>
      <c r="I250" s="66" t="s">
        <v>24</v>
      </c>
      <c r="J250" s="66" t="s">
        <v>34</v>
      </c>
      <c r="K250" s="66" t="s">
        <v>190</v>
      </c>
      <c r="L250" s="66" t="s">
        <v>155</v>
      </c>
      <c r="M250" s="66" t="s">
        <v>27</v>
      </c>
      <c r="N250" s="66" t="s">
        <v>73</v>
      </c>
      <c r="O250" s="66" t="s">
        <v>85</v>
      </c>
      <c r="P250" s="66" t="s">
        <v>116</v>
      </c>
      <c r="Q250" s="66" t="s">
        <v>46</v>
      </c>
      <c r="R250" s="66" t="s">
        <v>180</v>
      </c>
    </row>
    <row r="251" spans="1:18" s="67" customFormat="1">
      <c r="A251" s="66" t="str">
        <f>VLOOKUP(C251,classifications!C:F,4,FALSE)</f>
        <v>SD</v>
      </c>
      <c r="B251" s="66" t="s">
        <v>677</v>
      </c>
      <c r="C251" s="66" t="s">
        <v>180</v>
      </c>
      <c r="D251" s="66" t="s">
        <v>47</v>
      </c>
      <c r="E251" s="66" t="s">
        <v>85</v>
      </c>
      <c r="F251" s="66" t="s">
        <v>111</v>
      </c>
      <c r="G251" s="66" t="s">
        <v>24</v>
      </c>
      <c r="H251" s="66" t="s">
        <v>155</v>
      </c>
      <c r="I251" s="66" t="s">
        <v>342</v>
      </c>
      <c r="J251" s="66" t="s">
        <v>128</v>
      </c>
      <c r="K251" s="66" t="s">
        <v>122</v>
      </c>
      <c r="L251" s="66" t="s">
        <v>174</v>
      </c>
      <c r="M251" s="66" t="s">
        <v>131</v>
      </c>
      <c r="N251" s="66" t="s">
        <v>41</v>
      </c>
      <c r="O251" s="66" t="s">
        <v>171</v>
      </c>
      <c r="P251" s="66" t="s">
        <v>33</v>
      </c>
      <c r="Q251" s="66" t="s">
        <v>14</v>
      </c>
      <c r="R251" s="66" t="s">
        <v>96</v>
      </c>
    </row>
    <row r="252" spans="1:18" s="67" customFormat="1">
      <c r="A252" s="66" t="str">
        <f>VLOOKUP(C252,classifications!C:F,4,FALSE)</f>
        <v>SD</v>
      </c>
      <c r="B252" s="66" t="s">
        <v>678</v>
      </c>
      <c r="C252" s="66" t="s">
        <v>10</v>
      </c>
      <c r="D252" s="66" t="s">
        <v>349</v>
      </c>
      <c r="E252" s="66" t="s">
        <v>96</v>
      </c>
      <c r="F252" s="66" t="s">
        <v>128</v>
      </c>
      <c r="G252" s="66" t="s">
        <v>58</v>
      </c>
      <c r="H252" s="66" t="s">
        <v>101</v>
      </c>
      <c r="I252" s="66" t="s">
        <v>152</v>
      </c>
      <c r="J252" s="66" t="s">
        <v>19</v>
      </c>
      <c r="K252" s="66" t="s">
        <v>166</v>
      </c>
      <c r="L252" s="66" t="s">
        <v>142</v>
      </c>
      <c r="M252" s="66" t="s">
        <v>59</v>
      </c>
      <c r="N252" s="66" t="s">
        <v>35</v>
      </c>
      <c r="O252" s="66" t="s">
        <v>88</v>
      </c>
      <c r="P252" s="66" t="s">
        <v>163</v>
      </c>
      <c r="Q252" s="66" t="s">
        <v>94</v>
      </c>
      <c r="R252" s="66" t="s">
        <v>111</v>
      </c>
    </row>
    <row r="253" spans="1:18" s="67" customFormat="1">
      <c r="A253" s="66" t="str">
        <f>VLOOKUP(C253,classifications!C:F,4,FALSE)</f>
        <v>SD</v>
      </c>
      <c r="B253" s="66" t="s">
        <v>679</v>
      </c>
      <c r="C253" s="66" t="s">
        <v>29</v>
      </c>
      <c r="D253" s="66" t="s">
        <v>897</v>
      </c>
      <c r="E253" s="66" t="s">
        <v>92</v>
      </c>
      <c r="F253" s="66" t="s">
        <v>51</v>
      </c>
      <c r="G253" s="66" t="s">
        <v>41</v>
      </c>
      <c r="H253" s="66" t="s">
        <v>32</v>
      </c>
      <c r="I253" s="66" t="s">
        <v>84</v>
      </c>
      <c r="J253" s="66" t="s">
        <v>174</v>
      </c>
      <c r="K253" s="66" t="s">
        <v>134</v>
      </c>
      <c r="L253" s="66" t="s">
        <v>93</v>
      </c>
      <c r="M253" s="66" t="s">
        <v>34</v>
      </c>
      <c r="N253" s="66" t="s">
        <v>153</v>
      </c>
      <c r="O253" s="66" t="s">
        <v>164</v>
      </c>
      <c r="P253" s="66" t="s">
        <v>61</v>
      </c>
      <c r="Q253" s="66" t="s">
        <v>96</v>
      </c>
      <c r="R253" s="66" t="s">
        <v>33</v>
      </c>
    </row>
    <row r="254" spans="1:18" s="67" customFormat="1">
      <c r="A254" s="66" t="str">
        <f>VLOOKUP(C254,classifications!C:F,4,FALSE)</f>
        <v>SD</v>
      </c>
      <c r="B254" s="66" t="s">
        <v>680</v>
      </c>
      <c r="C254" s="66" t="s">
        <v>48</v>
      </c>
      <c r="D254" s="66" t="s">
        <v>131</v>
      </c>
      <c r="E254" s="66" t="s">
        <v>175</v>
      </c>
      <c r="F254" s="66" t="s">
        <v>190</v>
      </c>
      <c r="G254" s="66" t="s">
        <v>73</v>
      </c>
      <c r="H254" s="66" t="s">
        <v>24</v>
      </c>
      <c r="I254" s="66" t="s">
        <v>59</v>
      </c>
      <c r="J254" s="66" t="s">
        <v>120</v>
      </c>
      <c r="K254" s="66" t="s">
        <v>128</v>
      </c>
      <c r="L254" s="66" t="s">
        <v>34</v>
      </c>
      <c r="M254" s="66" t="s">
        <v>155</v>
      </c>
      <c r="N254" s="66" t="s">
        <v>35</v>
      </c>
      <c r="O254" s="66" t="s">
        <v>66</v>
      </c>
      <c r="P254" s="66" t="s">
        <v>46</v>
      </c>
      <c r="Q254" s="66" t="s">
        <v>14</v>
      </c>
      <c r="R254" s="66" t="s">
        <v>91</v>
      </c>
    </row>
    <row r="255" spans="1:18" s="67" customFormat="1">
      <c r="A255" s="66" t="str">
        <f>VLOOKUP(C255,classifications!C:F,4,FALSE)</f>
        <v>SD</v>
      </c>
      <c r="B255" s="66" t="s">
        <v>681</v>
      </c>
      <c r="C255" s="66" t="s">
        <v>51</v>
      </c>
      <c r="D255" s="66" t="s">
        <v>134</v>
      </c>
      <c r="E255" s="66" t="s">
        <v>897</v>
      </c>
      <c r="F255" s="66" t="s">
        <v>160</v>
      </c>
      <c r="G255" s="66" t="s">
        <v>176</v>
      </c>
      <c r="H255" s="66" t="s">
        <v>195</v>
      </c>
      <c r="I255" s="66" t="s">
        <v>29</v>
      </c>
      <c r="J255" s="66" t="s">
        <v>6</v>
      </c>
      <c r="K255" s="66" t="s">
        <v>84</v>
      </c>
      <c r="L255" s="66" t="s">
        <v>108</v>
      </c>
      <c r="M255" s="66" t="s">
        <v>183</v>
      </c>
      <c r="N255" s="66" t="s">
        <v>4</v>
      </c>
      <c r="O255" s="66" t="s">
        <v>15</v>
      </c>
      <c r="P255" s="66" t="s">
        <v>345</v>
      </c>
      <c r="Q255" s="66" t="s">
        <v>68</v>
      </c>
      <c r="R255" s="66" t="s">
        <v>92</v>
      </c>
    </row>
    <row r="256" spans="1:18" s="67" customFormat="1">
      <c r="A256" s="66" t="str">
        <f>VLOOKUP(C256,classifications!C:F,4,FALSE)</f>
        <v>SD</v>
      </c>
      <c r="B256" s="66" t="s">
        <v>682</v>
      </c>
      <c r="C256" s="66" t="s">
        <v>75</v>
      </c>
      <c r="D256" s="66" t="s">
        <v>73</v>
      </c>
      <c r="E256" s="66" t="s">
        <v>24</v>
      </c>
      <c r="F256" s="66" t="s">
        <v>179</v>
      </c>
      <c r="G256" s="66" t="s">
        <v>122</v>
      </c>
      <c r="H256" s="66" t="s">
        <v>91</v>
      </c>
      <c r="I256" s="66" t="s">
        <v>90</v>
      </c>
      <c r="J256" s="66" t="s">
        <v>190</v>
      </c>
      <c r="K256" s="66" t="s">
        <v>128</v>
      </c>
      <c r="L256" s="66" t="s">
        <v>131</v>
      </c>
      <c r="M256" s="66" t="s">
        <v>346</v>
      </c>
      <c r="N256" s="66" t="s">
        <v>119</v>
      </c>
      <c r="O256" s="66" t="s">
        <v>161</v>
      </c>
      <c r="P256" s="66" t="s">
        <v>59</v>
      </c>
      <c r="Q256" s="66" t="s">
        <v>74</v>
      </c>
      <c r="R256" s="66" t="s">
        <v>160</v>
      </c>
    </row>
    <row r="257" spans="1:18" s="67" customFormat="1">
      <c r="A257" s="66" t="str">
        <f>VLOOKUP(C257,classifications!C:F,4,FALSE)</f>
        <v>SD</v>
      </c>
      <c r="B257" s="66" t="s">
        <v>683</v>
      </c>
      <c r="C257" s="66" t="s">
        <v>96</v>
      </c>
      <c r="D257" s="66" t="s">
        <v>33</v>
      </c>
      <c r="E257" s="66" t="s">
        <v>41</v>
      </c>
      <c r="F257" s="66" t="s">
        <v>19</v>
      </c>
      <c r="G257" s="66" t="s">
        <v>88</v>
      </c>
      <c r="H257" s="66" t="s">
        <v>10</v>
      </c>
      <c r="I257" s="66" t="s">
        <v>111</v>
      </c>
      <c r="J257" s="66" t="s">
        <v>32</v>
      </c>
      <c r="K257" s="66" t="s">
        <v>56</v>
      </c>
      <c r="L257" s="66" t="s">
        <v>128</v>
      </c>
      <c r="M257" s="66" t="s">
        <v>342</v>
      </c>
      <c r="N257" s="66" t="s">
        <v>81</v>
      </c>
      <c r="O257" s="66" t="s">
        <v>35</v>
      </c>
      <c r="P257" s="66" t="s">
        <v>166</v>
      </c>
      <c r="Q257" s="66" t="s">
        <v>153</v>
      </c>
      <c r="R257" s="66" t="s">
        <v>47</v>
      </c>
    </row>
    <row r="258" spans="1:18" s="67" customFormat="1">
      <c r="A258" s="66" t="str">
        <f>VLOOKUP(C258,classifications!C:F,4,FALSE)</f>
        <v>SD</v>
      </c>
      <c r="B258" s="66" t="s">
        <v>684</v>
      </c>
      <c r="C258" s="66" t="s">
        <v>136</v>
      </c>
      <c r="D258" s="66" t="s">
        <v>146</v>
      </c>
      <c r="E258" s="66" t="s">
        <v>55</v>
      </c>
      <c r="F258" s="66" t="s">
        <v>188</v>
      </c>
      <c r="G258" s="66" t="s">
        <v>64</v>
      </c>
      <c r="H258" s="66" t="s">
        <v>166</v>
      </c>
      <c r="I258" s="66" t="s">
        <v>185</v>
      </c>
      <c r="J258" s="66" t="s">
        <v>87</v>
      </c>
      <c r="K258" s="66" t="s">
        <v>173</v>
      </c>
      <c r="L258" s="66" t="s">
        <v>56</v>
      </c>
      <c r="M258" s="66" t="s">
        <v>177</v>
      </c>
      <c r="N258" s="66" t="s">
        <v>21</v>
      </c>
      <c r="O258" s="66" t="s">
        <v>104</v>
      </c>
      <c r="P258" s="66" t="s">
        <v>162</v>
      </c>
      <c r="Q258" s="66" t="s">
        <v>156</v>
      </c>
      <c r="R258" s="66" t="s">
        <v>172</v>
      </c>
    </row>
    <row r="259" spans="1:18" s="67" customFormat="1">
      <c r="A259" s="66" t="str">
        <f>VLOOKUP(C259,classifications!C:F,4,FALSE)</f>
        <v>SD</v>
      </c>
      <c r="B259" s="66" t="s">
        <v>685</v>
      </c>
      <c r="C259" s="66" t="s">
        <v>897</v>
      </c>
      <c r="D259" s="66" t="s">
        <v>51</v>
      </c>
      <c r="E259" s="66" t="s">
        <v>29</v>
      </c>
      <c r="F259" s="66" t="s">
        <v>176</v>
      </c>
      <c r="G259" s="66" t="s">
        <v>191</v>
      </c>
      <c r="H259" s="66" t="s">
        <v>4</v>
      </c>
      <c r="I259" s="66" t="s">
        <v>134</v>
      </c>
      <c r="J259" s="66" t="s">
        <v>108</v>
      </c>
      <c r="K259" s="66" t="s">
        <v>168</v>
      </c>
      <c r="L259" s="66" t="s">
        <v>93</v>
      </c>
      <c r="M259" s="66" t="s">
        <v>133</v>
      </c>
      <c r="N259" s="66" t="s">
        <v>195</v>
      </c>
      <c r="O259" s="66" t="s">
        <v>92</v>
      </c>
      <c r="P259" s="66" t="s">
        <v>84</v>
      </c>
      <c r="Q259" s="66" t="s">
        <v>160</v>
      </c>
      <c r="R259" s="66" t="s">
        <v>165</v>
      </c>
    </row>
    <row r="260" spans="1:18" s="67" customFormat="1">
      <c r="A260" s="66" t="str">
        <f>VLOOKUP(C260,classifications!C:F,4,FALSE)</f>
        <v>SD</v>
      </c>
      <c r="B260" s="66" t="s">
        <v>686</v>
      </c>
      <c r="C260" s="66" t="s">
        <v>160</v>
      </c>
      <c r="D260" s="66" t="s">
        <v>51</v>
      </c>
      <c r="E260" s="66" t="s">
        <v>134</v>
      </c>
      <c r="F260" s="66" t="s">
        <v>91</v>
      </c>
      <c r="G260" s="66" t="s">
        <v>346</v>
      </c>
      <c r="H260" s="66" t="s">
        <v>19</v>
      </c>
      <c r="I260" s="66" t="s">
        <v>65</v>
      </c>
      <c r="J260" s="66" t="s">
        <v>59</v>
      </c>
      <c r="K260" s="66" t="s">
        <v>73</v>
      </c>
      <c r="L260" s="66" t="s">
        <v>183</v>
      </c>
      <c r="M260" s="66" t="s">
        <v>897</v>
      </c>
      <c r="N260" s="66" t="s">
        <v>74</v>
      </c>
      <c r="O260" s="66" t="s">
        <v>61</v>
      </c>
      <c r="P260" s="66" t="s">
        <v>84</v>
      </c>
      <c r="Q260" s="66" t="s">
        <v>128</v>
      </c>
      <c r="R260" s="66" t="s">
        <v>195</v>
      </c>
    </row>
    <row r="261" spans="1:18" s="67" customFormat="1">
      <c r="A261" s="66" t="str">
        <f>VLOOKUP(C261,classifications!C:F,4,FALSE)</f>
        <v>SD</v>
      </c>
      <c r="B261" s="66" t="s">
        <v>687</v>
      </c>
      <c r="C261" s="66" t="s">
        <v>168</v>
      </c>
      <c r="D261" s="66" t="s">
        <v>83</v>
      </c>
      <c r="E261" s="66" t="s">
        <v>76</v>
      </c>
      <c r="F261" s="66" t="s">
        <v>897</v>
      </c>
      <c r="G261" s="66" t="s">
        <v>176</v>
      </c>
      <c r="H261" s="66" t="s">
        <v>51</v>
      </c>
      <c r="I261" s="66" t="s">
        <v>133</v>
      </c>
      <c r="J261" s="66" t="s">
        <v>165</v>
      </c>
      <c r="K261" s="66" t="s">
        <v>60</v>
      </c>
      <c r="L261" s="66" t="s">
        <v>191</v>
      </c>
      <c r="M261" s="66" t="s">
        <v>74</v>
      </c>
      <c r="N261" s="66" t="s">
        <v>90</v>
      </c>
      <c r="O261" s="66" t="s">
        <v>13</v>
      </c>
      <c r="P261" s="66" t="s">
        <v>92</v>
      </c>
      <c r="Q261" s="66" t="s">
        <v>160</v>
      </c>
      <c r="R261" s="66" t="s">
        <v>119</v>
      </c>
    </row>
    <row r="262" spans="1:18" s="67" customFormat="1">
      <c r="A262" s="66" t="str">
        <f>VLOOKUP(C262,classifications!C:F,4,FALSE)</f>
        <v>SD</v>
      </c>
      <c r="B262" s="66" t="s">
        <v>688</v>
      </c>
      <c r="C262" s="66" t="s">
        <v>349</v>
      </c>
      <c r="D262" s="66" t="s">
        <v>10</v>
      </c>
      <c r="E262" s="66" t="s">
        <v>166</v>
      </c>
      <c r="F262" s="66" t="s">
        <v>56</v>
      </c>
      <c r="G262" s="66" t="s">
        <v>96</v>
      </c>
      <c r="H262" s="66" t="s">
        <v>173</v>
      </c>
      <c r="I262" s="66" t="s">
        <v>188</v>
      </c>
      <c r="J262" s="66" t="s">
        <v>342</v>
      </c>
      <c r="K262" s="66" t="s">
        <v>172</v>
      </c>
      <c r="L262" s="66" t="s">
        <v>47</v>
      </c>
      <c r="M262" s="66" t="s">
        <v>33</v>
      </c>
      <c r="N262" s="66" t="s">
        <v>87</v>
      </c>
      <c r="O262" s="66" t="s">
        <v>136</v>
      </c>
      <c r="P262" s="66" t="s">
        <v>104</v>
      </c>
      <c r="Q262" s="66" t="s">
        <v>167</v>
      </c>
      <c r="R262" s="66" t="s">
        <v>146</v>
      </c>
    </row>
    <row r="263" spans="1:18" s="67" customFormat="1">
      <c r="A263" s="66" t="str">
        <f>VLOOKUP(C263,classifications!C:F,4,FALSE)</f>
        <v>SD</v>
      </c>
      <c r="B263" s="66" t="s">
        <v>689</v>
      </c>
      <c r="C263" s="66" t="s">
        <v>171</v>
      </c>
      <c r="D263" s="66" t="s">
        <v>56</v>
      </c>
      <c r="E263" s="66" t="s">
        <v>47</v>
      </c>
      <c r="F263" s="66" t="s">
        <v>85</v>
      </c>
      <c r="G263" s="66" t="s">
        <v>104</v>
      </c>
      <c r="H263" s="66" t="s">
        <v>174</v>
      </c>
      <c r="I263" s="66" t="s">
        <v>111</v>
      </c>
      <c r="J263" s="66" t="s">
        <v>10</v>
      </c>
      <c r="K263" s="66" t="s">
        <v>349</v>
      </c>
      <c r="L263" s="66" t="s">
        <v>188</v>
      </c>
      <c r="M263" s="66" t="s">
        <v>24</v>
      </c>
      <c r="N263" s="66" t="s">
        <v>64</v>
      </c>
      <c r="O263" s="66" t="s">
        <v>96</v>
      </c>
      <c r="P263" s="66" t="s">
        <v>81</v>
      </c>
      <c r="Q263" s="66" t="s">
        <v>33</v>
      </c>
      <c r="R263" s="66" t="s">
        <v>87</v>
      </c>
    </row>
    <row r="264" spans="1:18" s="67" customFormat="1">
      <c r="A264" s="66" t="str">
        <f>VLOOKUP(C264,classifications!C:F,4,FALSE)</f>
        <v>SD</v>
      </c>
      <c r="B264" s="66" t="s">
        <v>690</v>
      </c>
      <c r="C264" s="66" t="s">
        <v>26</v>
      </c>
      <c r="D264" s="66" t="s">
        <v>89</v>
      </c>
      <c r="E264" s="66" t="s">
        <v>119</v>
      </c>
      <c r="F264" s="66" t="s">
        <v>99</v>
      </c>
      <c r="G264" s="66" t="s">
        <v>9</v>
      </c>
      <c r="H264" s="66" t="s">
        <v>120</v>
      </c>
      <c r="I264" s="66" t="s">
        <v>28</v>
      </c>
      <c r="J264" s="66" t="s">
        <v>95</v>
      </c>
      <c r="K264" s="66" t="s">
        <v>346</v>
      </c>
      <c r="L264" s="66" t="s">
        <v>13</v>
      </c>
      <c r="M264" s="66" t="s">
        <v>17</v>
      </c>
      <c r="N264" s="66" t="s">
        <v>36</v>
      </c>
      <c r="O264" s="66" t="s">
        <v>190</v>
      </c>
      <c r="P264" s="66" t="s">
        <v>76</v>
      </c>
      <c r="Q264" s="66" t="s">
        <v>30</v>
      </c>
      <c r="R264" s="66" t="s">
        <v>126</v>
      </c>
    </row>
    <row r="265" spans="1:18" s="67" customFormat="1">
      <c r="A265" s="66" t="str">
        <f>VLOOKUP(C265,classifications!C:F,4,FALSE)</f>
        <v>SD</v>
      </c>
      <c r="B265" s="66" t="s">
        <v>691</v>
      </c>
      <c r="C265" s="66" t="s">
        <v>39</v>
      </c>
      <c r="D265" s="66" t="s">
        <v>86</v>
      </c>
      <c r="E265" s="66" t="s">
        <v>147</v>
      </c>
      <c r="F265" s="66" t="s">
        <v>344</v>
      </c>
      <c r="G265" s="66" t="s">
        <v>345</v>
      </c>
      <c r="H265" s="66" t="s">
        <v>7</v>
      </c>
      <c r="I265" s="66" t="s">
        <v>58</v>
      </c>
      <c r="J265" s="66" t="s">
        <v>142</v>
      </c>
      <c r="K265" s="66" t="s">
        <v>72</v>
      </c>
      <c r="L265" s="66" t="s">
        <v>94</v>
      </c>
      <c r="M265" s="66" t="s">
        <v>19</v>
      </c>
      <c r="N265" s="66" t="s">
        <v>91</v>
      </c>
      <c r="O265" s="66" t="s">
        <v>183</v>
      </c>
      <c r="P265" s="66" t="s">
        <v>107</v>
      </c>
      <c r="Q265" s="66" t="s">
        <v>126</v>
      </c>
      <c r="R265" s="66" t="s">
        <v>139</v>
      </c>
    </row>
    <row r="266" spans="1:18" s="67" customFormat="1">
      <c r="A266" s="66" t="str">
        <f>VLOOKUP(C266,classifications!C:F,4,FALSE)</f>
        <v>SD</v>
      </c>
      <c r="B266" s="66" t="s">
        <v>692</v>
      </c>
      <c r="C266" s="66" t="s">
        <v>71</v>
      </c>
      <c r="D266" s="66" t="s">
        <v>194</v>
      </c>
      <c r="E266" s="66" t="s">
        <v>164</v>
      </c>
      <c r="F266" s="66" t="s">
        <v>108</v>
      </c>
      <c r="G266" s="66" t="s">
        <v>140</v>
      </c>
      <c r="H266" s="66" t="s">
        <v>182</v>
      </c>
      <c r="I266" s="66" t="s">
        <v>170</v>
      </c>
      <c r="J266" s="66" t="s">
        <v>93</v>
      </c>
      <c r="K266" s="66" t="s">
        <v>53</v>
      </c>
      <c r="L266" s="66" t="s">
        <v>4</v>
      </c>
      <c r="M266" s="66" t="s">
        <v>181</v>
      </c>
      <c r="N266" s="66" t="s">
        <v>127</v>
      </c>
      <c r="O266" s="66" t="s">
        <v>8</v>
      </c>
      <c r="P266" s="66" t="s">
        <v>45</v>
      </c>
      <c r="Q266" s="66" t="s">
        <v>143</v>
      </c>
      <c r="R266" s="66" t="s">
        <v>158</v>
      </c>
    </row>
    <row r="267" spans="1:18" s="67" customFormat="1">
      <c r="A267" s="66" t="str">
        <f>VLOOKUP(C267,classifications!C:F,4,FALSE)</f>
        <v>SD</v>
      </c>
      <c r="B267" s="66" t="s">
        <v>693</v>
      </c>
      <c r="C267" s="66" t="s">
        <v>89</v>
      </c>
      <c r="D267" s="66" t="s">
        <v>119</v>
      </c>
      <c r="E267" s="66" t="s">
        <v>26</v>
      </c>
      <c r="F267" s="66" t="s">
        <v>99</v>
      </c>
      <c r="G267" s="66" t="s">
        <v>9</v>
      </c>
      <c r="H267" s="66" t="s">
        <v>28</v>
      </c>
      <c r="I267" s="66" t="s">
        <v>126</v>
      </c>
      <c r="J267" s="66" t="s">
        <v>13</v>
      </c>
      <c r="K267" s="66" t="s">
        <v>346</v>
      </c>
      <c r="L267" s="66" t="s">
        <v>190</v>
      </c>
      <c r="M267" s="66" t="s">
        <v>120</v>
      </c>
      <c r="N267" s="66" t="s">
        <v>73</v>
      </c>
      <c r="O267" s="66" t="s">
        <v>30</v>
      </c>
      <c r="P267" s="66" t="s">
        <v>91</v>
      </c>
      <c r="Q267" s="66" t="s">
        <v>36</v>
      </c>
      <c r="R267" s="66" t="s">
        <v>17</v>
      </c>
    </row>
    <row r="268" spans="1:18" s="67" customFormat="1">
      <c r="A268" s="66" t="str">
        <f>VLOOKUP(C268,classifications!C:F,4,FALSE)</f>
        <v>SD</v>
      </c>
      <c r="B268" s="66" t="s">
        <v>694</v>
      </c>
      <c r="C268" s="66" t="s">
        <v>92</v>
      </c>
      <c r="D268" s="66" t="s">
        <v>29</v>
      </c>
      <c r="E268" s="66" t="s">
        <v>30</v>
      </c>
      <c r="F268" s="66" t="s">
        <v>897</v>
      </c>
      <c r="G268" s="66" t="s">
        <v>51</v>
      </c>
      <c r="H268" s="66" t="s">
        <v>108</v>
      </c>
      <c r="I268" s="66" t="s">
        <v>194</v>
      </c>
      <c r="J268" s="66" t="s">
        <v>13</v>
      </c>
      <c r="K268" s="66" t="s">
        <v>190</v>
      </c>
      <c r="L268" s="66" t="s">
        <v>191</v>
      </c>
      <c r="M268" s="66" t="s">
        <v>133</v>
      </c>
      <c r="N268" s="66" t="s">
        <v>59</v>
      </c>
      <c r="O268" s="66" t="s">
        <v>34</v>
      </c>
      <c r="P268" s="66" t="s">
        <v>134</v>
      </c>
      <c r="Q268" s="66" t="s">
        <v>86</v>
      </c>
      <c r="R268" s="66" t="s">
        <v>4</v>
      </c>
    </row>
    <row r="269" spans="1:18" s="67" customFormat="1">
      <c r="A269" s="66" t="str">
        <f>VLOOKUP(C269,classifications!C:F,4,FALSE)</f>
        <v>SD</v>
      </c>
      <c r="B269" s="66" t="s">
        <v>695</v>
      </c>
      <c r="C269" s="66" t="s">
        <v>119</v>
      </c>
      <c r="D269" s="66" t="s">
        <v>89</v>
      </c>
      <c r="E269" s="66" t="s">
        <v>99</v>
      </c>
      <c r="F269" s="66" t="s">
        <v>91</v>
      </c>
      <c r="G269" s="66" t="s">
        <v>73</v>
      </c>
      <c r="H269" s="66" t="s">
        <v>346</v>
      </c>
      <c r="I269" s="66" t="s">
        <v>190</v>
      </c>
      <c r="J269" s="66" t="s">
        <v>126</v>
      </c>
      <c r="K269" s="66" t="s">
        <v>28</v>
      </c>
      <c r="L269" s="66" t="s">
        <v>9</v>
      </c>
      <c r="M269" s="66" t="s">
        <v>65</v>
      </c>
      <c r="N269" s="66" t="s">
        <v>26</v>
      </c>
      <c r="O269" s="66" t="s">
        <v>59</v>
      </c>
      <c r="P269" s="66" t="s">
        <v>13</v>
      </c>
      <c r="Q269" s="66" t="s">
        <v>30</v>
      </c>
      <c r="R269" s="66" t="s">
        <v>75</v>
      </c>
    </row>
    <row r="270" spans="1:18" s="67" customFormat="1">
      <c r="A270" s="66" t="str">
        <f>VLOOKUP(C270,classifications!C:F,4,FALSE)</f>
        <v>SD</v>
      </c>
      <c r="B270" s="66" t="s">
        <v>696</v>
      </c>
      <c r="C270" s="66" t="s">
        <v>120</v>
      </c>
      <c r="D270" s="66" t="s">
        <v>95</v>
      </c>
      <c r="E270" s="66" t="s">
        <v>90</v>
      </c>
      <c r="F270" s="66" t="s">
        <v>190</v>
      </c>
      <c r="G270" s="66" t="s">
        <v>73</v>
      </c>
      <c r="H270" s="66" t="s">
        <v>116</v>
      </c>
      <c r="I270" s="66" t="s">
        <v>28</v>
      </c>
      <c r="J270" s="66" t="s">
        <v>99</v>
      </c>
      <c r="K270" s="66" t="s">
        <v>89</v>
      </c>
      <c r="L270" s="66" t="s">
        <v>119</v>
      </c>
      <c r="M270" s="66" t="s">
        <v>131</v>
      </c>
      <c r="N270" s="66" t="s">
        <v>36</v>
      </c>
      <c r="O270" s="66" t="s">
        <v>346</v>
      </c>
      <c r="P270" s="66" t="s">
        <v>26</v>
      </c>
      <c r="Q270" s="66" t="s">
        <v>122</v>
      </c>
      <c r="R270" s="66" t="s">
        <v>30</v>
      </c>
    </row>
    <row r="271" spans="1:18" s="67" customFormat="1">
      <c r="A271" s="66" t="str">
        <f>VLOOKUP(C271,classifications!C:F,4,FALSE)</f>
        <v>SD</v>
      </c>
      <c r="B271" s="66" t="s">
        <v>697</v>
      </c>
      <c r="C271" s="66" t="s">
        <v>123</v>
      </c>
      <c r="D271" s="66" t="s">
        <v>79</v>
      </c>
      <c r="E271" s="66" t="s">
        <v>97</v>
      </c>
      <c r="F271" s="66" t="s">
        <v>50</v>
      </c>
      <c r="G271" s="66" t="s">
        <v>124</v>
      </c>
      <c r="H271" s="66" t="s">
        <v>100</v>
      </c>
      <c r="I271" s="66" t="s">
        <v>109</v>
      </c>
      <c r="J271" s="66" t="s">
        <v>78</v>
      </c>
      <c r="K271" s="66" t="s">
        <v>62</v>
      </c>
      <c r="L271" s="66" t="s">
        <v>45</v>
      </c>
      <c r="M271" s="66" t="s">
        <v>23</v>
      </c>
      <c r="N271" s="66" t="s">
        <v>12</v>
      </c>
      <c r="O271" s="66" t="s">
        <v>132</v>
      </c>
      <c r="P271" s="66" t="s">
        <v>181</v>
      </c>
      <c r="Q271" s="66" t="s">
        <v>130</v>
      </c>
      <c r="R271" s="66" t="s">
        <v>167</v>
      </c>
    </row>
    <row r="272" spans="1:18" s="67" customFormat="1">
      <c r="A272" s="66" t="str">
        <f>VLOOKUP(C272,classifications!C:F,4,FALSE)</f>
        <v>SD</v>
      </c>
      <c r="B272" s="66" t="s">
        <v>698</v>
      </c>
      <c r="C272" s="66" t="s">
        <v>126</v>
      </c>
      <c r="D272" s="66" t="s">
        <v>86</v>
      </c>
      <c r="E272" s="66" t="s">
        <v>39</v>
      </c>
      <c r="F272" s="66" t="s">
        <v>91</v>
      </c>
      <c r="G272" s="66" t="s">
        <v>28</v>
      </c>
      <c r="H272" s="66" t="s">
        <v>65</v>
      </c>
      <c r="I272" s="66" t="s">
        <v>345</v>
      </c>
      <c r="J272" s="66" t="s">
        <v>15</v>
      </c>
      <c r="K272" s="66" t="s">
        <v>183</v>
      </c>
      <c r="L272" s="66" t="s">
        <v>99</v>
      </c>
      <c r="M272" s="66" t="s">
        <v>9</v>
      </c>
      <c r="N272" s="66" t="s">
        <v>30</v>
      </c>
      <c r="O272" s="66" t="s">
        <v>7</v>
      </c>
      <c r="P272" s="66" t="s">
        <v>58</v>
      </c>
      <c r="Q272" s="66" t="s">
        <v>346</v>
      </c>
      <c r="R272" s="66" t="s">
        <v>195</v>
      </c>
    </row>
    <row r="273" spans="1:18" s="67" customFormat="1">
      <c r="A273" s="66" t="str">
        <f>VLOOKUP(C273,classifications!C:F,4,FALSE)</f>
        <v>SD</v>
      </c>
      <c r="B273" s="66" t="s">
        <v>699</v>
      </c>
      <c r="C273" s="66" t="s">
        <v>147</v>
      </c>
      <c r="D273" s="66" t="s">
        <v>344</v>
      </c>
      <c r="E273" s="66" t="s">
        <v>39</v>
      </c>
      <c r="F273" s="66" t="s">
        <v>94</v>
      </c>
      <c r="G273" s="66" t="s">
        <v>72</v>
      </c>
      <c r="H273" s="66" t="s">
        <v>142</v>
      </c>
      <c r="I273" s="66" t="s">
        <v>7</v>
      </c>
      <c r="J273" s="66" t="s">
        <v>153</v>
      </c>
      <c r="K273" s="66" t="s">
        <v>16</v>
      </c>
      <c r="L273" s="66" t="s">
        <v>58</v>
      </c>
      <c r="M273" s="66" t="s">
        <v>86</v>
      </c>
      <c r="N273" s="66" t="s">
        <v>154</v>
      </c>
      <c r="O273" s="66" t="s">
        <v>345</v>
      </c>
      <c r="P273" s="66" t="s">
        <v>112</v>
      </c>
      <c r="Q273" s="66" t="s">
        <v>65</v>
      </c>
      <c r="R273" s="66" t="s">
        <v>91</v>
      </c>
    </row>
    <row r="274" spans="1:18" s="67" customFormat="1">
      <c r="A274" s="66" t="str">
        <f>VLOOKUP(C274,classifications!C:F,4,FALSE)</f>
        <v>SD</v>
      </c>
      <c r="B274" s="66" t="s">
        <v>700</v>
      </c>
      <c r="C274" s="66" t="s">
        <v>183</v>
      </c>
      <c r="D274" s="66" t="s">
        <v>345</v>
      </c>
      <c r="E274" s="66" t="s">
        <v>7</v>
      </c>
      <c r="F274" s="66" t="s">
        <v>184</v>
      </c>
      <c r="G274" s="66" t="s">
        <v>15</v>
      </c>
      <c r="H274" s="66" t="s">
        <v>94</v>
      </c>
      <c r="I274" s="66" t="s">
        <v>115</v>
      </c>
      <c r="J274" s="66" t="s">
        <v>86</v>
      </c>
      <c r="K274" s="66" t="s">
        <v>344</v>
      </c>
      <c r="L274" s="66" t="s">
        <v>195</v>
      </c>
      <c r="M274" s="66" t="s">
        <v>142</v>
      </c>
      <c r="N274" s="66" t="s">
        <v>39</v>
      </c>
      <c r="O274" s="66" t="s">
        <v>149</v>
      </c>
      <c r="P274" s="66" t="s">
        <v>153</v>
      </c>
      <c r="Q274" s="66" t="s">
        <v>152</v>
      </c>
      <c r="R274" s="66" t="s">
        <v>19</v>
      </c>
    </row>
    <row r="275" spans="1:18" s="67" customFormat="1">
      <c r="A275" s="66" t="str">
        <f>VLOOKUP(C275,classifications!C:F,4,FALSE)</f>
        <v>SD</v>
      </c>
      <c r="B275" s="66" t="s">
        <v>701</v>
      </c>
      <c r="C275" s="66" t="s">
        <v>194</v>
      </c>
      <c r="D275" s="66" t="s">
        <v>71</v>
      </c>
      <c r="E275" s="66" t="s">
        <v>108</v>
      </c>
      <c r="F275" s="66" t="s">
        <v>170</v>
      </c>
      <c r="G275" s="66" t="s">
        <v>164</v>
      </c>
      <c r="H275" s="66" t="s">
        <v>133</v>
      </c>
      <c r="I275" s="66" t="s">
        <v>176</v>
      </c>
      <c r="J275" s="66" t="s">
        <v>165</v>
      </c>
      <c r="K275" s="66" t="s">
        <v>92</v>
      </c>
      <c r="L275" s="66" t="s">
        <v>6</v>
      </c>
      <c r="M275" s="66" t="s">
        <v>113</v>
      </c>
      <c r="N275" s="66" t="s">
        <v>8</v>
      </c>
      <c r="O275" s="66" t="s">
        <v>4</v>
      </c>
      <c r="P275" s="66" t="s">
        <v>897</v>
      </c>
      <c r="Q275" s="66" t="s">
        <v>134</v>
      </c>
      <c r="R275" s="66" t="s">
        <v>51</v>
      </c>
    </row>
    <row r="276" spans="1:18" s="67" customFormat="1">
      <c r="A276" s="66" t="str">
        <f>VLOOKUP(C276,classifications!C:F,4,FALSE)</f>
        <v>SD</v>
      </c>
      <c r="B276" s="66" t="s">
        <v>702</v>
      </c>
      <c r="C276" s="66" t="s">
        <v>16</v>
      </c>
      <c r="D276" s="66" t="s">
        <v>147</v>
      </c>
      <c r="E276" s="66" t="s">
        <v>344</v>
      </c>
      <c r="F276" s="66" t="s">
        <v>130</v>
      </c>
      <c r="G276" s="66" t="s">
        <v>58</v>
      </c>
      <c r="H276" s="66" t="s">
        <v>94</v>
      </c>
      <c r="I276" s="66" t="s">
        <v>112</v>
      </c>
      <c r="J276" s="66" t="s">
        <v>167</v>
      </c>
      <c r="K276" s="66" t="s">
        <v>153</v>
      </c>
      <c r="L276" s="66" t="s">
        <v>22</v>
      </c>
      <c r="M276" s="66" t="s">
        <v>128</v>
      </c>
      <c r="N276" s="66" t="s">
        <v>102</v>
      </c>
      <c r="O276" s="66" t="s">
        <v>79</v>
      </c>
      <c r="P276" s="66" t="s">
        <v>100</v>
      </c>
      <c r="Q276" s="66" t="s">
        <v>139</v>
      </c>
      <c r="R276" s="66" t="s">
        <v>347</v>
      </c>
    </row>
    <row r="277" spans="1:18" s="67" customFormat="1">
      <c r="A277" s="66" t="str">
        <f>VLOOKUP(C277,classifications!C:F,4,FALSE)</f>
        <v>SD</v>
      </c>
      <c r="B277" s="66" t="s">
        <v>703</v>
      </c>
      <c r="C277" s="66" t="s">
        <v>32</v>
      </c>
      <c r="D277" s="66" t="s">
        <v>41</v>
      </c>
      <c r="E277" s="66" t="s">
        <v>153</v>
      </c>
      <c r="F277" s="66" t="s">
        <v>88</v>
      </c>
      <c r="G277" s="66" t="s">
        <v>96</v>
      </c>
      <c r="H277" s="66" t="s">
        <v>142</v>
      </c>
      <c r="I277" s="66" t="s">
        <v>19</v>
      </c>
      <c r="J277" s="66" t="s">
        <v>33</v>
      </c>
      <c r="K277" s="66" t="s">
        <v>147</v>
      </c>
      <c r="L277" s="66" t="s">
        <v>39</v>
      </c>
      <c r="M277" s="66" t="s">
        <v>72</v>
      </c>
      <c r="N277" s="66" t="s">
        <v>344</v>
      </c>
      <c r="O277" s="66" t="s">
        <v>174</v>
      </c>
      <c r="P277" s="66" t="s">
        <v>7</v>
      </c>
      <c r="Q277" s="66" t="s">
        <v>152</v>
      </c>
      <c r="R277" s="66" t="s">
        <v>94</v>
      </c>
    </row>
    <row r="278" spans="1:18" s="67" customFormat="1">
      <c r="A278" s="66" t="str">
        <f>VLOOKUP(C278,classifications!C:F,4,FALSE)</f>
        <v>SD</v>
      </c>
      <c r="B278" s="66" t="s">
        <v>704</v>
      </c>
      <c r="C278" s="66" t="s">
        <v>79</v>
      </c>
      <c r="D278" s="66" t="s">
        <v>167</v>
      </c>
      <c r="E278" s="66" t="s">
        <v>123</v>
      </c>
      <c r="F278" s="66" t="s">
        <v>130</v>
      </c>
      <c r="G278" s="66" t="s">
        <v>145</v>
      </c>
      <c r="H278" s="66" t="s">
        <v>185</v>
      </c>
      <c r="I278" s="66" t="s">
        <v>97</v>
      </c>
      <c r="J278" s="66" t="s">
        <v>166</v>
      </c>
      <c r="K278" s="66" t="s">
        <v>100</v>
      </c>
      <c r="L278" s="66" t="s">
        <v>172</v>
      </c>
      <c r="M278" s="66" t="s">
        <v>55</v>
      </c>
      <c r="N278" s="66" t="s">
        <v>124</v>
      </c>
      <c r="O278" s="66" t="s">
        <v>23</v>
      </c>
      <c r="P278" s="66" t="s">
        <v>78</v>
      </c>
      <c r="Q278" s="66" t="s">
        <v>49</v>
      </c>
      <c r="R278" s="66" t="s">
        <v>103</v>
      </c>
    </row>
    <row r="279" spans="1:18" s="67" customFormat="1">
      <c r="A279" s="66" t="str">
        <f>VLOOKUP(C279,classifications!C:F,4,FALSE)</f>
        <v>SD</v>
      </c>
      <c r="B279" s="66" t="s">
        <v>705</v>
      </c>
      <c r="C279" s="66" t="s">
        <v>344</v>
      </c>
      <c r="D279" s="66" t="s">
        <v>147</v>
      </c>
      <c r="E279" s="66" t="s">
        <v>154</v>
      </c>
      <c r="F279" s="66" t="s">
        <v>94</v>
      </c>
      <c r="G279" s="66" t="s">
        <v>112</v>
      </c>
      <c r="H279" s="66" t="s">
        <v>58</v>
      </c>
      <c r="I279" s="66" t="s">
        <v>39</v>
      </c>
      <c r="J279" s="66" t="s">
        <v>153</v>
      </c>
      <c r="K279" s="66" t="s">
        <v>7</v>
      </c>
      <c r="L279" s="66" t="s">
        <v>345</v>
      </c>
      <c r="M279" s="66" t="s">
        <v>157</v>
      </c>
      <c r="N279" s="66" t="s">
        <v>149</v>
      </c>
      <c r="O279" s="66" t="s">
        <v>139</v>
      </c>
      <c r="P279" s="66" t="s">
        <v>142</v>
      </c>
      <c r="Q279" s="66" t="s">
        <v>16</v>
      </c>
      <c r="R279" s="66" t="s">
        <v>100</v>
      </c>
    </row>
    <row r="280" spans="1:18" s="67" customFormat="1">
      <c r="A280" s="66" t="str">
        <f>VLOOKUP(C280,classifications!C:F,4,FALSE)</f>
        <v>SD</v>
      </c>
      <c r="B280" s="66" t="s">
        <v>706</v>
      </c>
      <c r="C280" s="66" t="s">
        <v>100</v>
      </c>
      <c r="D280" s="66" t="s">
        <v>97</v>
      </c>
      <c r="E280" s="66" t="s">
        <v>124</v>
      </c>
      <c r="F280" s="66" t="s">
        <v>12</v>
      </c>
      <c r="G280" s="66" t="s">
        <v>167</v>
      </c>
      <c r="H280" s="66" t="s">
        <v>102</v>
      </c>
      <c r="I280" s="66" t="s">
        <v>109</v>
      </c>
      <c r="J280" s="66" t="s">
        <v>58</v>
      </c>
      <c r="K280" s="66" t="s">
        <v>70</v>
      </c>
      <c r="L280" s="66" t="s">
        <v>344</v>
      </c>
      <c r="M280" s="66" t="s">
        <v>103</v>
      </c>
      <c r="N280" s="66" t="s">
        <v>157</v>
      </c>
      <c r="O280" s="66" t="s">
        <v>79</v>
      </c>
      <c r="P280" s="66" t="s">
        <v>184</v>
      </c>
      <c r="Q280" s="66" t="s">
        <v>112</v>
      </c>
      <c r="R280" s="66" t="s">
        <v>94</v>
      </c>
    </row>
    <row r="281" spans="1:18" s="67" customFormat="1">
      <c r="A281" s="66" t="str">
        <f>VLOOKUP(C281,classifications!C:F,4,FALSE)</f>
        <v>SD</v>
      </c>
      <c r="B281" s="66" t="s">
        <v>707</v>
      </c>
      <c r="C281" s="66" t="s">
        <v>115</v>
      </c>
      <c r="D281" s="66" t="s">
        <v>135</v>
      </c>
      <c r="E281" s="66" t="s">
        <v>114</v>
      </c>
      <c r="F281" s="66" t="s">
        <v>345</v>
      </c>
      <c r="G281" s="66" t="s">
        <v>15</v>
      </c>
      <c r="H281" s="66" t="s">
        <v>152</v>
      </c>
      <c r="I281" s="66" t="s">
        <v>183</v>
      </c>
      <c r="J281" s="66" t="s">
        <v>49</v>
      </c>
      <c r="K281" s="66" t="s">
        <v>58</v>
      </c>
      <c r="L281" s="66" t="s">
        <v>344</v>
      </c>
      <c r="M281" s="66" t="s">
        <v>59</v>
      </c>
      <c r="N281" s="66" t="s">
        <v>7</v>
      </c>
      <c r="O281" s="66" t="s">
        <v>139</v>
      </c>
      <c r="P281" s="66" t="s">
        <v>39</v>
      </c>
      <c r="Q281" s="66" t="s">
        <v>94</v>
      </c>
      <c r="R281" s="66" t="s">
        <v>100</v>
      </c>
    </row>
    <row r="282" spans="1:18" s="67" customFormat="1">
      <c r="A282" s="66" t="str">
        <f>VLOOKUP(C282,classifications!C:F,4,FALSE)</f>
        <v>SD</v>
      </c>
      <c r="B282" s="66" t="s">
        <v>708</v>
      </c>
      <c r="C282" s="66" t="s">
        <v>347</v>
      </c>
      <c r="D282" s="66" t="s">
        <v>31</v>
      </c>
      <c r="E282" s="66" t="s">
        <v>72</v>
      </c>
      <c r="F282" s="66" t="s">
        <v>16</v>
      </c>
      <c r="G282" s="66" t="s">
        <v>25</v>
      </c>
      <c r="H282" s="66" t="s">
        <v>147</v>
      </c>
      <c r="I282" s="66" t="s">
        <v>344</v>
      </c>
      <c r="J282" s="66" t="s">
        <v>128</v>
      </c>
      <c r="K282" s="66" t="s">
        <v>94</v>
      </c>
      <c r="L282" s="66" t="s">
        <v>125</v>
      </c>
      <c r="M282" s="66" t="s">
        <v>58</v>
      </c>
      <c r="N282" s="66" t="s">
        <v>154</v>
      </c>
      <c r="O282" s="66" t="s">
        <v>91</v>
      </c>
      <c r="P282" s="66" t="s">
        <v>102</v>
      </c>
      <c r="Q282" s="66" t="s">
        <v>130</v>
      </c>
      <c r="R282" s="66" t="s">
        <v>112</v>
      </c>
    </row>
    <row r="283" spans="1:18" s="67" customFormat="1">
      <c r="A283" s="66" t="str">
        <f>VLOOKUP(C283,classifications!C:F,4,FALSE)</f>
        <v>SD</v>
      </c>
      <c r="B283" s="66" t="s">
        <v>709</v>
      </c>
      <c r="C283" s="66" t="s">
        <v>18</v>
      </c>
      <c r="D283" s="66" t="s">
        <v>69</v>
      </c>
      <c r="E283" s="66" t="s">
        <v>68</v>
      </c>
      <c r="F283" s="66" t="s">
        <v>141</v>
      </c>
      <c r="G283" s="66" t="s">
        <v>179</v>
      </c>
      <c r="H283" s="66" t="s">
        <v>99</v>
      </c>
      <c r="I283" s="66" t="s">
        <v>15</v>
      </c>
      <c r="J283" s="66" t="s">
        <v>20</v>
      </c>
      <c r="K283" s="66" t="s">
        <v>30</v>
      </c>
      <c r="L283" s="66" t="s">
        <v>59</v>
      </c>
      <c r="M283" s="66" t="s">
        <v>17</v>
      </c>
      <c r="N283" s="66" t="s">
        <v>195</v>
      </c>
      <c r="O283" s="66" t="s">
        <v>91</v>
      </c>
      <c r="P283" s="66" t="s">
        <v>152</v>
      </c>
      <c r="Q283" s="66" t="s">
        <v>36</v>
      </c>
      <c r="R283" s="66" t="s">
        <v>42</v>
      </c>
    </row>
    <row r="284" spans="1:18" s="67" customFormat="1">
      <c r="A284" s="66" t="str">
        <f>VLOOKUP(C284,classifications!C:F,4,FALSE)</f>
        <v>SD</v>
      </c>
      <c r="B284" s="66" t="s">
        <v>710</v>
      </c>
      <c r="C284" s="66" t="s">
        <v>57</v>
      </c>
      <c r="D284" s="66" t="s">
        <v>376</v>
      </c>
      <c r="E284" s="66" t="s">
        <v>7</v>
      </c>
      <c r="F284" s="66" t="s">
        <v>68</v>
      </c>
      <c r="G284" s="66" t="s">
        <v>165</v>
      </c>
      <c r="H284" s="66" t="s">
        <v>30</v>
      </c>
      <c r="I284" s="66" t="s">
        <v>20</v>
      </c>
      <c r="J284" s="66" t="s">
        <v>141</v>
      </c>
      <c r="K284" s="66" t="s">
        <v>15</v>
      </c>
      <c r="L284" s="66" t="s">
        <v>176</v>
      </c>
      <c r="M284" s="66" t="s">
        <v>6</v>
      </c>
      <c r="N284" s="66" t="s">
        <v>194</v>
      </c>
      <c r="O284" s="66" t="s">
        <v>195</v>
      </c>
      <c r="P284" s="66" t="s">
        <v>345</v>
      </c>
      <c r="Q284" s="66" t="s">
        <v>133</v>
      </c>
      <c r="R284" s="66" t="s">
        <v>184</v>
      </c>
    </row>
    <row r="285" spans="1:18" s="67" customFormat="1">
      <c r="A285" s="66" t="str">
        <f>VLOOKUP(C285,classifications!C:F,4,FALSE)</f>
        <v>SD</v>
      </c>
      <c r="B285" s="66" t="s">
        <v>711</v>
      </c>
      <c r="C285" s="66" t="s">
        <v>95</v>
      </c>
      <c r="D285" s="66" t="s">
        <v>120</v>
      </c>
      <c r="E285" s="66" t="s">
        <v>90</v>
      </c>
      <c r="F285" s="66" t="s">
        <v>36</v>
      </c>
      <c r="G285" s="66" t="s">
        <v>190</v>
      </c>
      <c r="H285" s="66" t="s">
        <v>117</v>
      </c>
      <c r="I285" s="66" t="s">
        <v>28</v>
      </c>
      <c r="J285" s="66" t="s">
        <v>99</v>
      </c>
      <c r="K285" s="66" t="s">
        <v>66</v>
      </c>
      <c r="L285" s="66" t="s">
        <v>83</v>
      </c>
      <c r="M285" s="66" t="s">
        <v>73</v>
      </c>
      <c r="N285" s="66" t="s">
        <v>89</v>
      </c>
      <c r="O285" s="66" t="s">
        <v>26</v>
      </c>
      <c r="P285" s="66" t="s">
        <v>30</v>
      </c>
      <c r="Q285" s="66" t="s">
        <v>76</v>
      </c>
      <c r="R285" s="66" t="s">
        <v>119</v>
      </c>
    </row>
    <row r="286" spans="1:18" s="67" customFormat="1">
      <c r="A286" s="66" t="str">
        <f>VLOOKUP(C286,classifications!C:F,4,FALSE)</f>
        <v>SD</v>
      </c>
      <c r="B286" s="66" t="s">
        <v>712</v>
      </c>
      <c r="C286" s="66" t="s">
        <v>112</v>
      </c>
      <c r="D286" s="66" t="s">
        <v>344</v>
      </c>
      <c r="E286" s="66" t="s">
        <v>184</v>
      </c>
      <c r="F286" s="66" t="s">
        <v>22</v>
      </c>
      <c r="G286" s="66" t="s">
        <v>154</v>
      </c>
      <c r="H286" s="66" t="s">
        <v>144</v>
      </c>
      <c r="I286" s="66" t="s">
        <v>12</v>
      </c>
      <c r="J286" s="66" t="s">
        <v>345</v>
      </c>
      <c r="K286" s="66" t="s">
        <v>149</v>
      </c>
      <c r="L286" s="66" t="s">
        <v>20</v>
      </c>
      <c r="M286" s="66" t="s">
        <v>70</v>
      </c>
      <c r="N286" s="66" t="s">
        <v>147</v>
      </c>
      <c r="O286" s="66" t="s">
        <v>157</v>
      </c>
      <c r="P286" s="66" t="s">
        <v>7</v>
      </c>
      <c r="Q286" s="66" t="s">
        <v>100</v>
      </c>
      <c r="R286" s="66" t="s">
        <v>139</v>
      </c>
    </row>
    <row r="287" spans="1:18" s="67" customFormat="1">
      <c r="A287" s="66" t="str">
        <f>VLOOKUP(C287,classifications!C:F,4,FALSE)</f>
        <v>SD</v>
      </c>
      <c r="B287" s="66" t="s">
        <v>713</v>
      </c>
      <c r="C287" s="66" t="s">
        <v>141</v>
      </c>
      <c r="D287" s="66" t="s">
        <v>20</v>
      </c>
      <c r="E287" s="66" t="s">
        <v>376</v>
      </c>
      <c r="F287" s="66" t="s">
        <v>68</v>
      </c>
      <c r="G287" s="66" t="s">
        <v>184</v>
      </c>
      <c r="H287" s="66" t="s">
        <v>345</v>
      </c>
      <c r="I287" s="66" t="s">
        <v>70</v>
      </c>
      <c r="J287" s="66" t="s">
        <v>15</v>
      </c>
      <c r="K287" s="66" t="s">
        <v>112</v>
      </c>
      <c r="L287" s="66" t="s">
        <v>7</v>
      </c>
      <c r="M287" s="66" t="s">
        <v>152</v>
      </c>
      <c r="N287" s="66" t="s">
        <v>183</v>
      </c>
      <c r="O287" s="66" t="s">
        <v>18</v>
      </c>
      <c r="P287" s="66" t="s">
        <v>12</v>
      </c>
      <c r="Q287" s="66" t="s">
        <v>115</v>
      </c>
      <c r="R287" s="66" t="s">
        <v>154</v>
      </c>
    </row>
    <row r="288" spans="1:18" s="67" customFormat="1">
      <c r="A288" s="66" t="str">
        <f>VLOOKUP(C288,classifications!C:F,4,FALSE)</f>
        <v>SD</v>
      </c>
      <c r="B288" s="66" t="s">
        <v>714</v>
      </c>
      <c r="C288" s="66" t="s">
        <v>142</v>
      </c>
      <c r="D288" s="66" t="s">
        <v>7</v>
      </c>
      <c r="E288" s="66" t="s">
        <v>345</v>
      </c>
      <c r="F288" s="66" t="s">
        <v>101</v>
      </c>
      <c r="G288" s="66" t="s">
        <v>153</v>
      </c>
      <c r="H288" s="66" t="s">
        <v>152</v>
      </c>
      <c r="I288" s="66" t="s">
        <v>147</v>
      </c>
      <c r="J288" s="66" t="s">
        <v>19</v>
      </c>
      <c r="K288" s="66" t="s">
        <v>344</v>
      </c>
      <c r="L288" s="66" t="s">
        <v>39</v>
      </c>
      <c r="M288" s="66" t="s">
        <v>94</v>
      </c>
      <c r="N288" s="66" t="s">
        <v>163</v>
      </c>
      <c r="O288" s="66" t="s">
        <v>86</v>
      </c>
      <c r="P288" s="66" t="s">
        <v>183</v>
      </c>
      <c r="Q288" s="66" t="s">
        <v>59</v>
      </c>
      <c r="R288" s="66" t="s">
        <v>58</v>
      </c>
    </row>
    <row r="289" spans="1:18" s="67" customFormat="1">
      <c r="A289" s="66" t="str">
        <f>VLOOKUP(C289,classifications!C:F,4,FALSE)</f>
        <v>SD</v>
      </c>
      <c r="B289" s="66" t="s">
        <v>715</v>
      </c>
      <c r="C289" s="66" t="s">
        <v>184</v>
      </c>
      <c r="D289" s="66" t="s">
        <v>70</v>
      </c>
      <c r="E289" s="66" t="s">
        <v>112</v>
      </c>
      <c r="F289" s="66" t="s">
        <v>183</v>
      </c>
      <c r="G289" s="66" t="s">
        <v>345</v>
      </c>
      <c r="H289" s="66" t="s">
        <v>344</v>
      </c>
      <c r="I289" s="66" t="s">
        <v>7</v>
      </c>
      <c r="J289" s="66" t="s">
        <v>154</v>
      </c>
      <c r="K289" s="66" t="s">
        <v>20</v>
      </c>
      <c r="L289" s="66" t="s">
        <v>12</v>
      </c>
      <c r="M289" s="66" t="s">
        <v>100</v>
      </c>
      <c r="N289" s="66" t="s">
        <v>149</v>
      </c>
      <c r="O289" s="66" t="s">
        <v>110</v>
      </c>
      <c r="P289" s="66" t="s">
        <v>144</v>
      </c>
      <c r="Q289" s="66" t="s">
        <v>141</v>
      </c>
      <c r="R289" s="66" t="s">
        <v>58</v>
      </c>
    </row>
    <row r="290" spans="1:18" s="67" customFormat="1">
      <c r="A290" s="66" t="str">
        <f>VLOOKUP(C290,classifications!C:F,4,FALSE)</f>
        <v>SD</v>
      </c>
      <c r="B290" s="66" t="s">
        <v>716</v>
      </c>
      <c r="C290" s="66" t="s">
        <v>20</v>
      </c>
      <c r="D290" s="66" t="s">
        <v>376</v>
      </c>
      <c r="E290" s="66" t="s">
        <v>141</v>
      </c>
      <c r="F290" s="66" t="s">
        <v>345</v>
      </c>
      <c r="G290" s="66" t="s">
        <v>184</v>
      </c>
      <c r="H290" s="66" t="s">
        <v>148</v>
      </c>
      <c r="I290" s="66" t="s">
        <v>112</v>
      </c>
      <c r="J290" s="66" t="s">
        <v>7</v>
      </c>
      <c r="K290" s="66" t="s">
        <v>152</v>
      </c>
      <c r="L290" s="66" t="s">
        <v>68</v>
      </c>
      <c r="M290" s="66" t="s">
        <v>142</v>
      </c>
      <c r="N290" s="66" t="s">
        <v>183</v>
      </c>
      <c r="O290" s="66" t="s">
        <v>70</v>
      </c>
      <c r="P290" s="66" t="s">
        <v>15</v>
      </c>
      <c r="Q290" s="66" t="s">
        <v>101</v>
      </c>
      <c r="R290" s="66" t="s">
        <v>110</v>
      </c>
    </row>
    <row r="291" spans="1:18" s="67" customFormat="1">
      <c r="A291" s="66" t="str">
        <f>VLOOKUP(C291,classifications!C:F,4,FALSE)</f>
        <v>SD</v>
      </c>
      <c r="B291" s="66" t="s">
        <v>717</v>
      </c>
      <c r="C291" s="66" t="s">
        <v>22</v>
      </c>
      <c r="D291" s="66" t="s">
        <v>112</v>
      </c>
      <c r="E291" s="66" t="s">
        <v>154</v>
      </c>
      <c r="F291" s="66" t="s">
        <v>144</v>
      </c>
      <c r="G291" s="66" t="s">
        <v>344</v>
      </c>
      <c r="H291" s="66" t="s">
        <v>12</v>
      </c>
      <c r="I291" s="66" t="s">
        <v>149</v>
      </c>
      <c r="J291" s="66" t="s">
        <v>130</v>
      </c>
      <c r="K291" s="66" t="s">
        <v>103</v>
      </c>
      <c r="L291" s="66" t="s">
        <v>157</v>
      </c>
      <c r="M291" s="66" t="s">
        <v>153</v>
      </c>
      <c r="N291" s="66" t="s">
        <v>16</v>
      </c>
      <c r="O291" s="66" t="s">
        <v>94</v>
      </c>
      <c r="P291" s="66" t="s">
        <v>167</v>
      </c>
      <c r="Q291" s="66" t="s">
        <v>102</v>
      </c>
      <c r="R291" s="66" t="s">
        <v>148</v>
      </c>
    </row>
    <row r="292" spans="1:18" s="67" customFormat="1">
      <c r="A292" s="66" t="str">
        <f>VLOOKUP(C292,classifications!C:F,4,FALSE)</f>
        <v>SD</v>
      </c>
      <c r="B292" s="66" t="s">
        <v>718</v>
      </c>
      <c r="C292" s="66" t="s">
        <v>76</v>
      </c>
      <c r="D292" s="66" t="s">
        <v>168</v>
      </c>
      <c r="E292" s="66" t="s">
        <v>176</v>
      </c>
      <c r="F292" s="66" t="s">
        <v>13</v>
      </c>
      <c r="G292" s="66" t="s">
        <v>51</v>
      </c>
      <c r="H292" s="66" t="s">
        <v>897</v>
      </c>
      <c r="I292" s="66" t="s">
        <v>83</v>
      </c>
      <c r="J292" s="66" t="s">
        <v>133</v>
      </c>
      <c r="K292" s="66" t="s">
        <v>36</v>
      </c>
      <c r="L292" s="66" t="s">
        <v>99</v>
      </c>
      <c r="M292" s="66" t="s">
        <v>165</v>
      </c>
      <c r="N292" s="66" t="s">
        <v>119</v>
      </c>
      <c r="O292" s="66" t="s">
        <v>6</v>
      </c>
      <c r="P292" s="66" t="s">
        <v>89</v>
      </c>
      <c r="Q292" s="66" t="s">
        <v>95</v>
      </c>
      <c r="R292" s="66" t="s">
        <v>195</v>
      </c>
    </row>
    <row r="293" spans="1:18" s="67" customFormat="1">
      <c r="A293" s="66" t="str">
        <f>VLOOKUP(C293,classifications!C:F,4,FALSE)</f>
        <v>SD</v>
      </c>
      <c r="B293" s="66" t="s">
        <v>719</v>
      </c>
      <c r="C293" s="68" t="s">
        <v>376</v>
      </c>
      <c r="D293" s="66" t="s">
        <v>20</v>
      </c>
      <c r="E293" s="66" t="s">
        <v>148</v>
      </c>
      <c r="F293" s="66" t="s">
        <v>141</v>
      </c>
      <c r="G293" s="66" t="s">
        <v>345</v>
      </c>
      <c r="H293" s="66" t="s">
        <v>7</v>
      </c>
      <c r="I293" s="66" t="s">
        <v>184</v>
      </c>
      <c r="J293" s="66" t="s">
        <v>142</v>
      </c>
      <c r="K293" s="66" t="s">
        <v>101</v>
      </c>
      <c r="L293" s="66" t="s">
        <v>68</v>
      </c>
      <c r="M293" s="66" t="s">
        <v>152</v>
      </c>
      <c r="N293" s="66" t="s">
        <v>183</v>
      </c>
      <c r="O293" s="66" t="s">
        <v>57</v>
      </c>
      <c r="P293" s="66" t="s">
        <v>70</v>
      </c>
      <c r="Q293" s="66" t="s">
        <v>15</v>
      </c>
      <c r="R293" s="66" t="s">
        <v>144</v>
      </c>
    </row>
    <row r="294" spans="1:18" s="67" customFormat="1">
      <c r="A294" s="66" t="str">
        <f>VLOOKUP(C294,classifications!C:F,4,FALSE)</f>
        <v>SD</v>
      </c>
      <c r="B294" s="66" t="s">
        <v>720</v>
      </c>
      <c r="C294" s="66" t="s">
        <v>113</v>
      </c>
      <c r="D294" s="66" t="s">
        <v>182</v>
      </c>
      <c r="E294" s="66" t="s">
        <v>127</v>
      </c>
      <c r="F294" s="66" t="s">
        <v>53</v>
      </c>
      <c r="G294" s="66" t="s">
        <v>170</v>
      </c>
      <c r="H294" s="66" t="s">
        <v>71</v>
      </c>
      <c r="I294" s="66" t="s">
        <v>164</v>
      </c>
      <c r="J294" s="66" t="s">
        <v>194</v>
      </c>
      <c r="K294" s="66" t="s">
        <v>186</v>
      </c>
      <c r="L294" s="66" t="s">
        <v>108</v>
      </c>
      <c r="M294" s="66" t="s">
        <v>140</v>
      </c>
      <c r="N294" s="66" t="s">
        <v>143</v>
      </c>
      <c r="O294" s="66" t="s">
        <v>165</v>
      </c>
      <c r="P294" s="66" t="s">
        <v>57</v>
      </c>
      <c r="Q294" s="66" t="s">
        <v>121</v>
      </c>
      <c r="R294" s="66" t="s">
        <v>37</v>
      </c>
    </row>
    <row r="295" spans="1:18" s="67" customFormat="1">
      <c r="A295" s="66" t="str">
        <f>VLOOKUP(C295,classifications!C:F,4,FALSE)</f>
        <v>SD</v>
      </c>
      <c r="B295" s="66" t="s">
        <v>721</v>
      </c>
      <c r="C295" s="66" t="s">
        <v>117</v>
      </c>
      <c r="D295" s="66" t="s">
        <v>95</v>
      </c>
      <c r="E295" s="66" t="s">
        <v>90</v>
      </c>
      <c r="F295" s="66" t="s">
        <v>120</v>
      </c>
      <c r="G295" s="66" t="s">
        <v>66</v>
      </c>
      <c r="H295" s="66" t="s">
        <v>36</v>
      </c>
      <c r="I295" s="66" t="s">
        <v>80</v>
      </c>
      <c r="J295" s="66" t="s">
        <v>155</v>
      </c>
      <c r="K295" s="66" t="s">
        <v>190</v>
      </c>
      <c r="L295" s="66" t="s">
        <v>83</v>
      </c>
      <c r="M295" s="66" t="s">
        <v>180</v>
      </c>
      <c r="N295" s="66" t="s">
        <v>122</v>
      </c>
      <c r="O295" s="66" t="s">
        <v>73</v>
      </c>
      <c r="P295" s="66" t="s">
        <v>14</v>
      </c>
      <c r="Q295" s="66" t="s">
        <v>28</v>
      </c>
      <c r="R295" s="66" t="s">
        <v>76</v>
      </c>
    </row>
    <row r="296" spans="1:18" s="67" customFormat="1">
      <c r="A296" s="66" t="str">
        <f>VLOOKUP(C296,classifications!C:F,4,FALSE)</f>
        <v>SD</v>
      </c>
      <c r="B296" s="66" t="s">
        <v>722</v>
      </c>
      <c r="C296" s="66" t="s">
        <v>144</v>
      </c>
      <c r="D296" s="66" t="s">
        <v>103</v>
      </c>
      <c r="E296" s="66" t="s">
        <v>12</v>
      </c>
      <c r="F296" s="66" t="s">
        <v>112</v>
      </c>
      <c r="G296" s="66" t="s">
        <v>22</v>
      </c>
      <c r="H296" s="66" t="s">
        <v>148</v>
      </c>
      <c r="I296" s="66" t="s">
        <v>192</v>
      </c>
      <c r="J296" s="66" t="s">
        <v>70</v>
      </c>
      <c r="K296" s="66" t="s">
        <v>109</v>
      </c>
      <c r="L296" s="66" t="s">
        <v>102</v>
      </c>
      <c r="M296" s="66" t="s">
        <v>78</v>
      </c>
      <c r="N296" s="66" t="s">
        <v>184</v>
      </c>
      <c r="O296" s="66" t="s">
        <v>157</v>
      </c>
      <c r="P296" s="66" t="s">
        <v>167</v>
      </c>
      <c r="Q296" s="66" t="s">
        <v>344</v>
      </c>
      <c r="R296" s="66" t="s">
        <v>130</v>
      </c>
    </row>
    <row r="297" spans="1:18" s="67" customFormat="1">
      <c r="A297" s="66" t="str">
        <f>VLOOKUP(C297,classifications!C:F,4,FALSE)</f>
        <v>SD</v>
      </c>
      <c r="B297" s="66" t="s">
        <v>723</v>
      </c>
      <c r="C297" s="66" t="s">
        <v>45</v>
      </c>
      <c r="D297" s="66" t="s">
        <v>62</v>
      </c>
      <c r="E297" s="66" t="s">
        <v>132</v>
      </c>
      <c r="F297" s="66" t="s">
        <v>50</v>
      </c>
      <c r="G297" s="66" t="s">
        <v>181</v>
      </c>
      <c r="H297" s="66" t="s">
        <v>44</v>
      </c>
      <c r="I297" s="66" t="s">
        <v>123</v>
      </c>
      <c r="J297" s="66" t="s">
        <v>78</v>
      </c>
      <c r="K297" s="66" t="s">
        <v>140</v>
      </c>
      <c r="L297" s="66" t="s">
        <v>109</v>
      </c>
      <c r="M297" s="66" t="s">
        <v>101</v>
      </c>
      <c r="N297" s="66" t="s">
        <v>143</v>
      </c>
      <c r="O297" s="66" t="s">
        <v>12</v>
      </c>
      <c r="P297" s="66" t="s">
        <v>71</v>
      </c>
      <c r="Q297" s="66" t="s">
        <v>97</v>
      </c>
      <c r="R297" s="66" t="s">
        <v>156</v>
      </c>
    </row>
    <row r="298" spans="1:18" s="67" customFormat="1">
      <c r="A298" s="66" t="str">
        <f>VLOOKUP(C298,classifications!C:F,4,FALSE)</f>
        <v>SD</v>
      </c>
      <c r="B298" s="66" t="s">
        <v>724</v>
      </c>
      <c r="C298" s="66" t="s">
        <v>78</v>
      </c>
      <c r="D298" s="66" t="s">
        <v>109</v>
      </c>
      <c r="E298" s="66" t="s">
        <v>12</v>
      </c>
      <c r="F298" s="66" t="s">
        <v>192</v>
      </c>
      <c r="G298" s="66" t="s">
        <v>156</v>
      </c>
      <c r="H298" s="66" t="s">
        <v>50</v>
      </c>
      <c r="I298" s="66" t="s">
        <v>44</v>
      </c>
      <c r="J298" s="66" t="s">
        <v>102</v>
      </c>
      <c r="K298" s="66" t="s">
        <v>97</v>
      </c>
      <c r="L298" s="66" t="s">
        <v>167</v>
      </c>
      <c r="M298" s="66" t="s">
        <v>62</v>
      </c>
      <c r="N298" s="66" t="s">
        <v>157</v>
      </c>
      <c r="O298" s="66" t="s">
        <v>98</v>
      </c>
      <c r="P298" s="66" t="s">
        <v>103</v>
      </c>
      <c r="Q298" s="66" t="s">
        <v>123</v>
      </c>
      <c r="R298" s="66" t="s">
        <v>94</v>
      </c>
    </row>
    <row r="299" spans="1:18" s="67" customFormat="1">
      <c r="A299" s="66" t="str">
        <f>VLOOKUP(C299,classifications!C:F,4,FALSE)</f>
        <v>SD</v>
      </c>
      <c r="B299" s="66" t="s">
        <v>725</v>
      </c>
      <c r="C299" s="66" t="s">
        <v>124</v>
      </c>
      <c r="D299" s="66" t="s">
        <v>100</v>
      </c>
      <c r="E299" s="66" t="s">
        <v>97</v>
      </c>
      <c r="F299" s="66" t="s">
        <v>123</v>
      </c>
      <c r="G299" s="66" t="s">
        <v>79</v>
      </c>
      <c r="H299" s="66" t="s">
        <v>167</v>
      </c>
      <c r="I299" s="66" t="s">
        <v>78</v>
      </c>
      <c r="J299" s="66" t="s">
        <v>109</v>
      </c>
      <c r="K299" s="66" t="s">
        <v>157</v>
      </c>
      <c r="L299" s="66" t="s">
        <v>94</v>
      </c>
      <c r="M299" s="66" t="s">
        <v>102</v>
      </c>
      <c r="N299" s="66" t="s">
        <v>344</v>
      </c>
      <c r="O299" s="66" t="s">
        <v>12</v>
      </c>
      <c r="P299" s="66" t="s">
        <v>49</v>
      </c>
      <c r="Q299" s="66" t="s">
        <v>135</v>
      </c>
      <c r="R299" s="66" t="s">
        <v>103</v>
      </c>
    </row>
    <row r="300" spans="1:18" s="67" customFormat="1">
      <c r="A300" s="66" t="str">
        <f>VLOOKUP(C300,classifications!C:F,4,FALSE)</f>
        <v>SD</v>
      </c>
      <c r="B300" s="66" t="s">
        <v>726</v>
      </c>
      <c r="C300" s="66" t="s">
        <v>133</v>
      </c>
      <c r="D300" s="66" t="s">
        <v>108</v>
      </c>
      <c r="E300" s="66" t="s">
        <v>194</v>
      </c>
      <c r="F300" s="66" t="s">
        <v>176</v>
      </c>
      <c r="G300" s="66" t="s">
        <v>897</v>
      </c>
      <c r="H300" s="66" t="s">
        <v>165</v>
      </c>
      <c r="I300" s="66" t="s">
        <v>92</v>
      </c>
      <c r="J300" s="66" t="s">
        <v>76</v>
      </c>
      <c r="K300" s="66" t="s">
        <v>51</v>
      </c>
      <c r="L300" s="66" t="s">
        <v>57</v>
      </c>
      <c r="M300" s="66" t="s">
        <v>71</v>
      </c>
      <c r="N300" s="66" t="s">
        <v>6</v>
      </c>
      <c r="O300" s="66" t="s">
        <v>168</v>
      </c>
      <c r="P300" s="66" t="s">
        <v>191</v>
      </c>
      <c r="Q300" s="66" t="s">
        <v>170</v>
      </c>
      <c r="R300" s="66" t="s">
        <v>13</v>
      </c>
    </row>
    <row r="301" spans="1:18" s="67" customFormat="1">
      <c r="A301" s="66" t="str">
        <f>VLOOKUP(C301,classifications!C:F,4,FALSE)</f>
        <v>SD</v>
      </c>
      <c r="B301" s="66" t="s">
        <v>727</v>
      </c>
      <c r="C301" s="66" t="s">
        <v>81</v>
      </c>
      <c r="D301" s="66" t="s">
        <v>104</v>
      </c>
      <c r="E301" s="66" t="s">
        <v>96</v>
      </c>
      <c r="F301" s="66" t="s">
        <v>87</v>
      </c>
      <c r="G301" s="66" t="s">
        <v>174</v>
      </c>
      <c r="H301" s="66" t="s">
        <v>101</v>
      </c>
      <c r="I301" s="66" t="s">
        <v>33</v>
      </c>
      <c r="J301" s="66" t="s">
        <v>163</v>
      </c>
      <c r="K301" s="66" t="s">
        <v>56</v>
      </c>
      <c r="L301" s="66" t="s">
        <v>157</v>
      </c>
      <c r="M301" s="66" t="s">
        <v>55</v>
      </c>
      <c r="N301" s="66" t="s">
        <v>153</v>
      </c>
      <c r="O301" s="66" t="s">
        <v>156</v>
      </c>
      <c r="P301" s="66" t="s">
        <v>142</v>
      </c>
      <c r="Q301" s="66" t="s">
        <v>166</v>
      </c>
      <c r="R301" s="66" t="s">
        <v>148</v>
      </c>
    </row>
    <row r="302" spans="1:18" s="67" customFormat="1">
      <c r="A302" s="66" t="str">
        <f>VLOOKUP(C302,classifications!C:F,4,FALSE)</f>
        <v>SD</v>
      </c>
      <c r="B302" s="66" t="s">
        <v>728</v>
      </c>
      <c r="C302" s="66" t="s">
        <v>132</v>
      </c>
      <c r="D302" s="66" t="s">
        <v>181</v>
      </c>
      <c r="E302" s="66" t="s">
        <v>50</v>
      </c>
      <c r="F302" s="66" t="s">
        <v>62</v>
      </c>
      <c r="G302" s="66" t="s">
        <v>45</v>
      </c>
      <c r="H302" s="66" t="s">
        <v>78</v>
      </c>
      <c r="I302" s="66" t="s">
        <v>44</v>
      </c>
      <c r="J302" s="66" t="s">
        <v>109</v>
      </c>
      <c r="K302" s="66" t="s">
        <v>97</v>
      </c>
      <c r="L302" s="66" t="s">
        <v>98</v>
      </c>
      <c r="M302" s="66" t="s">
        <v>123</v>
      </c>
      <c r="N302" s="66" t="s">
        <v>12</v>
      </c>
      <c r="O302" s="66" t="s">
        <v>101</v>
      </c>
      <c r="P302" s="66" t="s">
        <v>140</v>
      </c>
      <c r="Q302" s="66" t="s">
        <v>154</v>
      </c>
      <c r="R302" s="66" t="s">
        <v>100</v>
      </c>
    </row>
    <row r="303" spans="1:18" s="67" customFormat="1">
      <c r="A303" s="66" t="str">
        <f>VLOOKUP(C303,classifications!C:F,4,FALSE)</f>
        <v>SD</v>
      </c>
      <c r="B303" s="66" t="s">
        <v>729</v>
      </c>
      <c r="C303" s="66" t="s">
        <v>135</v>
      </c>
      <c r="D303" s="66" t="s">
        <v>49</v>
      </c>
      <c r="E303" s="66" t="s">
        <v>115</v>
      </c>
      <c r="F303" s="66" t="s">
        <v>114</v>
      </c>
      <c r="G303" s="66" t="s">
        <v>167</v>
      </c>
      <c r="H303" s="66" t="s">
        <v>345</v>
      </c>
      <c r="I303" s="66" t="s">
        <v>139</v>
      </c>
      <c r="J303" s="66" t="s">
        <v>100</v>
      </c>
      <c r="K303" s="66" t="s">
        <v>344</v>
      </c>
      <c r="L303" s="66" t="s">
        <v>183</v>
      </c>
      <c r="M303" s="66" t="s">
        <v>94</v>
      </c>
      <c r="N303" s="66" t="s">
        <v>58</v>
      </c>
      <c r="O303" s="66" t="s">
        <v>152</v>
      </c>
      <c r="P303" s="66" t="s">
        <v>157</v>
      </c>
      <c r="Q303" s="66" t="s">
        <v>79</v>
      </c>
      <c r="R303" s="66" t="s">
        <v>124</v>
      </c>
    </row>
    <row r="304" spans="1:18" s="67" customFormat="1">
      <c r="A304" s="66" t="str">
        <f>VLOOKUP(C304,classifications!C:F,4,FALSE)</f>
        <v>SD</v>
      </c>
      <c r="B304" s="66" t="s">
        <v>730</v>
      </c>
      <c r="C304" s="66" t="s">
        <v>43</v>
      </c>
      <c r="D304" s="66" t="s">
        <v>122</v>
      </c>
      <c r="E304" s="66" t="s">
        <v>161</v>
      </c>
      <c r="F304" s="66" t="s">
        <v>99</v>
      </c>
      <c r="G304" s="66" t="s">
        <v>346</v>
      </c>
      <c r="H304" s="66" t="s">
        <v>179</v>
      </c>
      <c r="I304" s="66" t="s">
        <v>9</v>
      </c>
      <c r="J304" s="66" t="s">
        <v>155</v>
      </c>
      <c r="K304" s="66" t="s">
        <v>91</v>
      </c>
      <c r="L304" s="66" t="s">
        <v>28</v>
      </c>
      <c r="M304" s="66" t="s">
        <v>73</v>
      </c>
      <c r="N304" s="66" t="s">
        <v>131</v>
      </c>
      <c r="O304" s="66" t="s">
        <v>89</v>
      </c>
      <c r="P304" s="66" t="s">
        <v>17</v>
      </c>
      <c r="Q304" s="66" t="s">
        <v>119</v>
      </c>
      <c r="R304" s="66" t="s">
        <v>18</v>
      </c>
    </row>
    <row r="305" spans="1:18" s="67" customFormat="1">
      <c r="A305" s="66" t="str">
        <f>VLOOKUP(C305,classifications!C:F,4,FALSE)</f>
        <v>SD</v>
      </c>
      <c r="B305" s="66" t="s">
        <v>731</v>
      </c>
      <c r="C305" s="66" t="s">
        <v>49</v>
      </c>
      <c r="D305" s="66" t="s">
        <v>135</v>
      </c>
      <c r="E305" s="66" t="s">
        <v>115</v>
      </c>
      <c r="F305" s="66" t="s">
        <v>167</v>
      </c>
      <c r="G305" s="66" t="s">
        <v>79</v>
      </c>
      <c r="H305" s="66" t="s">
        <v>100</v>
      </c>
      <c r="I305" s="66" t="s">
        <v>114</v>
      </c>
      <c r="J305" s="66" t="s">
        <v>139</v>
      </c>
      <c r="K305" s="66" t="s">
        <v>166</v>
      </c>
      <c r="L305" s="66" t="s">
        <v>58</v>
      </c>
      <c r="M305" s="66" t="s">
        <v>124</v>
      </c>
      <c r="N305" s="66" t="s">
        <v>97</v>
      </c>
      <c r="O305" s="66" t="s">
        <v>157</v>
      </c>
      <c r="P305" s="66" t="s">
        <v>94</v>
      </c>
      <c r="Q305" s="66" t="s">
        <v>345</v>
      </c>
      <c r="R305" s="66" t="s">
        <v>344</v>
      </c>
    </row>
    <row r="306" spans="1:18" s="67" customFormat="1">
      <c r="A306" s="66" t="str">
        <f>VLOOKUP(C306,classifications!C:F,4,FALSE)</f>
        <v>SD</v>
      </c>
      <c r="B306" s="66" t="s">
        <v>732</v>
      </c>
      <c r="C306" s="66" t="s">
        <v>58</v>
      </c>
      <c r="D306" s="66" t="s">
        <v>344</v>
      </c>
      <c r="E306" s="66" t="s">
        <v>139</v>
      </c>
      <c r="F306" s="66" t="s">
        <v>39</v>
      </c>
      <c r="G306" s="66" t="s">
        <v>94</v>
      </c>
      <c r="H306" s="66" t="s">
        <v>100</v>
      </c>
      <c r="I306" s="66" t="s">
        <v>147</v>
      </c>
      <c r="J306" s="66" t="s">
        <v>345</v>
      </c>
      <c r="K306" s="66" t="s">
        <v>128</v>
      </c>
      <c r="L306" s="66" t="s">
        <v>157</v>
      </c>
      <c r="M306" s="66" t="s">
        <v>91</v>
      </c>
      <c r="N306" s="66" t="s">
        <v>10</v>
      </c>
      <c r="O306" s="66" t="s">
        <v>102</v>
      </c>
      <c r="P306" s="66" t="s">
        <v>115</v>
      </c>
      <c r="Q306" s="66" t="s">
        <v>183</v>
      </c>
      <c r="R306" s="66" t="s">
        <v>142</v>
      </c>
    </row>
    <row r="307" spans="1:18" s="67" customFormat="1">
      <c r="A307" s="66" t="str">
        <f>VLOOKUP(C307,classifications!C:F,4,FALSE)</f>
        <v>SD</v>
      </c>
      <c r="B307" s="66" t="s">
        <v>733</v>
      </c>
      <c r="C307" s="66" t="s">
        <v>91</v>
      </c>
      <c r="D307" s="66" t="s">
        <v>128</v>
      </c>
      <c r="E307" s="66" t="s">
        <v>59</v>
      </c>
      <c r="F307" s="66" t="s">
        <v>73</v>
      </c>
      <c r="G307" s="66" t="s">
        <v>346</v>
      </c>
      <c r="H307" s="66" t="s">
        <v>65</v>
      </c>
      <c r="I307" s="66" t="s">
        <v>39</v>
      </c>
      <c r="J307" s="66" t="s">
        <v>58</v>
      </c>
      <c r="K307" s="66" t="s">
        <v>86</v>
      </c>
      <c r="L307" s="66" t="s">
        <v>126</v>
      </c>
      <c r="M307" s="66" t="s">
        <v>72</v>
      </c>
      <c r="N307" s="66" t="s">
        <v>190</v>
      </c>
      <c r="O307" s="66" t="s">
        <v>179</v>
      </c>
      <c r="P307" s="66" t="s">
        <v>147</v>
      </c>
      <c r="Q307" s="66" t="s">
        <v>142</v>
      </c>
      <c r="R307" s="66" t="s">
        <v>19</v>
      </c>
    </row>
    <row r="308" spans="1:18" s="67" customFormat="1">
      <c r="A308" s="66" t="str">
        <f>VLOOKUP(C308,classifications!C:F,4,FALSE)</f>
        <v>SD</v>
      </c>
      <c r="B308" s="66" t="s">
        <v>734</v>
      </c>
      <c r="C308" s="66" t="s">
        <v>116</v>
      </c>
      <c r="D308" s="66" t="s">
        <v>120</v>
      </c>
      <c r="E308" s="66" t="s">
        <v>14</v>
      </c>
      <c r="F308" s="66" t="s">
        <v>73</v>
      </c>
      <c r="G308" s="66" t="s">
        <v>90</v>
      </c>
      <c r="H308" s="66" t="s">
        <v>41</v>
      </c>
      <c r="I308" s="66" t="s">
        <v>131</v>
      </c>
      <c r="J308" s="66" t="s">
        <v>346</v>
      </c>
      <c r="K308" s="66" t="s">
        <v>190</v>
      </c>
      <c r="L308" s="66" t="s">
        <v>75</v>
      </c>
      <c r="M308" s="66" t="s">
        <v>122</v>
      </c>
      <c r="N308" s="66" t="s">
        <v>19</v>
      </c>
      <c r="O308" s="66" t="s">
        <v>96</v>
      </c>
      <c r="P308" s="66" t="s">
        <v>91</v>
      </c>
      <c r="Q308" s="66" t="s">
        <v>59</v>
      </c>
      <c r="R308" s="66" t="s">
        <v>32</v>
      </c>
    </row>
    <row r="309" spans="1:18" s="67" customFormat="1">
      <c r="A309" s="66" t="str">
        <f>VLOOKUP(C309,classifications!C:F,4,FALSE)</f>
        <v>SD</v>
      </c>
      <c r="B309" s="66" t="s">
        <v>735</v>
      </c>
      <c r="C309" s="66" t="s">
        <v>145</v>
      </c>
      <c r="D309" s="66" t="s">
        <v>79</v>
      </c>
      <c r="E309" s="66" t="s">
        <v>103</v>
      </c>
      <c r="F309" s="66" t="s">
        <v>130</v>
      </c>
      <c r="G309" s="66" t="s">
        <v>172</v>
      </c>
      <c r="H309" s="66" t="s">
        <v>52</v>
      </c>
      <c r="I309" s="66" t="s">
        <v>185</v>
      </c>
      <c r="J309" s="66" t="s">
        <v>100</v>
      </c>
      <c r="K309" s="66" t="s">
        <v>124</v>
      </c>
      <c r="L309" s="66" t="s">
        <v>167</v>
      </c>
      <c r="M309" s="66" t="s">
        <v>144</v>
      </c>
      <c r="N309" s="66" t="s">
        <v>166</v>
      </c>
      <c r="O309" s="66" t="s">
        <v>146</v>
      </c>
      <c r="P309" s="66" t="s">
        <v>82</v>
      </c>
      <c r="Q309" s="66" t="s">
        <v>97</v>
      </c>
      <c r="R309" s="66" t="s">
        <v>55</v>
      </c>
    </row>
    <row r="310" spans="1:18" s="67" customFormat="1">
      <c r="A310" s="66" t="str">
        <f>VLOOKUP(C310,classifications!C:F,4,FALSE)</f>
        <v>SD</v>
      </c>
      <c r="B310" s="66" t="s">
        <v>736</v>
      </c>
      <c r="C310" s="66" t="s">
        <v>179</v>
      </c>
      <c r="D310" s="66" t="s">
        <v>128</v>
      </c>
      <c r="E310" s="66" t="s">
        <v>91</v>
      </c>
      <c r="F310" s="66" t="s">
        <v>59</v>
      </c>
      <c r="G310" s="66" t="s">
        <v>75</v>
      </c>
      <c r="H310" s="66" t="s">
        <v>122</v>
      </c>
      <c r="I310" s="66" t="s">
        <v>69</v>
      </c>
      <c r="J310" s="66" t="s">
        <v>161</v>
      </c>
      <c r="K310" s="66" t="s">
        <v>152</v>
      </c>
      <c r="L310" s="66" t="s">
        <v>73</v>
      </c>
      <c r="M310" s="66" t="s">
        <v>10</v>
      </c>
      <c r="N310" s="66" t="s">
        <v>68</v>
      </c>
      <c r="O310" s="66" t="s">
        <v>58</v>
      </c>
      <c r="P310" s="66" t="s">
        <v>15</v>
      </c>
      <c r="Q310" s="66" t="s">
        <v>65</v>
      </c>
      <c r="R310" s="66" t="s">
        <v>195</v>
      </c>
    </row>
    <row r="311" spans="1:18" s="67" customFormat="1">
      <c r="A311" s="66" t="str">
        <f>VLOOKUP(C311,classifications!C:F,4,FALSE)</f>
        <v>SD</v>
      </c>
      <c r="B311" s="66" t="s">
        <v>737</v>
      </c>
      <c r="C311" s="66" t="s">
        <v>9</v>
      </c>
      <c r="D311" s="66" t="s">
        <v>99</v>
      </c>
      <c r="E311" s="66" t="s">
        <v>346</v>
      </c>
      <c r="F311" s="66" t="s">
        <v>28</v>
      </c>
      <c r="G311" s="66" t="s">
        <v>17</v>
      </c>
      <c r="H311" s="66" t="s">
        <v>65</v>
      </c>
      <c r="I311" s="66" t="s">
        <v>107</v>
      </c>
      <c r="J311" s="66" t="s">
        <v>15</v>
      </c>
      <c r="K311" s="66" t="s">
        <v>30</v>
      </c>
      <c r="L311" s="66" t="s">
        <v>126</v>
      </c>
      <c r="M311" s="66" t="s">
        <v>36</v>
      </c>
      <c r="N311" s="66" t="s">
        <v>161</v>
      </c>
      <c r="O311" s="66" t="s">
        <v>91</v>
      </c>
      <c r="P311" s="66" t="s">
        <v>119</v>
      </c>
      <c r="Q311" s="66" t="s">
        <v>7</v>
      </c>
      <c r="R311" s="66" t="s">
        <v>89</v>
      </c>
    </row>
    <row r="312" spans="1:18" s="67" customFormat="1">
      <c r="A312" s="66" t="str">
        <f>VLOOKUP(C312,classifications!C:F,4,FALSE)</f>
        <v>SD</v>
      </c>
      <c r="B312" s="66" t="s">
        <v>738</v>
      </c>
      <c r="C312" s="66" t="s">
        <v>15</v>
      </c>
      <c r="D312" s="66" t="s">
        <v>345</v>
      </c>
      <c r="E312" s="66" t="s">
        <v>30</v>
      </c>
      <c r="F312" s="66" t="s">
        <v>7</v>
      </c>
      <c r="G312" s="66" t="s">
        <v>115</v>
      </c>
      <c r="H312" s="66" t="s">
        <v>183</v>
      </c>
      <c r="I312" s="66" t="s">
        <v>42</v>
      </c>
      <c r="J312" s="66" t="s">
        <v>59</v>
      </c>
      <c r="K312" s="66" t="s">
        <v>195</v>
      </c>
      <c r="L312" s="66" t="s">
        <v>107</v>
      </c>
      <c r="M312" s="66" t="s">
        <v>152</v>
      </c>
      <c r="N312" s="66" t="s">
        <v>65</v>
      </c>
      <c r="O312" s="66" t="s">
        <v>142</v>
      </c>
      <c r="P312" s="66" t="s">
        <v>68</v>
      </c>
      <c r="Q312" s="66" t="s">
        <v>86</v>
      </c>
      <c r="R312" s="66" t="s">
        <v>39</v>
      </c>
    </row>
    <row r="313" spans="1:18" s="67" customFormat="1">
      <c r="A313" s="66" t="str">
        <f>VLOOKUP(C313,classifications!C:F,4,FALSE)</f>
        <v>SD</v>
      </c>
      <c r="B313" s="66" t="s">
        <v>739</v>
      </c>
      <c r="C313" s="66" t="s">
        <v>25</v>
      </c>
      <c r="D313" s="66" t="s">
        <v>72</v>
      </c>
      <c r="E313" s="66" t="s">
        <v>65</v>
      </c>
      <c r="F313" s="66" t="s">
        <v>7</v>
      </c>
      <c r="G313" s="66" t="s">
        <v>31</v>
      </c>
      <c r="H313" s="66" t="s">
        <v>147</v>
      </c>
      <c r="I313" s="66" t="s">
        <v>39</v>
      </c>
      <c r="J313" s="66" t="s">
        <v>344</v>
      </c>
      <c r="K313" s="66" t="s">
        <v>86</v>
      </c>
      <c r="L313" s="66" t="s">
        <v>107</v>
      </c>
      <c r="M313" s="66" t="s">
        <v>142</v>
      </c>
      <c r="N313" s="66" t="s">
        <v>154</v>
      </c>
      <c r="O313" s="66" t="s">
        <v>32</v>
      </c>
      <c r="P313" s="66" t="s">
        <v>195</v>
      </c>
      <c r="Q313" s="66" t="s">
        <v>347</v>
      </c>
      <c r="R313" s="66" t="s">
        <v>149</v>
      </c>
    </row>
    <row r="314" spans="1:18" s="67" customFormat="1">
      <c r="A314" s="66" t="str">
        <f>VLOOKUP(C314,classifications!C:F,4,FALSE)</f>
        <v>SD</v>
      </c>
      <c r="B314" s="66" t="s">
        <v>740</v>
      </c>
      <c r="C314" s="66" t="s">
        <v>72</v>
      </c>
      <c r="D314" s="66" t="s">
        <v>65</v>
      </c>
      <c r="E314" s="66" t="s">
        <v>25</v>
      </c>
      <c r="F314" s="66" t="s">
        <v>147</v>
      </c>
      <c r="G314" s="66" t="s">
        <v>31</v>
      </c>
      <c r="H314" s="66" t="s">
        <v>39</v>
      </c>
      <c r="I314" s="66" t="s">
        <v>344</v>
      </c>
      <c r="J314" s="66" t="s">
        <v>7</v>
      </c>
      <c r="K314" s="66" t="s">
        <v>91</v>
      </c>
      <c r="L314" s="66" t="s">
        <v>142</v>
      </c>
      <c r="M314" s="66" t="s">
        <v>195</v>
      </c>
      <c r="N314" s="66" t="s">
        <v>86</v>
      </c>
      <c r="O314" s="66" t="s">
        <v>94</v>
      </c>
      <c r="P314" s="66" t="s">
        <v>107</v>
      </c>
      <c r="Q314" s="66" t="s">
        <v>149</v>
      </c>
      <c r="R314" s="66" t="s">
        <v>183</v>
      </c>
    </row>
    <row r="315" spans="1:18" s="67" customFormat="1">
      <c r="A315" s="66" t="str">
        <f>VLOOKUP(C315,classifications!C:F,4,FALSE)</f>
        <v>SD</v>
      </c>
      <c r="B315" s="66" t="s">
        <v>741</v>
      </c>
      <c r="C315" s="66" t="s">
        <v>99</v>
      </c>
      <c r="D315" s="66" t="s">
        <v>9</v>
      </c>
      <c r="E315" s="66" t="s">
        <v>346</v>
      </c>
      <c r="F315" s="66" t="s">
        <v>28</v>
      </c>
      <c r="G315" s="66" t="s">
        <v>36</v>
      </c>
      <c r="H315" s="66" t="s">
        <v>65</v>
      </c>
      <c r="I315" s="66" t="s">
        <v>30</v>
      </c>
      <c r="J315" s="66" t="s">
        <v>107</v>
      </c>
      <c r="K315" s="66" t="s">
        <v>17</v>
      </c>
      <c r="L315" s="66" t="s">
        <v>195</v>
      </c>
      <c r="M315" s="66" t="s">
        <v>15</v>
      </c>
      <c r="N315" s="66" t="s">
        <v>161</v>
      </c>
      <c r="O315" s="66" t="s">
        <v>119</v>
      </c>
      <c r="P315" s="66" t="s">
        <v>91</v>
      </c>
      <c r="Q315" s="66" t="s">
        <v>126</v>
      </c>
      <c r="R315" s="66" t="s">
        <v>190</v>
      </c>
    </row>
    <row r="316" spans="1:18" s="67" customFormat="1">
      <c r="A316" s="66" t="str">
        <f>VLOOKUP(C316,classifications!C:F,4,FALSE)</f>
        <v>SD</v>
      </c>
      <c r="B316" s="66" t="s">
        <v>742</v>
      </c>
      <c r="C316" s="66" t="s">
        <v>345</v>
      </c>
      <c r="D316" s="66" t="s">
        <v>183</v>
      </c>
      <c r="E316" s="66" t="s">
        <v>7</v>
      </c>
      <c r="F316" s="66" t="s">
        <v>15</v>
      </c>
      <c r="G316" s="66" t="s">
        <v>142</v>
      </c>
      <c r="H316" s="66" t="s">
        <v>39</v>
      </c>
      <c r="I316" s="66" t="s">
        <v>115</v>
      </c>
      <c r="J316" s="66" t="s">
        <v>344</v>
      </c>
      <c r="K316" s="66" t="s">
        <v>184</v>
      </c>
      <c r="L316" s="66" t="s">
        <v>152</v>
      </c>
      <c r="M316" s="66" t="s">
        <v>86</v>
      </c>
      <c r="N316" s="66" t="s">
        <v>20</v>
      </c>
      <c r="O316" s="66" t="s">
        <v>58</v>
      </c>
      <c r="P316" s="66" t="s">
        <v>19</v>
      </c>
      <c r="Q316" s="66" t="s">
        <v>157</v>
      </c>
      <c r="R316" s="66" t="s">
        <v>94</v>
      </c>
    </row>
    <row r="317" spans="1:18" s="67" customFormat="1">
      <c r="A317" s="66" t="str">
        <f>VLOOKUP(C317,classifications!C:F,4,FALSE)</f>
        <v>SD</v>
      </c>
      <c r="B317" s="66" t="s">
        <v>743</v>
      </c>
      <c r="C317" s="66" t="s">
        <v>130</v>
      </c>
      <c r="D317" s="66" t="s">
        <v>79</v>
      </c>
      <c r="E317" s="66" t="s">
        <v>94</v>
      </c>
      <c r="F317" s="66" t="s">
        <v>167</v>
      </c>
      <c r="G317" s="66" t="s">
        <v>157</v>
      </c>
      <c r="H317" s="66" t="s">
        <v>23</v>
      </c>
      <c r="I317" s="66" t="s">
        <v>344</v>
      </c>
      <c r="J317" s="66" t="s">
        <v>16</v>
      </c>
      <c r="K317" s="66" t="s">
        <v>55</v>
      </c>
      <c r="L317" s="66" t="s">
        <v>145</v>
      </c>
      <c r="M317" s="66" t="s">
        <v>185</v>
      </c>
      <c r="N317" s="66" t="s">
        <v>166</v>
      </c>
      <c r="O317" s="66" t="s">
        <v>12</v>
      </c>
      <c r="P317" s="66" t="s">
        <v>97</v>
      </c>
      <c r="Q317" s="66" t="s">
        <v>153</v>
      </c>
      <c r="R317" s="66" t="s">
        <v>78</v>
      </c>
    </row>
    <row r="318" spans="1:18" s="67" customFormat="1">
      <c r="A318" s="66" t="str">
        <f>VLOOKUP(C318,classifications!C:F,4,FALSE)</f>
        <v>SD</v>
      </c>
      <c r="B318" s="66" t="s">
        <v>744</v>
      </c>
      <c r="C318" s="66" t="s">
        <v>35</v>
      </c>
      <c r="D318" s="66" t="s">
        <v>88</v>
      </c>
      <c r="E318" s="66" t="s">
        <v>96</v>
      </c>
      <c r="F318" s="66" t="s">
        <v>128</v>
      </c>
      <c r="G318" s="66" t="s">
        <v>11</v>
      </c>
      <c r="H318" s="66" t="s">
        <v>166</v>
      </c>
      <c r="I318" s="66" t="s">
        <v>173</v>
      </c>
      <c r="J318" s="66" t="s">
        <v>342</v>
      </c>
      <c r="K318" s="66" t="s">
        <v>10</v>
      </c>
      <c r="L318" s="66" t="s">
        <v>193</v>
      </c>
      <c r="M318" s="66" t="s">
        <v>33</v>
      </c>
      <c r="N318" s="66" t="s">
        <v>185</v>
      </c>
      <c r="O318" s="66" t="s">
        <v>41</v>
      </c>
      <c r="P318" s="66" t="s">
        <v>146</v>
      </c>
      <c r="Q318" s="66" t="s">
        <v>111</v>
      </c>
      <c r="R318" s="66" t="s">
        <v>152</v>
      </c>
    </row>
    <row r="319" spans="1:18" s="67" customFormat="1">
      <c r="A319" s="66" t="str">
        <f>VLOOKUP(C319,classifications!C:F,4,FALSE)</f>
        <v>SD</v>
      </c>
      <c r="B319" s="66" t="s">
        <v>745</v>
      </c>
      <c r="C319" s="66" t="s">
        <v>118</v>
      </c>
      <c r="D319" s="66" t="s">
        <v>27</v>
      </c>
      <c r="E319" s="66" t="s">
        <v>175</v>
      </c>
      <c r="F319" s="66" t="s">
        <v>131</v>
      </c>
      <c r="G319" s="66" t="s">
        <v>180</v>
      </c>
      <c r="H319" s="66" t="s">
        <v>66</v>
      </c>
      <c r="I319" s="66" t="s">
        <v>34</v>
      </c>
      <c r="J319" s="66" t="s">
        <v>46</v>
      </c>
      <c r="K319" s="66" t="s">
        <v>116</v>
      </c>
      <c r="L319" s="66" t="s">
        <v>174</v>
      </c>
      <c r="M319" s="66" t="s">
        <v>41</v>
      </c>
      <c r="N319" s="66" t="s">
        <v>189</v>
      </c>
      <c r="O319" s="66" t="s">
        <v>47</v>
      </c>
      <c r="P319" s="66" t="s">
        <v>155</v>
      </c>
      <c r="Q319" s="66" t="s">
        <v>120</v>
      </c>
      <c r="R319" s="66" t="s">
        <v>48</v>
      </c>
    </row>
    <row r="320" spans="1:18" s="67" customFormat="1">
      <c r="A320" s="66" t="str">
        <f>VLOOKUP(C320,classifications!C:F,4,FALSE)</f>
        <v>SD</v>
      </c>
      <c r="B320" s="66" t="s">
        <v>746</v>
      </c>
      <c r="C320" s="66" t="s">
        <v>146</v>
      </c>
      <c r="D320" s="66" t="s">
        <v>136</v>
      </c>
      <c r="E320" s="66" t="s">
        <v>55</v>
      </c>
      <c r="F320" s="66" t="s">
        <v>185</v>
      </c>
      <c r="G320" s="66" t="s">
        <v>166</v>
      </c>
      <c r="H320" s="66" t="s">
        <v>173</v>
      </c>
      <c r="I320" s="66" t="s">
        <v>11</v>
      </c>
      <c r="J320" s="66" t="s">
        <v>56</v>
      </c>
      <c r="K320" s="66" t="s">
        <v>188</v>
      </c>
      <c r="L320" s="66" t="s">
        <v>64</v>
      </c>
      <c r="M320" s="66" t="s">
        <v>87</v>
      </c>
      <c r="N320" s="66" t="s">
        <v>138</v>
      </c>
      <c r="O320" s="66" t="s">
        <v>79</v>
      </c>
      <c r="P320" s="66" t="s">
        <v>104</v>
      </c>
      <c r="Q320" s="66" t="s">
        <v>82</v>
      </c>
      <c r="R320" s="66" t="s">
        <v>130</v>
      </c>
    </row>
    <row r="321" spans="1:18" s="67" customFormat="1">
      <c r="A321" s="66" t="str">
        <f>VLOOKUP(C321,classifications!C:F,4,FALSE)</f>
        <v>SD</v>
      </c>
      <c r="B321" s="66" t="s">
        <v>747</v>
      </c>
      <c r="C321" s="66" t="s">
        <v>173</v>
      </c>
      <c r="D321" s="66" t="s">
        <v>166</v>
      </c>
      <c r="E321" s="66" t="s">
        <v>146</v>
      </c>
      <c r="F321" s="66" t="s">
        <v>188</v>
      </c>
      <c r="G321" s="66" t="s">
        <v>185</v>
      </c>
      <c r="H321" s="66" t="s">
        <v>136</v>
      </c>
      <c r="I321" s="66" t="s">
        <v>55</v>
      </c>
      <c r="J321" s="66" t="s">
        <v>138</v>
      </c>
      <c r="K321" s="66" t="s">
        <v>35</v>
      </c>
      <c r="L321" s="66" t="s">
        <v>56</v>
      </c>
      <c r="M321" s="66" t="s">
        <v>349</v>
      </c>
      <c r="N321" s="66" t="s">
        <v>167</v>
      </c>
      <c r="O321" s="66" t="s">
        <v>64</v>
      </c>
      <c r="P321" s="66" t="s">
        <v>193</v>
      </c>
      <c r="Q321" s="66" t="s">
        <v>11</v>
      </c>
      <c r="R321" s="66" t="s">
        <v>104</v>
      </c>
    </row>
    <row r="322" spans="1:18" s="67" customFormat="1">
      <c r="A322" s="66" t="str">
        <f>VLOOKUP(C322,classifications!C:F,4,FALSE)</f>
        <v>SD</v>
      </c>
      <c r="B322" s="66" t="s">
        <v>748</v>
      </c>
      <c r="C322" s="66" t="s">
        <v>185</v>
      </c>
      <c r="D322" s="66" t="s">
        <v>166</v>
      </c>
      <c r="E322" s="66" t="s">
        <v>146</v>
      </c>
      <c r="F322" s="66" t="s">
        <v>55</v>
      </c>
      <c r="G322" s="66" t="s">
        <v>173</v>
      </c>
      <c r="H322" s="66" t="s">
        <v>136</v>
      </c>
      <c r="I322" s="66" t="s">
        <v>157</v>
      </c>
      <c r="J322" s="66" t="s">
        <v>167</v>
      </c>
      <c r="K322" s="66" t="s">
        <v>79</v>
      </c>
      <c r="L322" s="66" t="s">
        <v>130</v>
      </c>
      <c r="M322" s="66" t="s">
        <v>97</v>
      </c>
      <c r="N322" s="66" t="s">
        <v>188</v>
      </c>
      <c r="O322" s="66" t="s">
        <v>64</v>
      </c>
      <c r="P322" s="66" t="s">
        <v>78</v>
      </c>
      <c r="Q322" s="66" t="s">
        <v>156</v>
      </c>
      <c r="R322" s="66" t="s">
        <v>145</v>
      </c>
    </row>
    <row r="323" spans="1:18" s="67" customFormat="1">
      <c r="A323" s="66" t="str">
        <f>VLOOKUP(C323,classifications!C:F,4,FALSE)</f>
        <v>SD</v>
      </c>
      <c r="B323" s="66" t="s">
        <v>749</v>
      </c>
      <c r="C323" s="66" t="s">
        <v>101</v>
      </c>
      <c r="D323" s="66" t="s">
        <v>163</v>
      </c>
      <c r="E323" s="66" t="s">
        <v>152</v>
      </c>
      <c r="F323" s="66" t="s">
        <v>157</v>
      </c>
      <c r="G323" s="66" t="s">
        <v>142</v>
      </c>
      <c r="H323" s="66" t="s">
        <v>102</v>
      </c>
      <c r="I323" s="66" t="s">
        <v>12</v>
      </c>
      <c r="J323" s="66" t="s">
        <v>148</v>
      </c>
      <c r="K323" s="66" t="s">
        <v>153</v>
      </c>
      <c r="L323" s="66" t="s">
        <v>109</v>
      </c>
      <c r="M323" s="66" t="s">
        <v>345</v>
      </c>
      <c r="N323" s="66" t="s">
        <v>94</v>
      </c>
      <c r="O323" s="66" t="s">
        <v>344</v>
      </c>
      <c r="P323" s="66" t="s">
        <v>10</v>
      </c>
      <c r="Q323" s="66" t="s">
        <v>86</v>
      </c>
      <c r="R323" s="66" t="s">
        <v>58</v>
      </c>
    </row>
    <row r="324" spans="1:18" s="67" customFormat="1">
      <c r="A324" s="66" t="str">
        <f>VLOOKUP(C324,classifications!C:F,4,FALSE)</f>
        <v>SD</v>
      </c>
      <c r="B324" s="66" t="s">
        <v>750</v>
      </c>
      <c r="C324" s="66" t="s">
        <v>134</v>
      </c>
      <c r="D324" s="66" t="s">
        <v>51</v>
      </c>
      <c r="E324" s="66" t="s">
        <v>164</v>
      </c>
      <c r="F324" s="66" t="s">
        <v>108</v>
      </c>
      <c r="G324" s="66" t="s">
        <v>170</v>
      </c>
      <c r="H324" s="66" t="s">
        <v>93</v>
      </c>
      <c r="I324" s="66" t="s">
        <v>101</v>
      </c>
      <c r="J324" s="66" t="s">
        <v>160</v>
      </c>
      <c r="K324" s="66" t="s">
        <v>7</v>
      </c>
      <c r="L324" s="66" t="s">
        <v>897</v>
      </c>
      <c r="M324" s="66" t="s">
        <v>142</v>
      </c>
      <c r="N324" s="66" t="s">
        <v>152</v>
      </c>
      <c r="O324" s="66" t="s">
        <v>345</v>
      </c>
      <c r="P324" s="66" t="s">
        <v>163</v>
      </c>
      <c r="Q324" s="66" t="s">
        <v>183</v>
      </c>
      <c r="R324" s="66" t="s">
        <v>158</v>
      </c>
    </row>
    <row r="325" spans="1:18" s="67" customFormat="1">
      <c r="A325" s="66" t="str">
        <f>VLOOKUP(C325,classifications!C:F,4,FALSE)</f>
        <v>SD</v>
      </c>
      <c r="B325" s="66" t="s">
        <v>751</v>
      </c>
      <c r="C325" s="66" t="s">
        <v>163</v>
      </c>
      <c r="D325" s="66" t="s">
        <v>101</v>
      </c>
      <c r="E325" s="66" t="s">
        <v>152</v>
      </c>
      <c r="F325" s="66" t="s">
        <v>157</v>
      </c>
      <c r="G325" s="66" t="s">
        <v>142</v>
      </c>
      <c r="H325" s="66" t="s">
        <v>153</v>
      </c>
      <c r="I325" s="66" t="s">
        <v>148</v>
      </c>
      <c r="J325" s="66" t="s">
        <v>102</v>
      </c>
      <c r="K325" s="66" t="s">
        <v>94</v>
      </c>
      <c r="L325" s="66" t="s">
        <v>12</v>
      </c>
      <c r="M325" s="66" t="s">
        <v>167</v>
      </c>
      <c r="N325" s="66" t="s">
        <v>128</v>
      </c>
      <c r="O325" s="66" t="s">
        <v>345</v>
      </c>
      <c r="P325" s="66" t="s">
        <v>111</v>
      </c>
      <c r="Q325" s="66" t="s">
        <v>195</v>
      </c>
      <c r="R325" s="66" t="s">
        <v>192</v>
      </c>
    </row>
    <row r="326" spans="1:18" s="67" customFormat="1">
      <c r="A326" s="66" t="str">
        <f>VLOOKUP(C326,classifications!C:F,4,FALSE)</f>
        <v>SD</v>
      </c>
      <c r="B326" s="66" t="s">
        <v>752</v>
      </c>
      <c r="C326" s="66" t="s">
        <v>148</v>
      </c>
      <c r="D326" s="66" t="s">
        <v>376</v>
      </c>
      <c r="E326" s="66" t="s">
        <v>101</v>
      </c>
      <c r="F326" s="66" t="s">
        <v>192</v>
      </c>
      <c r="G326" s="66" t="s">
        <v>163</v>
      </c>
      <c r="H326" s="66" t="s">
        <v>144</v>
      </c>
      <c r="I326" s="66" t="s">
        <v>20</v>
      </c>
      <c r="J326" s="66" t="s">
        <v>12</v>
      </c>
      <c r="K326" s="66" t="s">
        <v>152</v>
      </c>
      <c r="L326" s="66" t="s">
        <v>153</v>
      </c>
      <c r="M326" s="66" t="s">
        <v>142</v>
      </c>
      <c r="N326" s="66" t="s">
        <v>157</v>
      </c>
      <c r="O326" s="66" t="s">
        <v>345</v>
      </c>
      <c r="P326" s="66" t="s">
        <v>81</v>
      </c>
      <c r="Q326" s="66" t="s">
        <v>102</v>
      </c>
      <c r="R326" s="66" t="s">
        <v>156</v>
      </c>
    </row>
    <row r="327" spans="1:18" s="67" customFormat="1">
      <c r="A327" s="66" t="str">
        <f>VLOOKUP(C327,classifications!C:F,4,FALSE)</f>
        <v>SD</v>
      </c>
      <c r="B327" s="66" t="s">
        <v>753</v>
      </c>
      <c r="C327" s="66" t="s">
        <v>186</v>
      </c>
      <c r="D327" s="66" t="s">
        <v>113</v>
      </c>
      <c r="E327" s="66" t="s">
        <v>132</v>
      </c>
      <c r="F327" s="66" t="s">
        <v>182</v>
      </c>
      <c r="G327" s="66" t="s">
        <v>45</v>
      </c>
      <c r="H327" s="66" t="s">
        <v>181</v>
      </c>
      <c r="I327" s="66" t="s">
        <v>127</v>
      </c>
      <c r="J327" s="66" t="s">
        <v>40</v>
      </c>
      <c r="K327" s="66" t="s">
        <v>121</v>
      </c>
      <c r="L327" s="66" t="s">
        <v>50</v>
      </c>
      <c r="M327" s="66" t="s">
        <v>62</v>
      </c>
      <c r="N327" s="66" t="s">
        <v>44</v>
      </c>
      <c r="O327" s="66" t="s">
        <v>98</v>
      </c>
      <c r="P327" s="66" t="s">
        <v>71</v>
      </c>
      <c r="Q327" s="66" t="s">
        <v>140</v>
      </c>
      <c r="R327" s="66" t="s">
        <v>170</v>
      </c>
    </row>
    <row r="328" spans="1:18" s="67" customFormat="1">
      <c r="A328" s="66" t="str">
        <f>VLOOKUP(C328,classifications!C:F,4,FALSE)</f>
        <v>SD</v>
      </c>
      <c r="B328" s="66" t="s">
        <v>754</v>
      </c>
      <c r="C328" s="66" t="s">
        <v>28</v>
      </c>
      <c r="D328" s="66" t="s">
        <v>99</v>
      </c>
      <c r="E328" s="66" t="s">
        <v>161</v>
      </c>
      <c r="F328" s="66" t="s">
        <v>346</v>
      </c>
      <c r="G328" s="66" t="s">
        <v>190</v>
      </c>
      <c r="H328" s="66" t="s">
        <v>9</v>
      </c>
      <c r="I328" s="66" t="s">
        <v>65</v>
      </c>
      <c r="J328" s="66" t="s">
        <v>30</v>
      </c>
      <c r="K328" s="66" t="s">
        <v>36</v>
      </c>
      <c r="L328" s="66" t="s">
        <v>107</v>
      </c>
      <c r="M328" s="66" t="s">
        <v>91</v>
      </c>
      <c r="N328" s="66" t="s">
        <v>126</v>
      </c>
      <c r="O328" s="66" t="s">
        <v>122</v>
      </c>
      <c r="P328" s="66" t="s">
        <v>73</v>
      </c>
      <c r="Q328" s="66" t="s">
        <v>195</v>
      </c>
      <c r="R328" s="66" t="s">
        <v>86</v>
      </c>
    </row>
    <row r="329" spans="1:18" s="67" customFormat="1">
      <c r="A329" s="66" t="str">
        <f>VLOOKUP(C329,classifications!C:F,4,FALSE)</f>
        <v>SD</v>
      </c>
      <c r="B329" s="66" t="s">
        <v>755</v>
      </c>
      <c r="C329" s="66" t="s">
        <v>59</v>
      </c>
      <c r="D329" s="66" t="s">
        <v>91</v>
      </c>
      <c r="E329" s="66" t="s">
        <v>128</v>
      </c>
      <c r="F329" s="66" t="s">
        <v>15</v>
      </c>
      <c r="G329" s="66" t="s">
        <v>152</v>
      </c>
      <c r="H329" s="66" t="s">
        <v>142</v>
      </c>
      <c r="I329" s="66" t="s">
        <v>30</v>
      </c>
      <c r="J329" s="66" t="s">
        <v>115</v>
      </c>
      <c r="K329" s="66" t="s">
        <v>86</v>
      </c>
      <c r="L329" s="66" t="s">
        <v>73</v>
      </c>
      <c r="M329" s="66" t="s">
        <v>345</v>
      </c>
      <c r="N329" s="66" t="s">
        <v>7</v>
      </c>
      <c r="O329" s="66" t="s">
        <v>190</v>
      </c>
      <c r="P329" s="66" t="s">
        <v>179</v>
      </c>
      <c r="Q329" s="66" t="s">
        <v>39</v>
      </c>
      <c r="R329" s="66" t="s">
        <v>65</v>
      </c>
    </row>
    <row r="330" spans="1:18" s="67" customFormat="1">
      <c r="A330" s="66" t="str">
        <f>VLOOKUP(C330,classifications!C:F,4,FALSE)</f>
        <v>SD</v>
      </c>
      <c r="B330" s="66" t="s">
        <v>756</v>
      </c>
      <c r="C330" s="66" t="s">
        <v>94</v>
      </c>
      <c r="D330" s="66" t="s">
        <v>153</v>
      </c>
      <c r="E330" s="66" t="s">
        <v>344</v>
      </c>
      <c r="F330" s="66" t="s">
        <v>149</v>
      </c>
      <c r="G330" s="66" t="s">
        <v>157</v>
      </c>
      <c r="H330" s="66" t="s">
        <v>147</v>
      </c>
      <c r="I330" s="66" t="s">
        <v>23</v>
      </c>
      <c r="J330" s="66" t="s">
        <v>167</v>
      </c>
      <c r="K330" s="66" t="s">
        <v>58</v>
      </c>
      <c r="L330" s="66" t="s">
        <v>183</v>
      </c>
      <c r="M330" s="66" t="s">
        <v>142</v>
      </c>
      <c r="N330" s="66" t="s">
        <v>97</v>
      </c>
      <c r="O330" s="66" t="s">
        <v>154</v>
      </c>
      <c r="P330" s="66" t="s">
        <v>39</v>
      </c>
      <c r="Q330" s="66" t="s">
        <v>130</v>
      </c>
      <c r="R330" s="66" t="s">
        <v>152</v>
      </c>
    </row>
    <row r="331" spans="1:18" s="67" customFormat="1">
      <c r="A331" s="66" t="str">
        <f>VLOOKUP(C331,classifications!C:F,4,FALSE)</f>
        <v>SD</v>
      </c>
      <c r="B331" s="66" t="s">
        <v>757</v>
      </c>
      <c r="C331" s="66" t="s">
        <v>107</v>
      </c>
      <c r="D331" s="66" t="s">
        <v>30</v>
      </c>
      <c r="E331" s="66" t="s">
        <v>65</v>
      </c>
      <c r="F331" s="66" t="s">
        <v>195</v>
      </c>
      <c r="G331" s="66" t="s">
        <v>7</v>
      </c>
      <c r="H331" s="66" t="s">
        <v>110</v>
      </c>
      <c r="I331" s="66" t="s">
        <v>99</v>
      </c>
      <c r="J331" s="66" t="s">
        <v>15</v>
      </c>
      <c r="K331" s="66" t="s">
        <v>39</v>
      </c>
      <c r="L331" s="66" t="s">
        <v>28</v>
      </c>
      <c r="M331" s="66" t="s">
        <v>345</v>
      </c>
      <c r="N331" s="66" t="s">
        <v>183</v>
      </c>
      <c r="O331" s="66" t="s">
        <v>346</v>
      </c>
      <c r="P331" s="66" t="s">
        <v>86</v>
      </c>
      <c r="Q331" s="66" t="s">
        <v>72</v>
      </c>
      <c r="R331" s="66" t="s">
        <v>36</v>
      </c>
    </row>
    <row r="332" spans="1:18" s="67" customFormat="1">
      <c r="A332" s="66" t="str">
        <f>VLOOKUP(C332,classifications!C:F,4,FALSE)</f>
        <v>SD</v>
      </c>
      <c r="B332" s="66" t="s">
        <v>758</v>
      </c>
      <c r="C332" s="66" t="s">
        <v>149</v>
      </c>
      <c r="D332" s="66" t="s">
        <v>94</v>
      </c>
      <c r="E332" s="66" t="s">
        <v>154</v>
      </c>
      <c r="F332" s="66" t="s">
        <v>157</v>
      </c>
      <c r="G332" s="66" t="s">
        <v>344</v>
      </c>
      <c r="H332" s="66" t="s">
        <v>23</v>
      </c>
      <c r="I332" s="66" t="s">
        <v>153</v>
      </c>
      <c r="J332" s="66" t="s">
        <v>183</v>
      </c>
      <c r="K332" s="66" t="s">
        <v>112</v>
      </c>
      <c r="L332" s="66" t="s">
        <v>345</v>
      </c>
      <c r="M332" s="66" t="s">
        <v>110</v>
      </c>
      <c r="N332" s="66" t="s">
        <v>97</v>
      </c>
      <c r="O332" s="66" t="s">
        <v>39</v>
      </c>
      <c r="P332" s="66" t="s">
        <v>184</v>
      </c>
      <c r="Q332" s="66" t="s">
        <v>72</v>
      </c>
      <c r="R332" s="66" t="s">
        <v>147</v>
      </c>
    </row>
    <row r="333" spans="1:18" s="67" customFormat="1">
      <c r="A333" s="66" t="str">
        <f>VLOOKUP(C333,classifications!C:F,4,FALSE)</f>
        <v>SD</v>
      </c>
      <c r="B333" s="66" t="s">
        <v>759</v>
      </c>
      <c r="C333" s="66" t="s">
        <v>153</v>
      </c>
      <c r="D333" s="66" t="s">
        <v>94</v>
      </c>
      <c r="E333" s="66" t="s">
        <v>152</v>
      </c>
      <c r="F333" s="66" t="s">
        <v>142</v>
      </c>
      <c r="G333" s="66" t="s">
        <v>344</v>
      </c>
      <c r="H333" s="66" t="s">
        <v>32</v>
      </c>
      <c r="I333" s="66" t="s">
        <v>157</v>
      </c>
      <c r="J333" s="66" t="s">
        <v>147</v>
      </c>
      <c r="K333" s="66" t="s">
        <v>163</v>
      </c>
      <c r="L333" s="66" t="s">
        <v>149</v>
      </c>
      <c r="M333" s="66" t="s">
        <v>101</v>
      </c>
      <c r="N333" s="66" t="s">
        <v>7</v>
      </c>
      <c r="O333" s="66" t="s">
        <v>183</v>
      </c>
      <c r="P333" s="66" t="s">
        <v>345</v>
      </c>
      <c r="Q333" s="66" t="s">
        <v>19</v>
      </c>
      <c r="R333" s="66" t="s">
        <v>96</v>
      </c>
    </row>
    <row r="334" spans="1:18" s="67" customFormat="1">
      <c r="A334" s="66" t="str">
        <f>VLOOKUP(C334,classifications!C:F,4,FALSE)</f>
        <v>SD</v>
      </c>
      <c r="B334" s="66" t="s">
        <v>760</v>
      </c>
      <c r="C334" s="66" t="s">
        <v>154</v>
      </c>
      <c r="D334" s="66" t="s">
        <v>344</v>
      </c>
      <c r="E334" s="66" t="s">
        <v>112</v>
      </c>
      <c r="F334" s="66" t="s">
        <v>149</v>
      </c>
      <c r="G334" s="66" t="s">
        <v>94</v>
      </c>
      <c r="H334" s="66" t="s">
        <v>7</v>
      </c>
      <c r="I334" s="66" t="s">
        <v>22</v>
      </c>
      <c r="J334" s="66" t="s">
        <v>147</v>
      </c>
      <c r="K334" s="66" t="s">
        <v>157</v>
      </c>
      <c r="L334" s="66" t="s">
        <v>184</v>
      </c>
      <c r="M334" s="66" t="s">
        <v>345</v>
      </c>
      <c r="N334" s="66" t="s">
        <v>153</v>
      </c>
      <c r="O334" s="66" t="s">
        <v>100</v>
      </c>
      <c r="P334" s="66" t="s">
        <v>97</v>
      </c>
      <c r="Q334" s="66" t="s">
        <v>39</v>
      </c>
      <c r="R334" s="66" t="s">
        <v>23</v>
      </c>
    </row>
    <row r="335" spans="1:18" s="67" customFormat="1">
      <c r="A335" s="66" t="str">
        <f>VLOOKUP(C335,classifications!C:F,4,FALSE)</f>
        <v>SD</v>
      </c>
      <c r="B335" s="66" t="s">
        <v>761</v>
      </c>
      <c r="C335" s="66" t="s">
        <v>161</v>
      </c>
      <c r="D335" s="66" t="s">
        <v>122</v>
      </c>
      <c r="E335" s="66" t="s">
        <v>28</v>
      </c>
      <c r="F335" s="66" t="s">
        <v>346</v>
      </c>
      <c r="G335" s="66" t="s">
        <v>91</v>
      </c>
      <c r="H335" s="66" t="s">
        <v>99</v>
      </c>
      <c r="I335" s="66" t="s">
        <v>190</v>
      </c>
      <c r="J335" s="66" t="s">
        <v>73</v>
      </c>
      <c r="K335" s="66" t="s">
        <v>9</v>
      </c>
      <c r="L335" s="66" t="s">
        <v>179</v>
      </c>
      <c r="M335" s="66" t="s">
        <v>65</v>
      </c>
      <c r="N335" s="66" t="s">
        <v>126</v>
      </c>
      <c r="O335" s="66" t="s">
        <v>59</v>
      </c>
      <c r="P335" s="66" t="s">
        <v>107</v>
      </c>
      <c r="Q335" s="66" t="s">
        <v>36</v>
      </c>
      <c r="R335" s="66" t="s">
        <v>75</v>
      </c>
    </row>
    <row r="336" spans="1:18" s="67" customFormat="1">
      <c r="A336" s="66" t="str">
        <f>VLOOKUP(C336,classifications!C:F,4,FALSE)</f>
        <v>SD</v>
      </c>
      <c r="B336" s="66" t="s">
        <v>762</v>
      </c>
      <c r="C336" s="66" t="s">
        <v>12</v>
      </c>
      <c r="D336" s="66" t="s">
        <v>109</v>
      </c>
      <c r="E336" s="66" t="s">
        <v>102</v>
      </c>
      <c r="F336" s="66" t="s">
        <v>144</v>
      </c>
      <c r="G336" s="66" t="s">
        <v>78</v>
      </c>
      <c r="H336" s="66" t="s">
        <v>103</v>
      </c>
      <c r="I336" s="66" t="s">
        <v>100</v>
      </c>
      <c r="J336" s="66" t="s">
        <v>192</v>
      </c>
      <c r="K336" s="66" t="s">
        <v>167</v>
      </c>
      <c r="L336" s="66" t="s">
        <v>101</v>
      </c>
      <c r="M336" s="66" t="s">
        <v>70</v>
      </c>
      <c r="N336" s="66" t="s">
        <v>157</v>
      </c>
      <c r="O336" s="66" t="s">
        <v>112</v>
      </c>
      <c r="P336" s="66" t="s">
        <v>97</v>
      </c>
      <c r="Q336" s="66" t="s">
        <v>344</v>
      </c>
      <c r="R336" s="66" t="s">
        <v>94</v>
      </c>
    </row>
    <row r="337" spans="1:18" s="67" customFormat="1">
      <c r="A337" s="66" t="str">
        <f>VLOOKUP(C337,classifications!C:F,4,FALSE)</f>
        <v>SD</v>
      </c>
      <c r="B337" s="66" t="s">
        <v>763</v>
      </c>
      <c r="C337" s="66" t="s">
        <v>69</v>
      </c>
      <c r="D337" s="66" t="s">
        <v>179</v>
      </c>
      <c r="E337" s="66" t="s">
        <v>18</v>
      </c>
      <c r="F337" s="66" t="s">
        <v>128</v>
      </c>
      <c r="G337" s="66" t="s">
        <v>152</v>
      </c>
      <c r="H337" s="66" t="s">
        <v>59</v>
      </c>
      <c r="I337" s="66" t="s">
        <v>91</v>
      </c>
      <c r="J337" s="66" t="s">
        <v>68</v>
      </c>
      <c r="K337" s="66" t="s">
        <v>131</v>
      </c>
      <c r="L337" s="66" t="s">
        <v>58</v>
      </c>
      <c r="M337" s="66" t="s">
        <v>141</v>
      </c>
      <c r="N337" s="66" t="s">
        <v>101</v>
      </c>
      <c r="O337" s="66" t="s">
        <v>142</v>
      </c>
      <c r="P337" s="66" t="s">
        <v>122</v>
      </c>
      <c r="Q337" s="66" t="s">
        <v>163</v>
      </c>
      <c r="R337" s="66" t="s">
        <v>73</v>
      </c>
    </row>
    <row r="338" spans="1:18" s="67" customFormat="1">
      <c r="A338" s="66" t="str">
        <f>VLOOKUP(C338,classifications!C:F,4,FALSE)</f>
        <v>SD</v>
      </c>
      <c r="B338" s="66" t="s">
        <v>764</v>
      </c>
      <c r="C338" s="66" t="s">
        <v>90</v>
      </c>
      <c r="D338" s="66" t="s">
        <v>73</v>
      </c>
      <c r="E338" s="66" t="s">
        <v>120</v>
      </c>
      <c r="F338" s="66" t="s">
        <v>75</v>
      </c>
      <c r="G338" s="66" t="s">
        <v>190</v>
      </c>
      <c r="H338" s="66" t="s">
        <v>95</v>
      </c>
      <c r="I338" s="66" t="s">
        <v>122</v>
      </c>
      <c r="J338" s="66" t="s">
        <v>36</v>
      </c>
      <c r="K338" s="66" t="s">
        <v>155</v>
      </c>
      <c r="L338" s="66" t="s">
        <v>28</v>
      </c>
      <c r="M338" s="66" t="s">
        <v>99</v>
      </c>
      <c r="N338" s="66" t="s">
        <v>14</v>
      </c>
      <c r="O338" s="66" t="s">
        <v>346</v>
      </c>
      <c r="P338" s="66" t="s">
        <v>161</v>
      </c>
      <c r="Q338" s="66" t="s">
        <v>131</v>
      </c>
      <c r="R338" s="66" t="s">
        <v>116</v>
      </c>
    </row>
    <row r="339" spans="1:18" s="67" customFormat="1">
      <c r="A339" s="66" t="str">
        <f>VLOOKUP(C339,classifications!C:F,4,FALSE)</f>
        <v>SD</v>
      </c>
      <c r="B339" s="66" t="s">
        <v>765</v>
      </c>
      <c r="C339" s="66" t="s">
        <v>103</v>
      </c>
      <c r="D339" s="66" t="s">
        <v>144</v>
      </c>
      <c r="E339" s="66" t="s">
        <v>12</v>
      </c>
      <c r="F339" s="66" t="s">
        <v>145</v>
      </c>
      <c r="G339" s="66" t="s">
        <v>109</v>
      </c>
      <c r="H339" s="66" t="s">
        <v>100</v>
      </c>
      <c r="I339" s="66" t="s">
        <v>52</v>
      </c>
      <c r="J339" s="66" t="s">
        <v>102</v>
      </c>
      <c r="K339" s="66" t="s">
        <v>78</v>
      </c>
      <c r="L339" s="66" t="s">
        <v>112</v>
      </c>
      <c r="M339" s="66" t="s">
        <v>167</v>
      </c>
      <c r="N339" s="66" t="s">
        <v>192</v>
      </c>
      <c r="O339" s="66" t="s">
        <v>70</v>
      </c>
      <c r="P339" s="66" t="s">
        <v>79</v>
      </c>
      <c r="Q339" s="66" t="s">
        <v>130</v>
      </c>
      <c r="R339" s="66" t="s">
        <v>97</v>
      </c>
    </row>
    <row r="340" spans="1:18" s="67" customFormat="1">
      <c r="A340" s="66" t="str">
        <f>VLOOKUP(C340,classifications!C:F,4,FALSE)</f>
        <v>SD</v>
      </c>
      <c r="B340" s="66" t="s">
        <v>766</v>
      </c>
      <c r="C340" s="66" t="s">
        <v>152</v>
      </c>
      <c r="D340" s="66" t="s">
        <v>163</v>
      </c>
      <c r="E340" s="66" t="s">
        <v>153</v>
      </c>
      <c r="F340" s="66" t="s">
        <v>101</v>
      </c>
      <c r="G340" s="66" t="s">
        <v>142</v>
      </c>
      <c r="H340" s="66" t="s">
        <v>128</v>
      </c>
      <c r="I340" s="66" t="s">
        <v>345</v>
      </c>
      <c r="J340" s="66" t="s">
        <v>115</v>
      </c>
      <c r="K340" s="66" t="s">
        <v>59</v>
      </c>
      <c r="L340" s="66" t="s">
        <v>94</v>
      </c>
      <c r="M340" s="66" t="s">
        <v>183</v>
      </c>
      <c r="N340" s="66" t="s">
        <v>157</v>
      </c>
      <c r="O340" s="66" t="s">
        <v>344</v>
      </c>
      <c r="P340" s="66" t="s">
        <v>19</v>
      </c>
      <c r="Q340" s="66" t="s">
        <v>58</v>
      </c>
      <c r="R340" s="66" t="s">
        <v>10</v>
      </c>
    </row>
    <row r="341" spans="1:18" s="67" customFormat="1">
      <c r="A341" s="66" t="str">
        <f>VLOOKUP(C341,classifications!C:F,4,FALSE)</f>
        <v>SD</v>
      </c>
      <c r="B341" s="66" t="s">
        <v>767</v>
      </c>
      <c r="C341" s="66" t="s">
        <v>158</v>
      </c>
      <c r="D341" s="66" t="s">
        <v>140</v>
      </c>
      <c r="E341" s="66" t="s">
        <v>164</v>
      </c>
      <c r="F341" s="66" t="s">
        <v>37</v>
      </c>
      <c r="G341" s="66" t="s">
        <v>106</v>
      </c>
      <c r="H341" s="66" t="s">
        <v>182</v>
      </c>
      <c r="I341" s="66" t="s">
        <v>93</v>
      </c>
      <c r="J341" s="66" t="s">
        <v>178</v>
      </c>
      <c r="K341" s="66" t="s">
        <v>121</v>
      </c>
      <c r="L341" s="66" t="s">
        <v>156</v>
      </c>
      <c r="M341" s="66" t="s">
        <v>134</v>
      </c>
      <c r="N341" s="66" t="s">
        <v>67</v>
      </c>
      <c r="O341" s="66" t="s">
        <v>192</v>
      </c>
      <c r="P341" s="66" t="s">
        <v>78</v>
      </c>
      <c r="Q341" s="66" t="s">
        <v>12</v>
      </c>
      <c r="R341" s="66" t="s">
        <v>53</v>
      </c>
    </row>
    <row r="342" spans="1:18" s="67" customFormat="1">
      <c r="A342" s="66" t="str">
        <f>VLOOKUP(C342,classifications!C:F,4,FALSE)</f>
        <v>SD</v>
      </c>
      <c r="B342" s="66" t="s">
        <v>768</v>
      </c>
      <c r="C342" s="66" t="s">
        <v>176</v>
      </c>
      <c r="D342" s="66" t="s">
        <v>165</v>
      </c>
      <c r="E342" s="66" t="s">
        <v>51</v>
      </c>
      <c r="F342" s="66" t="s">
        <v>897</v>
      </c>
      <c r="G342" s="66" t="s">
        <v>6</v>
      </c>
      <c r="H342" s="66" t="s">
        <v>134</v>
      </c>
      <c r="I342" s="66" t="s">
        <v>76</v>
      </c>
      <c r="J342" s="66" t="s">
        <v>133</v>
      </c>
      <c r="K342" s="66" t="s">
        <v>108</v>
      </c>
      <c r="L342" s="66" t="s">
        <v>195</v>
      </c>
      <c r="M342" s="66" t="s">
        <v>194</v>
      </c>
      <c r="N342" s="66" t="s">
        <v>170</v>
      </c>
      <c r="O342" s="66" t="s">
        <v>4</v>
      </c>
      <c r="P342" s="66" t="s">
        <v>13</v>
      </c>
      <c r="Q342" s="66" t="s">
        <v>84</v>
      </c>
      <c r="R342" s="66" t="s">
        <v>65</v>
      </c>
    </row>
    <row r="343" spans="1:18" s="67" customFormat="1">
      <c r="A343" s="66" t="str">
        <f>VLOOKUP(C343,classifications!C:F,4,FALSE)</f>
        <v>SD</v>
      </c>
      <c r="B343" s="66" t="s">
        <v>769</v>
      </c>
      <c r="C343" s="66" t="s">
        <v>63</v>
      </c>
      <c r="D343" s="66" t="s">
        <v>343</v>
      </c>
      <c r="E343" s="66" t="s">
        <v>348</v>
      </c>
      <c r="F343" s="66" t="s">
        <v>177</v>
      </c>
      <c r="G343" s="66" t="s">
        <v>159</v>
      </c>
      <c r="H343" s="66" t="s">
        <v>189</v>
      </c>
      <c r="I343" s="66" t="s">
        <v>105</v>
      </c>
      <c r="J343" s="66" t="s">
        <v>151</v>
      </c>
      <c r="K343" s="66" t="s">
        <v>77</v>
      </c>
      <c r="L343" s="66" t="s">
        <v>162</v>
      </c>
      <c r="M343" s="66" t="s">
        <v>150</v>
      </c>
      <c r="N343" s="66" t="s">
        <v>193</v>
      </c>
      <c r="O343" s="66" t="s">
        <v>21</v>
      </c>
      <c r="P343" s="66" t="s">
        <v>82</v>
      </c>
      <c r="Q343" s="66" t="s">
        <v>136</v>
      </c>
      <c r="R343" s="66" t="s">
        <v>129</v>
      </c>
    </row>
    <row r="344" spans="1:18" s="67" customFormat="1">
      <c r="A344" s="66" t="str">
        <f>VLOOKUP(C344,classifications!C:F,4,FALSE)</f>
        <v>SD</v>
      </c>
      <c r="B344" s="66" t="s">
        <v>770</v>
      </c>
      <c r="C344" s="66" t="s">
        <v>343</v>
      </c>
      <c r="D344" s="66" t="s">
        <v>159</v>
      </c>
      <c r="E344" s="66" t="s">
        <v>63</v>
      </c>
      <c r="F344" s="66" t="s">
        <v>348</v>
      </c>
      <c r="G344" s="66" t="s">
        <v>189</v>
      </c>
      <c r="H344" s="66" t="s">
        <v>150</v>
      </c>
      <c r="I344" s="66" t="s">
        <v>177</v>
      </c>
      <c r="J344" s="66" t="s">
        <v>129</v>
      </c>
      <c r="K344" s="66" t="s">
        <v>21</v>
      </c>
      <c r="L344" s="66" t="s">
        <v>162</v>
      </c>
      <c r="M344" s="66" t="s">
        <v>105</v>
      </c>
      <c r="N344" s="66" t="s">
        <v>82</v>
      </c>
      <c r="O344" s="66" t="s">
        <v>77</v>
      </c>
      <c r="P344" s="66" t="s">
        <v>64</v>
      </c>
      <c r="Q344" s="66" t="s">
        <v>169</v>
      </c>
      <c r="R344" s="66" t="s">
        <v>136</v>
      </c>
    </row>
    <row r="345" spans="1:18" s="67" customFormat="1">
      <c r="A345" s="66" t="str">
        <f>VLOOKUP(C345,classifications!C:F,4,FALSE)</f>
        <v>SD</v>
      </c>
      <c r="B345" s="66" t="s">
        <v>771</v>
      </c>
      <c r="C345" s="66" t="s">
        <v>77</v>
      </c>
      <c r="D345" s="66" t="s">
        <v>129</v>
      </c>
      <c r="E345" s="66" t="s">
        <v>348</v>
      </c>
      <c r="F345" s="66" t="s">
        <v>173</v>
      </c>
      <c r="G345" s="66" t="s">
        <v>193</v>
      </c>
      <c r="H345" s="66" t="s">
        <v>189</v>
      </c>
      <c r="I345" s="66" t="s">
        <v>150</v>
      </c>
      <c r="J345" s="66" t="s">
        <v>159</v>
      </c>
      <c r="K345" s="66" t="s">
        <v>177</v>
      </c>
      <c r="L345" s="66" t="s">
        <v>188</v>
      </c>
      <c r="M345" s="66" t="s">
        <v>105</v>
      </c>
      <c r="N345" s="66" t="s">
        <v>343</v>
      </c>
      <c r="O345" s="66" t="s">
        <v>146</v>
      </c>
      <c r="P345" s="66" t="s">
        <v>64</v>
      </c>
      <c r="Q345" s="66" t="s">
        <v>63</v>
      </c>
      <c r="R345" s="66" t="s">
        <v>136</v>
      </c>
    </row>
    <row r="346" spans="1:18" s="67" customFormat="1">
      <c r="A346" s="66" t="str">
        <f>VLOOKUP(C346,classifications!C:F,4,FALSE)</f>
        <v>SD</v>
      </c>
      <c r="B346" s="66" t="s">
        <v>772</v>
      </c>
      <c r="C346" s="66" t="s">
        <v>105</v>
      </c>
      <c r="D346" s="66" t="s">
        <v>177</v>
      </c>
      <c r="E346" s="66" t="s">
        <v>162</v>
      </c>
      <c r="F346" s="66" t="s">
        <v>21</v>
      </c>
      <c r="G346" s="66" t="s">
        <v>159</v>
      </c>
      <c r="H346" s="66" t="s">
        <v>136</v>
      </c>
      <c r="I346" s="66" t="s">
        <v>348</v>
      </c>
      <c r="J346" s="66" t="s">
        <v>343</v>
      </c>
      <c r="K346" s="66" t="s">
        <v>77</v>
      </c>
      <c r="L346" s="66" t="s">
        <v>63</v>
      </c>
      <c r="M346" s="66" t="s">
        <v>188</v>
      </c>
      <c r="N346" s="66" t="s">
        <v>137</v>
      </c>
      <c r="O346" s="66" t="s">
        <v>129</v>
      </c>
      <c r="P346" s="66" t="s">
        <v>64</v>
      </c>
      <c r="Q346" s="66" t="s">
        <v>150</v>
      </c>
      <c r="R346" s="66" t="s">
        <v>146</v>
      </c>
    </row>
    <row r="347" spans="1:18" s="67" customFormat="1">
      <c r="A347" s="66" t="str">
        <f>VLOOKUP(C347,classifications!C:F,4,FALSE)</f>
        <v>SD</v>
      </c>
      <c r="B347" s="66" t="s">
        <v>773</v>
      </c>
      <c r="C347" s="66" t="s">
        <v>348</v>
      </c>
      <c r="D347" s="66" t="s">
        <v>150</v>
      </c>
      <c r="E347" s="66" t="s">
        <v>159</v>
      </c>
      <c r="F347" s="66" t="s">
        <v>177</v>
      </c>
      <c r="G347" s="66" t="s">
        <v>189</v>
      </c>
      <c r="H347" s="66" t="s">
        <v>343</v>
      </c>
      <c r="I347" s="66" t="s">
        <v>77</v>
      </c>
      <c r="J347" s="66" t="s">
        <v>64</v>
      </c>
      <c r="K347" s="66" t="s">
        <v>63</v>
      </c>
      <c r="L347" s="66" t="s">
        <v>193</v>
      </c>
      <c r="M347" s="66" t="s">
        <v>173</v>
      </c>
      <c r="N347" s="66" t="s">
        <v>146</v>
      </c>
      <c r="O347" s="66" t="s">
        <v>162</v>
      </c>
      <c r="P347" s="66" t="s">
        <v>129</v>
      </c>
      <c r="Q347" s="66" t="s">
        <v>136</v>
      </c>
      <c r="R347" s="66" t="s">
        <v>21</v>
      </c>
    </row>
    <row r="348" spans="1:18" s="67" customFormat="1">
      <c r="A348" s="66" t="str">
        <f>VLOOKUP(C348,classifications!C:F,4,FALSE)</f>
        <v>SD</v>
      </c>
      <c r="B348" s="66" t="s">
        <v>774</v>
      </c>
      <c r="C348" s="66" t="s">
        <v>129</v>
      </c>
      <c r="D348" s="66" t="s">
        <v>150</v>
      </c>
      <c r="E348" s="66" t="s">
        <v>77</v>
      </c>
      <c r="F348" s="66" t="s">
        <v>189</v>
      </c>
      <c r="G348" s="66" t="s">
        <v>159</v>
      </c>
      <c r="H348" s="66" t="s">
        <v>348</v>
      </c>
      <c r="I348" s="66" t="s">
        <v>21</v>
      </c>
      <c r="J348" s="66" t="s">
        <v>343</v>
      </c>
      <c r="K348" s="66" t="s">
        <v>173</v>
      </c>
      <c r="L348" s="66" t="s">
        <v>105</v>
      </c>
      <c r="M348" s="66" t="s">
        <v>64</v>
      </c>
      <c r="N348" s="66" t="s">
        <v>188</v>
      </c>
      <c r="O348" s="66" t="s">
        <v>162</v>
      </c>
      <c r="P348" s="66" t="s">
        <v>193</v>
      </c>
      <c r="Q348" s="66" t="s">
        <v>85</v>
      </c>
      <c r="R348" s="66" t="s">
        <v>177</v>
      </c>
    </row>
    <row r="349" spans="1:18" s="67" customFormat="1">
      <c r="A349" s="66" t="str">
        <f>VLOOKUP(C349,classifications!C:F,4,FALSE)</f>
        <v>SD</v>
      </c>
      <c r="B349" s="66" t="s">
        <v>775</v>
      </c>
      <c r="C349" s="66" t="s">
        <v>150</v>
      </c>
      <c r="D349" s="66" t="s">
        <v>129</v>
      </c>
      <c r="E349" s="66" t="s">
        <v>189</v>
      </c>
      <c r="F349" s="66" t="s">
        <v>348</v>
      </c>
      <c r="G349" s="66" t="s">
        <v>159</v>
      </c>
      <c r="H349" s="66" t="s">
        <v>343</v>
      </c>
      <c r="I349" s="66" t="s">
        <v>21</v>
      </c>
      <c r="J349" s="66" t="s">
        <v>64</v>
      </c>
      <c r="K349" s="66" t="s">
        <v>77</v>
      </c>
      <c r="L349" s="66" t="s">
        <v>173</v>
      </c>
      <c r="M349" s="66" t="s">
        <v>193</v>
      </c>
      <c r="N349" s="66" t="s">
        <v>85</v>
      </c>
      <c r="O349" s="66" t="s">
        <v>24</v>
      </c>
      <c r="P349" s="66" t="s">
        <v>162</v>
      </c>
      <c r="Q349" s="66" t="s">
        <v>111</v>
      </c>
      <c r="R349" s="66" t="s">
        <v>174</v>
      </c>
    </row>
    <row r="350" spans="1:18" s="67" customFormat="1">
      <c r="A350" s="66" t="str">
        <f>VLOOKUP(C350,classifications!C:F,4,FALSE)</f>
        <v>SD</v>
      </c>
      <c r="B350" s="66" t="s">
        <v>776</v>
      </c>
      <c r="C350" s="66" t="s">
        <v>159</v>
      </c>
      <c r="D350" s="66" t="s">
        <v>343</v>
      </c>
      <c r="E350" s="66" t="s">
        <v>348</v>
      </c>
      <c r="F350" s="66" t="s">
        <v>162</v>
      </c>
      <c r="G350" s="66" t="s">
        <v>150</v>
      </c>
      <c r="H350" s="66" t="s">
        <v>189</v>
      </c>
      <c r="I350" s="66" t="s">
        <v>21</v>
      </c>
      <c r="J350" s="66" t="s">
        <v>63</v>
      </c>
      <c r="K350" s="66" t="s">
        <v>177</v>
      </c>
      <c r="L350" s="66" t="s">
        <v>129</v>
      </c>
      <c r="M350" s="66" t="s">
        <v>82</v>
      </c>
      <c r="N350" s="66" t="s">
        <v>105</v>
      </c>
      <c r="O350" s="66" t="s">
        <v>77</v>
      </c>
      <c r="P350" s="66" t="s">
        <v>136</v>
      </c>
      <c r="Q350" s="66" t="s">
        <v>173</v>
      </c>
      <c r="R350" s="66" t="s">
        <v>146</v>
      </c>
    </row>
    <row r="351" spans="1:18" s="67" customFormat="1">
      <c r="A351" s="66" t="str">
        <f>VLOOKUP(C351,classifications!C:F,4,FALSE)</f>
        <v>SD</v>
      </c>
      <c r="B351" s="66" t="s">
        <v>777</v>
      </c>
      <c r="C351" s="66" t="s">
        <v>162</v>
      </c>
      <c r="D351" s="66" t="s">
        <v>159</v>
      </c>
      <c r="E351" s="66" t="s">
        <v>105</v>
      </c>
      <c r="F351" s="66" t="s">
        <v>177</v>
      </c>
      <c r="G351" s="66" t="s">
        <v>136</v>
      </c>
      <c r="H351" s="66" t="s">
        <v>348</v>
      </c>
      <c r="I351" s="66" t="s">
        <v>21</v>
      </c>
      <c r="J351" s="66" t="s">
        <v>55</v>
      </c>
      <c r="K351" s="66" t="s">
        <v>146</v>
      </c>
      <c r="L351" s="66" t="s">
        <v>64</v>
      </c>
      <c r="M351" s="66" t="s">
        <v>343</v>
      </c>
      <c r="N351" s="66" t="s">
        <v>185</v>
      </c>
      <c r="O351" s="66" t="s">
        <v>82</v>
      </c>
      <c r="P351" s="66" t="s">
        <v>173</v>
      </c>
      <c r="Q351" s="66" t="s">
        <v>63</v>
      </c>
      <c r="R351" s="66" t="s">
        <v>150</v>
      </c>
    </row>
    <row r="352" spans="1:18" s="67" customFormat="1">
      <c r="A352" s="66" t="str">
        <f>VLOOKUP(C352,classifications!C:F,4,FALSE)</f>
        <v>SD</v>
      </c>
      <c r="B352" s="66" t="s">
        <v>778</v>
      </c>
      <c r="C352" s="66" t="s">
        <v>177</v>
      </c>
      <c r="D352" s="66" t="s">
        <v>105</v>
      </c>
      <c r="E352" s="66" t="s">
        <v>348</v>
      </c>
      <c r="F352" s="66" t="s">
        <v>162</v>
      </c>
      <c r="G352" s="66" t="s">
        <v>136</v>
      </c>
      <c r="H352" s="66" t="s">
        <v>63</v>
      </c>
      <c r="I352" s="66" t="s">
        <v>159</v>
      </c>
      <c r="J352" s="66" t="s">
        <v>146</v>
      </c>
      <c r="K352" s="66" t="s">
        <v>343</v>
      </c>
      <c r="L352" s="66" t="s">
        <v>188</v>
      </c>
      <c r="M352" s="66" t="s">
        <v>77</v>
      </c>
      <c r="N352" s="66" t="s">
        <v>21</v>
      </c>
      <c r="O352" s="66" t="s">
        <v>64</v>
      </c>
      <c r="P352" s="66" t="s">
        <v>55</v>
      </c>
      <c r="Q352" s="66" t="s">
        <v>173</v>
      </c>
      <c r="R352" s="66" t="s">
        <v>185</v>
      </c>
    </row>
    <row r="353" spans="1:18" s="67" customFormat="1">
      <c r="A353" s="66" t="str">
        <f>VLOOKUP(C353,classifications!C:F,4,FALSE)</f>
        <v>SD</v>
      </c>
      <c r="B353" s="66" t="s">
        <v>779</v>
      </c>
      <c r="C353" s="66" t="s">
        <v>189</v>
      </c>
      <c r="D353" s="66" t="s">
        <v>150</v>
      </c>
      <c r="E353" s="66" t="s">
        <v>129</v>
      </c>
      <c r="F353" s="66" t="s">
        <v>348</v>
      </c>
      <c r="G353" s="66" t="s">
        <v>343</v>
      </c>
      <c r="H353" s="66" t="s">
        <v>159</v>
      </c>
      <c r="I353" s="66" t="s">
        <v>77</v>
      </c>
      <c r="J353" s="66" t="s">
        <v>193</v>
      </c>
      <c r="K353" s="66" t="s">
        <v>63</v>
      </c>
      <c r="L353" s="66" t="s">
        <v>85</v>
      </c>
      <c r="M353" s="66" t="s">
        <v>64</v>
      </c>
      <c r="N353" s="66" t="s">
        <v>21</v>
      </c>
      <c r="O353" s="66" t="s">
        <v>173</v>
      </c>
      <c r="P353" s="66" t="s">
        <v>24</v>
      </c>
      <c r="Q353" s="66" t="s">
        <v>177</v>
      </c>
      <c r="R353" s="66" t="s">
        <v>169</v>
      </c>
    </row>
    <row r="354" spans="1:18" s="67" customFormat="1">
      <c r="A354" s="66" t="str">
        <f>VLOOKUP(C354,classifications!C:F,4,FALSE)</f>
        <v>SD</v>
      </c>
      <c r="B354" s="66" t="s">
        <v>780</v>
      </c>
      <c r="C354" s="66" t="s">
        <v>114</v>
      </c>
      <c r="D354" s="66" t="s">
        <v>115</v>
      </c>
      <c r="E354" s="66" t="s">
        <v>135</v>
      </c>
      <c r="F354" s="66" t="s">
        <v>42</v>
      </c>
      <c r="G354" s="66" t="s">
        <v>49</v>
      </c>
      <c r="H354" s="66" t="s">
        <v>15</v>
      </c>
      <c r="I354" s="66" t="s">
        <v>152</v>
      </c>
      <c r="J354" s="66" t="s">
        <v>167</v>
      </c>
      <c r="K354" s="66" t="s">
        <v>183</v>
      </c>
      <c r="L354" s="66" t="s">
        <v>345</v>
      </c>
      <c r="M354" s="66" t="s">
        <v>59</v>
      </c>
      <c r="N354" s="66" t="s">
        <v>100</v>
      </c>
      <c r="O354" s="66" t="s">
        <v>94</v>
      </c>
      <c r="P354" s="66" t="s">
        <v>344</v>
      </c>
      <c r="Q354" s="66" t="s">
        <v>58</v>
      </c>
      <c r="R354" s="66" t="s">
        <v>128</v>
      </c>
    </row>
    <row r="355" spans="1:18" s="67" customFormat="1">
      <c r="A355" s="66" t="str">
        <f>VLOOKUP(C355,classifications!C:F,4,FALSE)</f>
        <v>SD</v>
      </c>
      <c r="B355" s="66" t="s">
        <v>781</v>
      </c>
      <c r="C355" s="66" t="s">
        <v>346</v>
      </c>
      <c r="D355" s="66" t="s">
        <v>9</v>
      </c>
      <c r="E355" s="66" t="s">
        <v>99</v>
      </c>
      <c r="F355" s="66" t="s">
        <v>28</v>
      </c>
      <c r="G355" s="66" t="s">
        <v>65</v>
      </c>
      <c r="H355" s="66" t="s">
        <v>91</v>
      </c>
      <c r="I355" s="66" t="s">
        <v>73</v>
      </c>
      <c r="J355" s="66" t="s">
        <v>107</v>
      </c>
      <c r="K355" s="66" t="s">
        <v>161</v>
      </c>
      <c r="L355" s="66" t="s">
        <v>72</v>
      </c>
      <c r="M355" s="66" t="s">
        <v>30</v>
      </c>
      <c r="N355" s="66" t="s">
        <v>190</v>
      </c>
      <c r="O355" s="66" t="s">
        <v>195</v>
      </c>
      <c r="P355" s="66" t="s">
        <v>59</v>
      </c>
      <c r="Q355" s="66" t="s">
        <v>119</v>
      </c>
      <c r="R355" s="66" t="s">
        <v>15</v>
      </c>
    </row>
    <row r="356" spans="1:18" s="67" customFormat="1">
      <c r="A356" s="66" t="str">
        <f>VLOOKUP(C356,classifications!C:F,4,FALSE)</f>
        <v>SD</v>
      </c>
      <c r="B356" s="66" t="s">
        <v>782</v>
      </c>
      <c r="C356" s="66" t="s">
        <v>128</v>
      </c>
      <c r="D356" s="66" t="s">
        <v>91</v>
      </c>
      <c r="E356" s="66" t="s">
        <v>152</v>
      </c>
      <c r="F356" s="66" t="s">
        <v>59</v>
      </c>
      <c r="G356" s="66" t="s">
        <v>10</v>
      </c>
      <c r="H356" s="66" t="s">
        <v>58</v>
      </c>
      <c r="I356" s="66" t="s">
        <v>96</v>
      </c>
      <c r="J356" s="66" t="s">
        <v>24</v>
      </c>
      <c r="K356" s="66" t="s">
        <v>19</v>
      </c>
      <c r="L356" s="66" t="s">
        <v>142</v>
      </c>
      <c r="M356" s="66" t="s">
        <v>35</v>
      </c>
      <c r="N356" s="66" t="s">
        <v>179</v>
      </c>
      <c r="O356" s="66" t="s">
        <v>111</v>
      </c>
      <c r="P356" s="66" t="s">
        <v>163</v>
      </c>
      <c r="Q356" s="66" t="s">
        <v>94</v>
      </c>
      <c r="R356" s="66" t="s">
        <v>147</v>
      </c>
    </row>
    <row r="357" spans="1:18" s="67" customFormat="1">
      <c r="A357" s="66" t="str">
        <f>VLOOKUP(C357,classifications!C:F,4,FALSE)</f>
        <v>SD</v>
      </c>
      <c r="B357" s="66" t="s">
        <v>783</v>
      </c>
      <c r="C357" s="66" t="s">
        <v>156</v>
      </c>
      <c r="D357" s="66" t="s">
        <v>192</v>
      </c>
      <c r="E357" s="66" t="s">
        <v>78</v>
      </c>
      <c r="F357" s="66" t="s">
        <v>44</v>
      </c>
      <c r="G357" s="66" t="s">
        <v>167</v>
      </c>
      <c r="H357" s="66" t="s">
        <v>166</v>
      </c>
      <c r="I357" s="66" t="s">
        <v>188</v>
      </c>
      <c r="J357" s="66" t="s">
        <v>55</v>
      </c>
      <c r="K357" s="66" t="s">
        <v>87</v>
      </c>
      <c r="L357" s="66" t="s">
        <v>109</v>
      </c>
      <c r="M357" s="66" t="s">
        <v>136</v>
      </c>
      <c r="N357" s="66" t="s">
        <v>12</v>
      </c>
      <c r="O357" s="66" t="s">
        <v>185</v>
      </c>
      <c r="P357" s="66" t="s">
        <v>50</v>
      </c>
      <c r="Q357" s="66" t="s">
        <v>81</v>
      </c>
      <c r="R357" s="66" t="s">
        <v>98</v>
      </c>
    </row>
    <row r="358" spans="1:18" s="67" customFormat="1">
      <c r="A358" s="66" t="str">
        <f>VLOOKUP(C358,classifications!C:F,4,FALSE)</f>
        <v>SD</v>
      </c>
      <c r="B358" s="66" t="s">
        <v>784</v>
      </c>
      <c r="C358" s="66" t="s">
        <v>174</v>
      </c>
      <c r="D358" s="66" t="s">
        <v>33</v>
      </c>
      <c r="E358" s="66" t="s">
        <v>34</v>
      </c>
      <c r="F358" s="66" t="s">
        <v>96</v>
      </c>
      <c r="G358" s="66" t="s">
        <v>81</v>
      </c>
      <c r="H358" s="66" t="s">
        <v>153</v>
      </c>
      <c r="I358" s="66" t="s">
        <v>41</v>
      </c>
      <c r="J358" s="66" t="s">
        <v>32</v>
      </c>
      <c r="K358" s="66" t="s">
        <v>171</v>
      </c>
      <c r="L358" s="66" t="s">
        <v>111</v>
      </c>
      <c r="M358" s="66" t="s">
        <v>104</v>
      </c>
      <c r="N358" s="66" t="s">
        <v>163</v>
      </c>
      <c r="O358" s="66" t="s">
        <v>128</v>
      </c>
      <c r="P358" s="66" t="s">
        <v>35</v>
      </c>
      <c r="Q358" s="66" t="s">
        <v>47</v>
      </c>
      <c r="R358" s="66" t="s">
        <v>166</v>
      </c>
    </row>
    <row r="359" spans="1:18" s="67" customFormat="1">
      <c r="A359" s="66" t="str">
        <f>VLOOKUP(C359,classifications!C:F,4,FALSE)</f>
        <v>SD</v>
      </c>
      <c r="B359" s="66" t="s">
        <v>785</v>
      </c>
      <c r="C359" s="66" t="s">
        <v>4</v>
      </c>
      <c r="D359" s="66" t="s">
        <v>897</v>
      </c>
      <c r="E359" s="66" t="s">
        <v>93</v>
      </c>
      <c r="F359" s="66" t="s">
        <v>84</v>
      </c>
      <c r="G359" s="66" t="s">
        <v>51</v>
      </c>
      <c r="H359" s="66" t="s">
        <v>170</v>
      </c>
      <c r="I359" s="66" t="s">
        <v>108</v>
      </c>
      <c r="J359" s="66" t="s">
        <v>191</v>
      </c>
      <c r="K359" s="66" t="s">
        <v>71</v>
      </c>
      <c r="L359" s="66" t="s">
        <v>195</v>
      </c>
      <c r="M359" s="66" t="s">
        <v>134</v>
      </c>
      <c r="N359" s="66" t="s">
        <v>74</v>
      </c>
      <c r="O359" s="66" t="s">
        <v>164</v>
      </c>
      <c r="P359" s="66" t="s">
        <v>176</v>
      </c>
      <c r="Q359" s="66" t="s">
        <v>125</v>
      </c>
      <c r="R359" s="66" t="s">
        <v>31</v>
      </c>
    </row>
    <row r="360" spans="1:18" s="67" customFormat="1">
      <c r="A360" s="66" t="str">
        <f>VLOOKUP(C360,classifications!C:F,4,FALSE)</f>
        <v>SD</v>
      </c>
      <c r="B360" s="66" t="s">
        <v>786</v>
      </c>
      <c r="C360" s="66" t="s">
        <v>8</v>
      </c>
      <c r="D360" s="66" t="s">
        <v>164</v>
      </c>
      <c r="E360" s="66" t="s">
        <v>93</v>
      </c>
      <c r="F360" s="66" t="s">
        <v>53</v>
      </c>
      <c r="G360" s="66" t="s">
        <v>106</v>
      </c>
      <c r="H360" s="66" t="s">
        <v>71</v>
      </c>
      <c r="I360" s="66" t="s">
        <v>165</v>
      </c>
      <c r="J360" s="66" t="s">
        <v>897</v>
      </c>
      <c r="K360" s="66" t="s">
        <v>194</v>
      </c>
      <c r="L360" s="66" t="s">
        <v>191</v>
      </c>
      <c r="M360" s="66" t="s">
        <v>182</v>
      </c>
      <c r="N360" s="66" t="s">
        <v>29</v>
      </c>
      <c r="O360" s="66" t="s">
        <v>127</v>
      </c>
      <c r="P360" s="66" t="s">
        <v>37</v>
      </c>
      <c r="Q360" s="66" t="s">
        <v>108</v>
      </c>
      <c r="R360" s="66" t="s">
        <v>176</v>
      </c>
    </row>
    <row r="361" spans="1:18" s="67" customFormat="1">
      <c r="A361" s="66" t="str">
        <f>VLOOKUP(C361,classifications!C:F,4,FALSE)</f>
        <v>SD</v>
      </c>
      <c r="B361" s="66" t="s">
        <v>787</v>
      </c>
      <c r="C361" s="66" t="s">
        <v>37</v>
      </c>
      <c r="D361" s="66" t="s">
        <v>182</v>
      </c>
      <c r="E361" s="66" t="s">
        <v>140</v>
      </c>
      <c r="F361" s="66" t="s">
        <v>158</v>
      </c>
      <c r="G361" s="66" t="s">
        <v>53</v>
      </c>
      <c r="H361" s="66" t="s">
        <v>121</v>
      </c>
      <c r="I361" s="66" t="s">
        <v>106</v>
      </c>
      <c r="J361" s="66" t="s">
        <v>178</v>
      </c>
      <c r="K361" s="66" t="s">
        <v>44</v>
      </c>
      <c r="L361" s="66" t="s">
        <v>93</v>
      </c>
      <c r="M361" s="66" t="s">
        <v>156</v>
      </c>
      <c r="N361" s="66" t="s">
        <v>127</v>
      </c>
      <c r="O361" s="66" t="s">
        <v>164</v>
      </c>
      <c r="P361" s="66" t="s">
        <v>192</v>
      </c>
      <c r="Q361" s="66" t="s">
        <v>143</v>
      </c>
      <c r="R361" s="66" t="s">
        <v>98</v>
      </c>
    </row>
    <row r="362" spans="1:18" s="67" customFormat="1">
      <c r="A362" s="66" t="str">
        <f>VLOOKUP(C362,classifications!C:F,4,FALSE)</f>
        <v>SD</v>
      </c>
      <c r="B362" s="66" t="s">
        <v>788</v>
      </c>
      <c r="C362" s="66" t="s">
        <v>46</v>
      </c>
      <c r="D362" s="66" t="s">
        <v>48</v>
      </c>
      <c r="E362" s="66" t="s">
        <v>80</v>
      </c>
      <c r="F362" s="66" t="s">
        <v>155</v>
      </c>
      <c r="G362" s="66" t="s">
        <v>131</v>
      </c>
      <c r="H362" s="66" t="s">
        <v>175</v>
      </c>
      <c r="I362" s="66" t="s">
        <v>118</v>
      </c>
      <c r="J362" s="66" t="s">
        <v>180</v>
      </c>
      <c r="K362" s="66" t="s">
        <v>14</v>
      </c>
      <c r="L362" s="66" t="s">
        <v>122</v>
      </c>
      <c r="M362" s="66" t="s">
        <v>43</v>
      </c>
      <c r="N362" s="66" t="s">
        <v>73</v>
      </c>
      <c r="O362" s="66" t="s">
        <v>27</v>
      </c>
      <c r="P362" s="66" t="s">
        <v>90</v>
      </c>
      <c r="Q362" s="66" t="s">
        <v>66</v>
      </c>
      <c r="R362" s="66" t="s">
        <v>116</v>
      </c>
    </row>
    <row r="363" spans="1:18" s="67" customFormat="1">
      <c r="A363" s="66" t="str">
        <f>VLOOKUP(C363,classifications!C:F,4,FALSE)</f>
        <v>SD</v>
      </c>
      <c r="B363" s="66" t="s">
        <v>789</v>
      </c>
      <c r="C363" s="66" t="s">
        <v>87</v>
      </c>
      <c r="D363" s="66" t="s">
        <v>104</v>
      </c>
      <c r="E363" s="66" t="s">
        <v>55</v>
      </c>
      <c r="F363" s="66" t="s">
        <v>56</v>
      </c>
      <c r="G363" s="66" t="s">
        <v>136</v>
      </c>
      <c r="H363" s="66" t="s">
        <v>188</v>
      </c>
      <c r="I363" s="66" t="s">
        <v>64</v>
      </c>
      <c r="J363" s="66" t="s">
        <v>166</v>
      </c>
      <c r="K363" s="66" t="s">
        <v>81</v>
      </c>
      <c r="L363" s="66" t="s">
        <v>169</v>
      </c>
      <c r="M363" s="66" t="s">
        <v>146</v>
      </c>
      <c r="N363" s="66" t="s">
        <v>156</v>
      </c>
      <c r="O363" s="66" t="s">
        <v>21</v>
      </c>
      <c r="P363" s="66" t="s">
        <v>130</v>
      </c>
      <c r="Q363" s="66" t="s">
        <v>349</v>
      </c>
      <c r="R363" s="66" t="s">
        <v>173</v>
      </c>
    </row>
    <row r="364" spans="1:18">
      <c r="A364" s="66" t="str">
        <f>VLOOKUP(C364,classifications!C:F,4,FALSE)</f>
        <v>SD</v>
      </c>
      <c r="B364" s="66" t="s">
        <v>790</v>
      </c>
      <c r="C364" s="66" t="s">
        <v>104</v>
      </c>
      <c r="D364" s="66" t="s">
        <v>87</v>
      </c>
      <c r="E364" s="66" t="s">
        <v>56</v>
      </c>
      <c r="F364" s="66" t="s">
        <v>81</v>
      </c>
      <c r="G364" s="66" t="s">
        <v>55</v>
      </c>
      <c r="H364" s="66" t="s">
        <v>188</v>
      </c>
      <c r="I364" s="66" t="s">
        <v>96</v>
      </c>
      <c r="J364" s="66" t="s">
        <v>166</v>
      </c>
      <c r="K364" s="66" t="s">
        <v>64</v>
      </c>
      <c r="L364" s="66" t="s">
        <v>146</v>
      </c>
      <c r="M364" s="66" t="s">
        <v>136</v>
      </c>
      <c r="N364" s="66" t="s">
        <v>151</v>
      </c>
      <c r="O364" s="66" t="s">
        <v>130</v>
      </c>
      <c r="P364" s="66" t="s">
        <v>33</v>
      </c>
      <c r="Q364" s="66" t="s">
        <v>169</v>
      </c>
      <c r="R364" s="66" t="s">
        <v>171</v>
      </c>
    </row>
    <row r="365" spans="1:18">
      <c r="A365" s="66" t="str">
        <f>VLOOKUP(C365,classifications!C:F,4,FALSE)</f>
        <v>SD</v>
      </c>
      <c r="B365" s="66" t="s">
        <v>791</v>
      </c>
      <c r="C365" s="66" t="s">
        <v>191</v>
      </c>
      <c r="D365" s="66" t="s">
        <v>897</v>
      </c>
      <c r="E365" s="66" t="s">
        <v>4</v>
      </c>
      <c r="F365" s="66" t="s">
        <v>60</v>
      </c>
      <c r="G365" s="66" t="s">
        <v>34</v>
      </c>
      <c r="H365" s="66" t="s">
        <v>29</v>
      </c>
      <c r="I365" s="66" t="s">
        <v>8</v>
      </c>
      <c r="J365" s="66" t="s">
        <v>108</v>
      </c>
      <c r="K365" s="66" t="s">
        <v>92</v>
      </c>
      <c r="L365" s="66" t="s">
        <v>71</v>
      </c>
      <c r="M365" s="66" t="s">
        <v>93</v>
      </c>
      <c r="N365" s="66" t="s">
        <v>194</v>
      </c>
      <c r="O365" s="66" t="s">
        <v>164</v>
      </c>
      <c r="P365" s="66" t="s">
        <v>133</v>
      </c>
      <c r="Q365" s="66" t="s">
        <v>51</v>
      </c>
      <c r="R365" s="66" t="s">
        <v>74</v>
      </c>
    </row>
  </sheetData>
  <pageMargins left="0.39370078740157483" right="0.34" top="0.39370078740157483" bottom="0.39370078740157483" header="0.51181102362204722" footer="0.51181102362204722"/>
  <pageSetup paperSize="9" scale="35"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K49"/>
  <sheetViews>
    <sheetView workbookViewId="0">
      <selection sqref="A1:XFD1048576"/>
    </sheetView>
  </sheetViews>
  <sheetFormatPr defaultRowHeight="13.2"/>
  <cols>
    <col min="1" max="1" width="8.33203125" customWidth="1"/>
    <col min="2" max="3" width="34.33203125" customWidth="1"/>
    <col min="5" max="6" width="11.5546875" customWidth="1"/>
    <col min="8" max="8" width="13.6640625" customWidth="1"/>
    <col min="9" max="9" width="18.33203125" customWidth="1"/>
    <col min="10" max="10" width="25.88671875" customWidth="1"/>
    <col min="11" max="11" width="26.109375" customWidth="1"/>
    <col min="12" max="12" width="9.6640625" customWidth="1"/>
  </cols>
  <sheetData>
    <row r="1" spans="1:11" ht="14.4">
      <c r="A1" s="210" t="s">
        <v>876</v>
      </c>
    </row>
    <row r="2" spans="1:11">
      <c r="A2" t="s">
        <v>871</v>
      </c>
    </row>
    <row r="3" spans="1:11" ht="9" customHeight="1"/>
    <row r="4" spans="1:11">
      <c r="A4" s="21" t="s">
        <v>875</v>
      </c>
    </row>
    <row r="5" spans="1:11" ht="8.25" customHeight="1">
      <c r="A5" s="103"/>
    </row>
    <row r="6" spans="1:11">
      <c r="A6" s="21" t="s">
        <v>877</v>
      </c>
    </row>
    <row r="8" spans="1:11" ht="14.4">
      <c r="A8" s="210" t="s">
        <v>867</v>
      </c>
    </row>
    <row r="9" spans="1:11">
      <c r="A9" t="s">
        <v>870</v>
      </c>
    </row>
    <row r="10" spans="1:11">
      <c r="B10" t="s">
        <v>804</v>
      </c>
      <c r="C10" t="s">
        <v>861</v>
      </c>
    </row>
    <row r="11" spans="1:11">
      <c r="C11" t="s">
        <v>860</v>
      </c>
    </row>
    <row r="12" spans="1:11">
      <c r="C12" t="s">
        <v>862</v>
      </c>
    </row>
    <row r="14" spans="1:11">
      <c r="B14" t="s">
        <v>805</v>
      </c>
      <c r="C14" t="s">
        <v>858</v>
      </c>
    </row>
    <row r="15" spans="1:11">
      <c r="C15" t="s">
        <v>852</v>
      </c>
    </row>
    <row r="16" spans="1:11" ht="39.6">
      <c r="D16" t="s">
        <v>853</v>
      </c>
      <c r="E16" s="206" t="s">
        <v>856</v>
      </c>
      <c r="F16" s="206"/>
      <c r="G16" s="206"/>
      <c r="H16" s="206"/>
      <c r="I16" s="192" t="s">
        <v>855</v>
      </c>
      <c r="J16" s="193" t="s">
        <v>806</v>
      </c>
      <c r="K16" s="203" t="s">
        <v>807</v>
      </c>
    </row>
    <row r="17" spans="1:11">
      <c r="E17" s="195" t="s">
        <v>848</v>
      </c>
      <c r="F17" s="196" t="s">
        <v>848</v>
      </c>
      <c r="G17" s="196" t="s">
        <v>854</v>
      </c>
      <c r="H17" s="197" t="s">
        <v>854</v>
      </c>
      <c r="J17" s="201" t="s">
        <v>848</v>
      </c>
      <c r="K17" s="204" t="s">
        <v>849</v>
      </c>
    </row>
    <row r="18" spans="1:11" ht="48">
      <c r="E18" s="198" t="s">
        <v>849</v>
      </c>
      <c r="F18" s="199" t="s">
        <v>850</v>
      </c>
      <c r="G18" s="199" t="s">
        <v>849</v>
      </c>
      <c r="H18" s="200" t="s">
        <v>850</v>
      </c>
      <c r="J18" s="202" t="s">
        <v>854</v>
      </c>
      <c r="K18" s="205" t="s">
        <v>850</v>
      </c>
    </row>
    <row r="19" spans="1:11" ht="18.75" customHeight="1">
      <c r="C19" s="191" t="s">
        <v>863</v>
      </c>
    </row>
    <row r="20" spans="1:11">
      <c r="C20" s="191"/>
      <c r="D20" t="s">
        <v>853</v>
      </c>
      <c r="E20" s="206" t="s">
        <v>856</v>
      </c>
      <c r="F20" s="362" t="s">
        <v>857</v>
      </c>
      <c r="G20" s="362"/>
      <c r="H20" s="193" t="s">
        <v>800</v>
      </c>
      <c r="I20" s="194" t="s">
        <v>792</v>
      </c>
    </row>
    <row r="21" spans="1:11">
      <c r="C21" s="191"/>
      <c r="E21" s="207" t="s">
        <v>848</v>
      </c>
      <c r="F21" s="362"/>
      <c r="G21" s="362"/>
      <c r="H21" s="2" t="s">
        <v>810</v>
      </c>
      <c r="I21" s="4" t="s">
        <v>821</v>
      </c>
    </row>
    <row r="22" spans="1:11" ht="36">
      <c r="C22" s="191"/>
      <c r="E22" s="208" t="s">
        <v>849</v>
      </c>
      <c r="F22" s="362"/>
      <c r="G22" s="362"/>
    </row>
    <row r="23" spans="1:11">
      <c r="C23" s="191"/>
      <c r="E23" s="209">
        <v>87</v>
      </c>
      <c r="F23" s="362"/>
      <c r="G23" s="362"/>
    </row>
    <row r="24" spans="1:11">
      <c r="C24" s="191" t="s">
        <v>859</v>
      </c>
    </row>
    <row r="26" spans="1:11">
      <c r="A26" t="s">
        <v>872</v>
      </c>
    </row>
    <row r="28" spans="1:11">
      <c r="A28" t="s">
        <v>868</v>
      </c>
    </row>
    <row r="29" spans="1:11">
      <c r="A29" s="211" t="s">
        <v>874</v>
      </c>
    </row>
    <row r="30" spans="1:11">
      <c r="A30" s="211"/>
    </row>
    <row r="31" spans="1:11">
      <c r="A31" t="s">
        <v>869</v>
      </c>
    </row>
    <row r="32" spans="1:11">
      <c r="A32" s="211" t="s">
        <v>873</v>
      </c>
    </row>
    <row r="34" spans="1:1" ht="14.4">
      <c r="A34" s="210" t="s">
        <v>851</v>
      </c>
    </row>
    <row r="35" spans="1:1">
      <c r="A35" t="s">
        <v>866</v>
      </c>
    </row>
    <row r="37" spans="1:1">
      <c r="A37" t="s">
        <v>864</v>
      </c>
    </row>
    <row r="39" spans="1:1">
      <c r="A39" t="s">
        <v>865</v>
      </c>
    </row>
    <row r="41" spans="1:1">
      <c r="A41" s="211"/>
    </row>
    <row r="42" spans="1:1">
      <c r="A42" s="211"/>
    </row>
    <row r="46" spans="1:1">
      <c r="A46" s="211"/>
    </row>
    <row r="47" spans="1:1">
      <c r="A47" s="211"/>
    </row>
    <row r="49" spans="1:1">
      <c r="A49" s="211"/>
    </row>
  </sheetData>
  <mergeCells count="1">
    <mergeCell ref="F20:G2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2:I42"/>
  <sheetViews>
    <sheetView view="pageBreakPreview" zoomScale="60" zoomScaleNormal="100" workbookViewId="0">
      <selection sqref="A1:XFD1048576"/>
    </sheetView>
  </sheetViews>
  <sheetFormatPr defaultRowHeight="13.2"/>
  <cols>
    <col min="1" max="1" width="26" customWidth="1"/>
    <col min="2" max="2" width="16.5546875" customWidth="1"/>
  </cols>
  <sheetData>
    <row r="2" spans="1:9">
      <c r="A2" s="212" t="s">
        <v>847</v>
      </c>
      <c r="B2" s="212"/>
      <c r="C2" s="212"/>
      <c r="D2" s="213"/>
    </row>
    <row r="4" spans="1:9">
      <c r="A4" s="212" t="s">
        <v>846</v>
      </c>
      <c r="B4" s="212"/>
      <c r="C4" s="212"/>
      <c r="D4" s="213"/>
    </row>
    <row r="6" spans="1:9">
      <c r="A6" s="212" t="s">
        <v>845</v>
      </c>
      <c r="B6" s="212"/>
      <c r="C6" s="212"/>
      <c r="D6" s="213"/>
    </row>
    <row r="7" spans="1:9">
      <c r="A7" s="1"/>
      <c r="B7" s="1"/>
      <c r="C7" s="1"/>
      <c r="D7" t="s">
        <v>380</v>
      </c>
      <c r="G7" t="s">
        <v>386</v>
      </c>
    </row>
    <row r="8" spans="1:9">
      <c r="D8" t="s">
        <v>878</v>
      </c>
      <c r="E8" t="s">
        <v>879</v>
      </c>
      <c r="F8" t="s">
        <v>880</v>
      </c>
      <c r="G8" t="s">
        <v>878</v>
      </c>
      <c r="H8" t="s">
        <v>879</v>
      </c>
      <c r="I8" t="s">
        <v>880</v>
      </c>
    </row>
    <row r="9" spans="1:9">
      <c r="A9" s="214" t="s">
        <v>792</v>
      </c>
      <c r="B9" s="212" t="s">
        <v>844</v>
      </c>
      <c r="C9" s="212"/>
      <c r="D9" s="213"/>
      <c r="E9" s="213"/>
      <c r="F9" s="213"/>
      <c r="G9" s="213"/>
      <c r="H9" s="213"/>
      <c r="I9" s="213"/>
    </row>
    <row r="10" spans="1:9">
      <c r="A10" s="1"/>
      <c r="B10" s="212" t="s">
        <v>843</v>
      </c>
      <c r="C10" s="212"/>
      <c r="D10" s="213"/>
      <c r="E10" s="213"/>
      <c r="F10" s="213"/>
      <c r="G10" s="213"/>
      <c r="H10" s="213"/>
      <c r="I10" s="213"/>
    </row>
    <row r="11" spans="1:9">
      <c r="A11" s="1"/>
      <c r="B11" s="212" t="s">
        <v>842</v>
      </c>
      <c r="C11" s="212"/>
      <c r="D11" s="213"/>
      <c r="E11" s="213"/>
      <c r="F11" s="213"/>
      <c r="G11" s="213"/>
      <c r="H11" s="213"/>
      <c r="I11" s="213"/>
    </row>
    <row r="12" spans="1:9">
      <c r="A12" s="1"/>
      <c r="B12" s="212" t="s">
        <v>841</v>
      </c>
      <c r="C12" s="212"/>
      <c r="D12" s="213"/>
      <c r="E12" s="213"/>
      <c r="F12" s="213"/>
      <c r="G12" s="213"/>
      <c r="H12" s="213"/>
      <c r="I12" s="213"/>
    </row>
    <row r="13" spans="1:9">
      <c r="A13" s="1"/>
      <c r="B13" s="212" t="s">
        <v>840</v>
      </c>
      <c r="C13" s="212"/>
      <c r="D13" s="213"/>
      <c r="E13" s="213"/>
      <c r="F13" s="213"/>
      <c r="G13" s="213"/>
      <c r="H13" s="213"/>
      <c r="I13" s="213"/>
    </row>
    <row r="14" spans="1:9">
      <c r="A14" s="1"/>
      <c r="B14" s="212" t="s">
        <v>839</v>
      </c>
      <c r="C14" s="212"/>
      <c r="D14" s="213"/>
      <c r="E14" s="213"/>
      <c r="F14" s="213"/>
      <c r="G14" s="213"/>
      <c r="H14" s="213"/>
      <c r="I14" s="213"/>
    </row>
    <row r="15" spans="1:9">
      <c r="A15" s="3"/>
      <c r="B15" s="212" t="s">
        <v>838</v>
      </c>
      <c r="C15" s="212"/>
      <c r="D15" s="213"/>
      <c r="E15" s="213"/>
      <c r="F15" s="213"/>
      <c r="G15" s="213"/>
      <c r="H15" s="213"/>
      <c r="I15" s="213"/>
    </row>
    <row r="17" spans="1:5">
      <c r="D17" t="s">
        <v>380</v>
      </c>
      <c r="E17" t="s">
        <v>386</v>
      </c>
    </row>
    <row r="18" spans="1:5">
      <c r="A18" s="212" t="s">
        <v>881</v>
      </c>
      <c r="B18" s="212"/>
      <c r="C18" s="212"/>
      <c r="D18" s="213"/>
      <c r="E18" s="213"/>
    </row>
    <row r="20" spans="1:5">
      <c r="A20" s="212" t="s">
        <v>837</v>
      </c>
      <c r="B20" s="212"/>
      <c r="C20" s="212"/>
      <c r="D20" s="213"/>
      <c r="E20" s="213"/>
    </row>
    <row r="22" spans="1:5">
      <c r="A22" s="212" t="s">
        <v>882</v>
      </c>
      <c r="B22" s="212"/>
      <c r="C22" s="212"/>
      <c r="D22" s="213"/>
      <c r="E22" s="213"/>
    </row>
    <row r="24" spans="1:5">
      <c r="A24" s="212" t="s">
        <v>883</v>
      </c>
      <c r="B24" s="212"/>
      <c r="C24" s="215"/>
      <c r="D24" s="213"/>
      <c r="E24" s="213"/>
    </row>
    <row r="26" spans="1:5">
      <c r="A26" s="214" t="s">
        <v>836</v>
      </c>
      <c r="B26" s="214" t="s">
        <v>407</v>
      </c>
      <c r="C26" s="212" t="s">
        <v>373</v>
      </c>
      <c r="D26" s="213"/>
      <c r="E26" s="213"/>
    </row>
    <row r="27" spans="1:5">
      <c r="A27" s="1"/>
      <c r="B27" s="3"/>
      <c r="C27" s="212" t="s">
        <v>835</v>
      </c>
      <c r="D27" s="213"/>
      <c r="E27" s="213"/>
    </row>
    <row r="28" spans="1:5">
      <c r="A28" s="1"/>
      <c r="B28" s="212" t="s">
        <v>834</v>
      </c>
      <c r="C28" s="212"/>
      <c r="D28" s="213"/>
      <c r="E28" s="213"/>
    </row>
    <row r="29" spans="1:5">
      <c r="A29" s="1"/>
      <c r="B29" s="212" t="s">
        <v>353</v>
      </c>
      <c r="C29" s="212"/>
      <c r="D29" s="213"/>
      <c r="E29" s="213"/>
    </row>
    <row r="30" spans="1:5">
      <c r="A30" s="1"/>
      <c r="B30" s="212" t="s">
        <v>833</v>
      </c>
      <c r="C30" s="212"/>
      <c r="D30" s="213"/>
      <c r="E30" s="213"/>
    </row>
    <row r="31" spans="1:5">
      <c r="A31" s="3"/>
      <c r="B31" s="212" t="s">
        <v>832</v>
      </c>
      <c r="C31" s="212"/>
      <c r="D31" s="213"/>
      <c r="E31" s="213"/>
    </row>
    <row r="33" spans="1:5">
      <c r="A33" s="214" t="s">
        <v>831</v>
      </c>
      <c r="B33" s="212" t="s">
        <v>830</v>
      </c>
      <c r="C33" s="212"/>
      <c r="D33" s="213"/>
      <c r="E33" s="213"/>
    </row>
    <row r="34" spans="1:5">
      <c r="A34" s="3"/>
      <c r="B34" s="212" t="s">
        <v>884</v>
      </c>
      <c r="C34" s="212"/>
      <c r="D34" s="213"/>
      <c r="E34" s="213"/>
    </row>
    <row r="36" spans="1:5">
      <c r="A36" s="214" t="s">
        <v>829</v>
      </c>
      <c r="B36" s="212" t="s">
        <v>828</v>
      </c>
      <c r="C36" s="212"/>
      <c r="D36" s="213"/>
      <c r="E36" s="213"/>
    </row>
    <row r="37" spans="1:5">
      <c r="A37" s="1"/>
      <c r="B37" s="212" t="s">
        <v>827</v>
      </c>
      <c r="C37" s="212"/>
      <c r="D37" s="213"/>
      <c r="E37" s="213"/>
    </row>
    <row r="38" spans="1:5">
      <c r="A38" s="1"/>
      <c r="B38" s="212" t="s">
        <v>797</v>
      </c>
      <c r="C38" s="212"/>
      <c r="D38" s="213"/>
      <c r="E38" s="213"/>
    </row>
    <row r="39" spans="1:5">
      <c r="A39" s="3"/>
      <c r="B39" s="212" t="s">
        <v>826</v>
      </c>
      <c r="C39" s="212"/>
      <c r="D39" s="213"/>
      <c r="E39" s="213"/>
    </row>
    <row r="41" spans="1:5">
      <c r="A41" s="214" t="s">
        <v>825</v>
      </c>
      <c r="B41" s="212" t="s">
        <v>824</v>
      </c>
      <c r="C41" s="212"/>
      <c r="D41" s="213"/>
      <c r="E41" s="213"/>
    </row>
    <row r="42" spans="1:5">
      <c r="A42" s="3"/>
      <c r="B42" s="3" t="s">
        <v>884</v>
      </c>
      <c r="C42" s="3"/>
      <c r="D42" s="216"/>
      <c r="E42" s="213"/>
    </row>
  </sheetData>
  <pageMargins left="0.7" right="0.7" top="0.75" bottom="0.75" header="0.3" footer="0.3"/>
  <pageSetup paperSize="9" scale="9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8FD8C3C5FF6F64B9D4367B81D88DE0E" ma:contentTypeVersion="13" ma:contentTypeDescription="Create a new document." ma:contentTypeScope="" ma:versionID="4542aec4fcb3b327865cbc752293b694">
  <xsd:schema xmlns:xsd="http://www.w3.org/2001/XMLSchema" xmlns:p="http://schemas.microsoft.com/office/2006/metadata/properties" xmlns:ns3="c0c43d4d-b7da-4a2b-8f97-25182fb94a41" xmlns:ns4="15e9fc89-c4ce-4b6c-ba83-13639de65aee" targetNamespace="http://schemas.microsoft.com/office/2006/metadata/properties" ma:root="true" ma:fieldsID="3d3b6c5e3d0fb136d82eb1587e6c3c75" ns3:_="" ns4:_="">
    <xsd:import namespace="c0c43d4d-b7da-4a2b-8f97-25182fb94a41"/>
    <xsd:import namespace="15e9fc89-c4ce-4b6c-ba83-13639de65aee"/>
    <xsd:element name="properties">
      <xsd:complexType>
        <xsd:sequence>
          <xsd:element name="documentManagement">
            <xsd:complexType>
              <xsd:all>
                <xsd:element ref="ns3:SharedWithUsers" minOccurs="0"/>
                <xsd:element ref="ns3:SharedWithDetails" minOccurs="0"/>
                <xsd:element ref="ns3:SharingHintHash"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EventHashCode" minOccurs="0"/>
                <xsd:element ref="ns4:MediaServiceGenerationTime" minOccurs="0"/>
              </xsd:all>
            </xsd:complexType>
          </xsd:element>
        </xsd:sequence>
      </xsd:complexType>
    </xsd:element>
  </xsd:schema>
  <xsd:schema xmlns:xsd="http://www.w3.org/2001/XMLSchema" xmlns:dms="http://schemas.microsoft.com/office/2006/documentManagement/types" targetNamespace="c0c43d4d-b7da-4a2b-8f97-25182fb94a41" elementFormDefault="qualified">
    <xsd:import namespace="http://schemas.microsoft.com/office/2006/documentManagement/type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simpleType>
    </xsd:element>
    <xsd:element name="SharingHintHash" ma:index="10" nillable="true" ma:displayName="Sharing Hint Hash" ma:internalName="SharingHintHash" ma:readOnly="true">
      <xsd:simpleType>
        <xsd:restriction base="dms:Text"/>
      </xsd:simpleType>
    </xsd:element>
    <xsd:element name="LastSharedByUser" ma:index="11" nillable="true" ma:displayName="Last Shared By User" ma:description="" ma:internalName="LastSharedByUser" ma:readOnly="true">
      <xsd:simpleType>
        <xsd:restriction base="dms:Note"/>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dms="http://schemas.microsoft.com/office/2006/documentManagement/types" targetNamespace="15e9fc89-c4ce-4b6c-ba83-13639de65aee" elementFormDefault="qualified">
    <xsd:import namespace="http://schemas.microsoft.com/office/2006/documentManagement/type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DateTaken" ma:index="15" nillable="true" ma:displayName="MediaServiceDateTaken" ma:description="" ma:hidden="true" ma:internalName="MediaServiceDateTaken" ma:readOnly="true">
      <xsd:simpleType>
        <xsd:restriction base="dms:Text"/>
      </xsd:simpleType>
    </xsd:element>
    <xsd:element name="MediaServiceAutoTags" ma:index="16" nillable="true" ma:displayName="MediaServiceAutoTags" ma:description="" ma:internalName="MediaServiceAutoTags" ma:readOnly="true">
      <xsd:simpleType>
        <xsd:restriction base="dms:Text"/>
      </xsd:simpleType>
    </xsd:element>
    <xsd:element name="MediaServiceOCR" ma:index="17" nillable="true" ma:displayName="MediaServiceOCR" ma:internalName="MediaServiceOCR" ma:readOnly="true">
      <xsd:simpleType>
        <xsd:restriction base="dms:Note"/>
      </xsd:simpleType>
    </xsd:element>
    <xsd:element name="MediaServiceLocation" ma:index="18" nillable="true" ma:displayName="MediaServiceLocation" ma:internalName="MediaServiceLocation"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BC450174-A772-4BC9-8694-C466A31A5032}">
  <ds:schemaRefs>
    <ds:schemaRef ds:uri="http://schemas.microsoft.com/sharepoint/v3/contenttype/forms"/>
  </ds:schemaRefs>
</ds:datastoreItem>
</file>

<file path=customXml/itemProps2.xml><?xml version="1.0" encoding="utf-8"?>
<ds:datastoreItem xmlns:ds="http://schemas.openxmlformats.org/officeDocument/2006/customXml" ds:itemID="{AD348B5D-DF9F-412F-ADAF-1A65784A6E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c43d4d-b7da-4a2b-8f97-25182fb94a41"/>
    <ds:schemaRef ds:uri="15e9fc89-c4ce-4b6c-ba83-13639de65ae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69388310-CBA3-45B3-B56C-2FDE3E18EB0F}">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c0c43d4d-b7da-4a2b-8f97-25182fb94a41"/>
    <ds:schemaRef ds:uri="15e9fc89-c4ce-4b6c-ba83-13639de65aee"/>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Profile</vt:lpstr>
      <vt:lpstr>Authorities1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Ricky</dc:creator>
  <cp:lastModifiedBy>Dan Worth</cp:lastModifiedBy>
  <dcterms:created xsi:type="dcterms:W3CDTF">2014-11-12T09:48:52Z</dcterms:created>
  <dcterms:modified xsi:type="dcterms:W3CDTF">2020-10-02T13:38:06Z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CL2PublicationSequence">
    <vt:lpwstr>100.000000000000</vt:lpwstr>
  </property>
  <property fmtid="{D5CDD505-2E9C-101B-9397-08002B2CF9AE}" pid="3" name="IsMyDocuments">
    <vt:bool>true</vt:bool>
  </property>
  <property fmtid="{D5CDD505-2E9C-101B-9397-08002B2CF9AE}" pid="4" name="ACSuppressRecentUpdates">
    <vt:lpwstr>0</vt:lpwstr>
  </property>
  <property fmtid="{D5CDD505-2E9C-101B-9397-08002B2CF9AE}" pid="5" name="Categories">
    <vt:lpwstr/>
  </property>
  <property fmtid="{D5CDD505-2E9C-101B-9397-08002B2CF9AE}" pid="6" name="Approval Level">
    <vt:lpwstr/>
  </property>
  <property fmtid="{D5CDD505-2E9C-101B-9397-08002B2CF9AE}" pid="7" name="ACCreationDate">
    <vt:lpwstr>2009-12-11T15:48:00Z</vt:lpwstr>
  </property>
  <property fmtid="{D5CDD505-2E9C-101B-9397-08002B2CF9AE}" pid="8" name="ContentTypeId">
    <vt:lpwstr>0x010100C8FD8C3C5FF6F64B9D4367B81D88DE0E</vt:lpwstr>
  </property>
  <property fmtid="{D5CDD505-2E9C-101B-9397-08002B2CF9AE}" pid="9" name="ACTridionRef">
    <vt:lpwstr/>
  </property>
  <property fmtid="{D5CDD505-2E9C-101B-9397-08002B2CF9AE}" pid="10" name="Assigned To">
    <vt:lpwstr/>
  </property>
  <property fmtid="{D5CDD505-2E9C-101B-9397-08002B2CF9AE}" pid="11" name="ACMeridioRef">
    <vt:lpwstr/>
  </property>
  <property fmtid="{D5CDD505-2E9C-101B-9397-08002B2CF9AE}" pid="12" name="ACDisplayAlertControl">
    <vt:lpwstr>0</vt:lpwstr>
  </property>
  <property fmtid="{D5CDD505-2E9C-101B-9397-08002B2CF9AE}" pid="13" name="ACRelevantAIBL">
    <vt:lpwstr>0</vt:lpwstr>
  </property>
  <property fmtid="{D5CDD505-2E9C-101B-9397-08002B2CF9AE}" pid="14" name="ACSecondarySectorL">
    <vt:lpwstr/>
  </property>
  <property fmtid="{D5CDD505-2E9C-101B-9397-08002B2CF9AE}" pid="15" name="ACSuppressL2">
    <vt:lpwstr>0</vt:lpwstr>
  </property>
</Properties>
</file>