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Benefit/"/>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H279" i="34" l="1"/>
  <c r="H187" i="34"/>
  <c r="H162" i="34"/>
  <c r="G162" i="34"/>
  <c r="H144" i="34"/>
  <c r="G144" i="34"/>
  <c r="G67" i="34"/>
  <c r="H34" i="34"/>
  <c r="F244" i="34" l="1"/>
  <c r="E220" i="34"/>
  <c r="F188" i="34"/>
  <c r="F187" i="34"/>
  <c r="F162" i="34"/>
  <c r="E162" i="34"/>
  <c r="F146" i="34"/>
  <c r="F144" i="34"/>
  <c r="E144" i="34"/>
  <c r="E128" i="34"/>
  <c r="D177" i="34"/>
  <c r="D162" i="34"/>
  <c r="C162" i="34"/>
  <c r="D144" i="34"/>
  <c r="C144" i="34"/>
  <c r="D114" i="34"/>
  <c r="D103" i="34"/>
  <c r="D67" i="34"/>
  <c r="D54" i="34"/>
  <c r="M1" i="1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B216" i="16" s="1"/>
  <c r="E215" i="16"/>
  <c r="D215" i="16"/>
  <c r="H215" i="16" s="1"/>
  <c r="I215" i="16" s="1"/>
  <c r="A215" i="16"/>
  <c r="E214" i="16"/>
  <c r="D214" i="16"/>
  <c r="A214" i="16"/>
  <c r="E213" i="16"/>
  <c r="D213" i="16"/>
  <c r="A213" i="16"/>
  <c r="E212" i="16"/>
  <c r="D212" i="16"/>
  <c r="H212" i="16" s="1"/>
  <c r="A212" i="16"/>
  <c r="B212" i="16" s="1"/>
  <c r="E211" i="16"/>
  <c r="D211" i="16"/>
  <c r="A211" i="16"/>
  <c r="E210" i="16"/>
  <c r="D210" i="16"/>
  <c r="A210" i="16"/>
  <c r="E209" i="16"/>
  <c r="D209" i="16"/>
  <c r="A209" i="16"/>
  <c r="E208" i="16"/>
  <c r="D208" i="16"/>
  <c r="A208" i="16"/>
  <c r="B208" i="16" s="1"/>
  <c r="E207" i="16"/>
  <c r="D207" i="16"/>
  <c r="A207" i="16"/>
  <c r="E206" i="16"/>
  <c r="D206" i="16"/>
  <c r="A206" i="16"/>
  <c r="E205" i="16"/>
  <c r="D205" i="16"/>
  <c r="A205" i="16"/>
  <c r="E204" i="16"/>
  <c r="D204" i="16"/>
  <c r="A204" i="16"/>
  <c r="B204" i="16" s="1"/>
  <c r="E203" i="16"/>
  <c r="D203" i="16"/>
  <c r="A203" i="16"/>
  <c r="E202" i="16"/>
  <c r="D202" i="16"/>
  <c r="H202" i="16" s="1"/>
  <c r="I202" i="16" s="1"/>
  <c r="A202" i="16"/>
  <c r="E201" i="16"/>
  <c r="D201" i="16"/>
  <c r="H201" i="16" s="1"/>
  <c r="A201" i="16"/>
  <c r="E200" i="16"/>
  <c r="D200" i="16"/>
  <c r="A200" i="16"/>
  <c r="B200" i="16" s="1"/>
  <c r="E199" i="16"/>
  <c r="D199" i="16"/>
  <c r="H199" i="16" s="1"/>
  <c r="A199" i="16"/>
  <c r="E198" i="16"/>
  <c r="D198" i="16"/>
  <c r="A198" i="16"/>
  <c r="E197" i="16"/>
  <c r="D197" i="16"/>
  <c r="A197" i="16"/>
  <c r="E196" i="16"/>
  <c r="D196" i="16"/>
  <c r="A196" i="16"/>
  <c r="B196" i="16" s="1"/>
  <c r="E195" i="16"/>
  <c r="D195" i="16"/>
  <c r="A195" i="16"/>
  <c r="E194" i="16"/>
  <c r="D194" i="16"/>
  <c r="A194" i="16"/>
  <c r="E193" i="16"/>
  <c r="D193" i="16"/>
  <c r="A193" i="16"/>
  <c r="E192" i="16"/>
  <c r="D192" i="16"/>
  <c r="A192" i="16"/>
  <c r="B192" i="16" s="1"/>
  <c r="E191" i="16"/>
  <c r="D191" i="16"/>
  <c r="A191" i="16"/>
  <c r="E190" i="16"/>
  <c r="D190" i="16"/>
  <c r="H190" i="16" s="1"/>
  <c r="A190" i="16"/>
  <c r="E189" i="16"/>
  <c r="D189" i="16"/>
  <c r="A189" i="16"/>
  <c r="E188" i="16"/>
  <c r="D188" i="16"/>
  <c r="A188" i="16"/>
  <c r="B188" i="16" s="1"/>
  <c r="E187" i="16"/>
  <c r="D187" i="16"/>
  <c r="A187" i="16"/>
  <c r="E186" i="16"/>
  <c r="D186" i="16"/>
  <c r="H186" i="16" s="1"/>
  <c r="A186" i="16"/>
  <c r="E185" i="16"/>
  <c r="D185" i="16"/>
  <c r="A185" i="16"/>
  <c r="E184" i="16"/>
  <c r="D184" i="16"/>
  <c r="A184" i="16"/>
  <c r="B184" i="16" s="1"/>
  <c r="E183" i="16"/>
  <c r="D183" i="16"/>
  <c r="A183" i="16"/>
  <c r="E182" i="16"/>
  <c r="D182" i="16"/>
  <c r="A182" i="16"/>
  <c r="E181" i="16"/>
  <c r="D181" i="16"/>
  <c r="H181" i="16" s="1"/>
  <c r="A181" i="16"/>
  <c r="E180" i="16"/>
  <c r="D180" i="16"/>
  <c r="H180" i="16" s="1"/>
  <c r="I180" i="16" s="1"/>
  <c r="A180" i="16"/>
  <c r="B180" i="16" s="1"/>
  <c r="E179" i="16"/>
  <c r="D179" i="16"/>
  <c r="A179" i="16"/>
  <c r="E178" i="16"/>
  <c r="D178" i="16"/>
  <c r="A178" i="16"/>
  <c r="E177" i="16"/>
  <c r="D177" i="16"/>
  <c r="H177" i="16" s="1"/>
  <c r="A177" i="16"/>
  <c r="E176" i="16"/>
  <c r="D176" i="16"/>
  <c r="A176" i="16"/>
  <c r="B176" i="16" s="1"/>
  <c r="E175" i="16"/>
  <c r="D175" i="16"/>
  <c r="H175" i="16" s="1"/>
  <c r="I175" i="16" s="1"/>
  <c r="A175" i="16"/>
  <c r="E174" i="16"/>
  <c r="D174" i="16"/>
  <c r="A174" i="16"/>
  <c r="E173" i="16"/>
  <c r="D173" i="16"/>
  <c r="H173" i="16" s="1"/>
  <c r="A173" i="16"/>
  <c r="E172" i="16"/>
  <c r="D172" i="16"/>
  <c r="A172" i="16"/>
  <c r="B172" i="16" s="1"/>
  <c r="E171" i="16"/>
  <c r="D171" i="16"/>
  <c r="H171" i="16" s="1"/>
  <c r="I171" i="16" s="1"/>
  <c r="A171" i="16"/>
  <c r="E170" i="16"/>
  <c r="D170" i="16"/>
  <c r="H170" i="16" s="1"/>
  <c r="A170" i="16"/>
  <c r="E169" i="16"/>
  <c r="D169" i="16"/>
  <c r="H169" i="16" s="1"/>
  <c r="A169" i="16"/>
  <c r="E168" i="16"/>
  <c r="D168" i="16"/>
  <c r="H168" i="16" s="1"/>
  <c r="A168" i="16"/>
  <c r="B168" i="16" s="1"/>
  <c r="E167" i="16"/>
  <c r="D167" i="16"/>
  <c r="H167" i="16" s="1"/>
  <c r="A167" i="16"/>
  <c r="E166" i="16"/>
  <c r="D166" i="16"/>
  <c r="A166" i="16"/>
  <c r="E165" i="16"/>
  <c r="D165" i="16"/>
  <c r="A165" i="16"/>
  <c r="E164" i="16"/>
  <c r="D164" i="16"/>
  <c r="A164" i="16"/>
  <c r="B164" i="16" s="1"/>
  <c r="E163" i="16"/>
  <c r="D163" i="16"/>
  <c r="H163" i="16" s="1"/>
  <c r="I163" i="16" s="1"/>
  <c r="A163" i="16"/>
  <c r="E162" i="16"/>
  <c r="D162" i="16"/>
  <c r="H162" i="16" s="1"/>
  <c r="A162" i="16"/>
  <c r="E161" i="16"/>
  <c r="D161" i="16"/>
  <c r="H161" i="16" s="1"/>
  <c r="A161" i="16"/>
  <c r="E160" i="16"/>
  <c r="D160" i="16"/>
  <c r="H160" i="16" s="1"/>
  <c r="I160" i="16" s="1"/>
  <c r="A160" i="16"/>
  <c r="B160" i="16" s="1"/>
  <c r="E159" i="16"/>
  <c r="D159" i="16"/>
  <c r="A159" i="16"/>
  <c r="E158" i="16"/>
  <c r="D158" i="16"/>
  <c r="A158" i="16"/>
  <c r="E157" i="16"/>
  <c r="D157" i="16"/>
  <c r="A157" i="16"/>
  <c r="E156" i="16"/>
  <c r="D156" i="16"/>
  <c r="A156" i="16"/>
  <c r="B156" i="16" s="1"/>
  <c r="E155" i="16"/>
  <c r="D155" i="16"/>
  <c r="H155" i="16" s="1"/>
  <c r="A155" i="16"/>
  <c r="E154" i="16"/>
  <c r="D154" i="16"/>
  <c r="A154" i="16"/>
  <c r="E153" i="16"/>
  <c r="D153" i="16"/>
  <c r="A153" i="16"/>
  <c r="E152" i="16"/>
  <c r="D152" i="16"/>
  <c r="H152" i="16" s="1"/>
  <c r="A152" i="16"/>
  <c r="B152" i="16" s="1"/>
  <c r="E151" i="16"/>
  <c r="D151" i="16"/>
  <c r="A151" i="16"/>
  <c r="E150" i="16"/>
  <c r="D150" i="16"/>
  <c r="A150" i="16"/>
  <c r="E149" i="16"/>
  <c r="D149" i="16"/>
  <c r="H149" i="16" s="1"/>
  <c r="I149" i="16" s="1"/>
  <c r="A149" i="16"/>
  <c r="E148" i="16"/>
  <c r="D148" i="16"/>
  <c r="A148" i="16"/>
  <c r="B148" i="16" s="1"/>
  <c r="E147" i="16"/>
  <c r="D147" i="16"/>
  <c r="H147" i="16" s="1"/>
  <c r="A147" i="16"/>
  <c r="E146" i="16"/>
  <c r="D146" i="16"/>
  <c r="A146" i="16"/>
  <c r="E145" i="16"/>
  <c r="D145" i="16"/>
  <c r="A145" i="16"/>
  <c r="E144" i="16"/>
  <c r="D144" i="16"/>
  <c r="A144" i="16"/>
  <c r="B144" i="16" s="1"/>
  <c r="E143" i="16"/>
  <c r="D143" i="16"/>
  <c r="A143" i="16"/>
  <c r="E142" i="16"/>
  <c r="D142" i="16"/>
  <c r="H142" i="16" s="1"/>
  <c r="A142" i="16"/>
  <c r="E141" i="16"/>
  <c r="D141" i="16"/>
  <c r="A141" i="16"/>
  <c r="E140" i="16"/>
  <c r="D140" i="16"/>
  <c r="A140" i="16"/>
  <c r="B140" i="16" s="1"/>
  <c r="E139" i="16"/>
  <c r="D139" i="16"/>
  <c r="H139" i="16" s="1"/>
  <c r="A139" i="16"/>
  <c r="E138" i="16"/>
  <c r="D138" i="16"/>
  <c r="A138" i="16"/>
  <c r="E137" i="16"/>
  <c r="D137" i="16"/>
  <c r="H137" i="16" s="1"/>
  <c r="I137" i="16" s="1"/>
  <c r="A137" i="16"/>
  <c r="E136" i="16"/>
  <c r="D136" i="16"/>
  <c r="H136" i="16" s="1"/>
  <c r="A136" i="16"/>
  <c r="B136" i="16" s="1"/>
  <c r="E135" i="16"/>
  <c r="D135" i="16"/>
  <c r="A135" i="16"/>
  <c r="E134" i="16"/>
  <c r="D134" i="16"/>
  <c r="A134" i="16"/>
  <c r="E133" i="16"/>
  <c r="D133" i="16"/>
  <c r="H133" i="16" s="1"/>
  <c r="A133" i="16"/>
  <c r="E132" i="16"/>
  <c r="D132" i="16"/>
  <c r="A132" i="16"/>
  <c r="B132" i="16" s="1"/>
  <c r="E131" i="16"/>
  <c r="D131" i="16"/>
  <c r="H131" i="16" s="1"/>
  <c r="A131" i="16"/>
  <c r="E130" i="16"/>
  <c r="D130" i="16"/>
  <c r="A130" i="16"/>
  <c r="E129" i="16"/>
  <c r="D129" i="16"/>
  <c r="A129" i="16"/>
  <c r="E128" i="16"/>
  <c r="D128" i="16"/>
  <c r="A128" i="16"/>
  <c r="B128" i="16" s="1"/>
  <c r="E127" i="16"/>
  <c r="D127" i="16"/>
  <c r="A127" i="16"/>
  <c r="E126" i="16"/>
  <c r="D126" i="16"/>
  <c r="A126" i="16"/>
  <c r="E125" i="16"/>
  <c r="D125" i="16"/>
  <c r="A125" i="16"/>
  <c r="E124" i="16"/>
  <c r="D124" i="16"/>
  <c r="A124" i="16"/>
  <c r="B124" i="16" s="1"/>
  <c r="E123" i="16"/>
  <c r="D123" i="16"/>
  <c r="A123" i="16"/>
  <c r="E122" i="16"/>
  <c r="D122" i="16"/>
  <c r="A122" i="16"/>
  <c r="E121" i="16"/>
  <c r="D121" i="16"/>
  <c r="A121" i="16"/>
  <c r="E120" i="16"/>
  <c r="D120" i="16"/>
  <c r="A120" i="16"/>
  <c r="B120" i="16" s="1"/>
  <c r="E119" i="16"/>
  <c r="D119" i="16"/>
  <c r="A119" i="16"/>
  <c r="E118" i="16"/>
  <c r="D118" i="16"/>
  <c r="A118" i="16"/>
  <c r="E117" i="16"/>
  <c r="D117" i="16"/>
  <c r="A117" i="16"/>
  <c r="E116" i="16"/>
  <c r="D116" i="16"/>
  <c r="A116" i="16"/>
  <c r="B116" i="16" s="1"/>
  <c r="E115" i="16"/>
  <c r="D115" i="16"/>
  <c r="A115" i="16"/>
  <c r="E114" i="16"/>
  <c r="D114" i="16"/>
  <c r="A114" i="16"/>
  <c r="E113" i="16"/>
  <c r="D113" i="16"/>
  <c r="A113" i="16"/>
  <c r="E112" i="16"/>
  <c r="D112" i="16"/>
  <c r="A112" i="16"/>
  <c r="B112" i="16" s="1"/>
  <c r="E111" i="16"/>
  <c r="D111" i="16"/>
  <c r="A111" i="16"/>
  <c r="E110" i="16"/>
  <c r="D110" i="16"/>
  <c r="A110" i="16"/>
  <c r="E109" i="16"/>
  <c r="D109" i="16"/>
  <c r="A109" i="16"/>
  <c r="E108" i="16"/>
  <c r="D108" i="16"/>
  <c r="A108" i="16"/>
  <c r="B108" i="16" s="1"/>
  <c r="E107" i="16"/>
  <c r="D107" i="16"/>
  <c r="A107" i="16"/>
  <c r="E106" i="16"/>
  <c r="D106" i="16"/>
  <c r="A106" i="16"/>
  <c r="E105" i="16"/>
  <c r="D105" i="16"/>
  <c r="A105" i="16"/>
  <c r="E104" i="16"/>
  <c r="D104" i="16"/>
  <c r="A104" i="16"/>
  <c r="B104" i="16" s="1"/>
  <c r="E103" i="16"/>
  <c r="D103" i="16"/>
  <c r="A103" i="16"/>
  <c r="E102" i="16"/>
  <c r="D102" i="16"/>
  <c r="A102" i="16"/>
  <c r="E101" i="16"/>
  <c r="D101" i="16"/>
  <c r="A101" i="16"/>
  <c r="E100" i="16"/>
  <c r="D100" i="16"/>
  <c r="A100" i="16"/>
  <c r="B100" i="16" s="1"/>
  <c r="E99" i="16"/>
  <c r="D99" i="16"/>
  <c r="A99" i="16"/>
  <c r="E98" i="16"/>
  <c r="D98" i="16"/>
  <c r="A98" i="16"/>
  <c r="E97" i="16"/>
  <c r="D97" i="16"/>
  <c r="A97" i="16"/>
  <c r="E96" i="16"/>
  <c r="D96" i="16"/>
  <c r="A96" i="16"/>
  <c r="B96" i="16" s="1"/>
  <c r="E95" i="16"/>
  <c r="D95" i="16"/>
  <c r="A95" i="16"/>
  <c r="E94" i="16"/>
  <c r="D94" i="16"/>
  <c r="A94" i="16"/>
  <c r="E93" i="16"/>
  <c r="D93" i="16"/>
  <c r="A93" i="16"/>
  <c r="E92" i="16"/>
  <c r="D92" i="16"/>
  <c r="A92" i="16"/>
  <c r="B92" i="16" s="1"/>
  <c r="E91" i="16"/>
  <c r="D91" i="16"/>
  <c r="A91" i="16"/>
  <c r="E90" i="16"/>
  <c r="D90" i="16"/>
  <c r="A90" i="16"/>
  <c r="E89" i="16"/>
  <c r="D89" i="16"/>
  <c r="A89" i="16"/>
  <c r="E88" i="16"/>
  <c r="D88" i="16"/>
  <c r="A88" i="16"/>
  <c r="B88" i="16" s="1"/>
  <c r="E87" i="16"/>
  <c r="D87" i="16"/>
  <c r="A87" i="16"/>
  <c r="E86" i="16"/>
  <c r="D86" i="16"/>
  <c r="A86" i="16"/>
  <c r="E85" i="16"/>
  <c r="D85" i="16"/>
  <c r="A85" i="16"/>
  <c r="E84" i="16"/>
  <c r="D84" i="16"/>
  <c r="A84" i="16"/>
  <c r="B84" i="16" s="1"/>
  <c r="E83" i="16"/>
  <c r="D83" i="16"/>
  <c r="A83" i="16"/>
  <c r="E82" i="16"/>
  <c r="D82" i="16"/>
  <c r="A82" i="16"/>
  <c r="E81" i="16"/>
  <c r="D81" i="16"/>
  <c r="A81" i="16"/>
  <c r="E80" i="16"/>
  <c r="D80" i="16"/>
  <c r="A80" i="16"/>
  <c r="B80" i="16" s="1"/>
  <c r="E79" i="16"/>
  <c r="D79" i="16"/>
  <c r="A79" i="16"/>
  <c r="E78" i="16"/>
  <c r="D78" i="16"/>
  <c r="A78" i="16"/>
  <c r="E77" i="16"/>
  <c r="D77" i="16"/>
  <c r="A77" i="16"/>
  <c r="E76" i="16"/>
  <c r="D76" i="16"/>
  <c r="A76" i="16"/>
  <c r="B76" i="16" s="1"/>
  <c r="E75" i="16"/>
  <c r="D75" i="16"/>
  <c r="A75" i="16"/>
  <c r="E74" i="16"/>
  <c r="D74" i="16"/>
  <c r="A74" i="16"/>
  <c r="E73" i="16"/>
  <c r="D73" i="16"/>
  <c r="A73" i="16"/>
  <c r="E72" i="16"/>
  <c r="D72" i="16"/>
  <c r="A72" i="16"/>
  <c r="B72" i="16" s="1"/>
  <c r="E71" i="16"/>
  <c r="D71" i="16"/>
  <c r="A71" i="16"/>
  <c r="E70" i="16"/>
  <c r="D70" i="16"/>
  <c r="A70" i="16"/>
  <c r="E69" i="16"/>
  <c r="D69" i="16"/>
  <c r="A69" i="16"/>
  <c r="E68" i="16"/>
  <c r="D68" i="16"/>
  <c r="A68" i="16"/>
  <c r="B68" i="16" s="1"/>
  <c r="E67" i="16"/>
  <c r="D67" i="16"/>
  <c r="A67" i="16"/>
  <c r="E66" i="16"/>
  <c r="D66" i="16"/>
  <c r="A66" i="16"/>
  <c r="B66" i="16" s="1"/>
  <c r="E65" i="16"/>
  <c r="D65" i="16"/>
  <c r="A65" i="16"/>
  <c r="E64" i="16"/>
  <c r="D64" i="16"/>
  <c r="A64" i="16"/>
  <c r="B64" i="16" s="1"/>
  <c r="E63" i="16"/>
  <c r="D63" i="16"/>
  <c r="A63" i="16"/>
  <c r="E62" i="16"/>
  <c r="D62" i="16"/>
  <c r="A62" i="16"/>
  <c r="B62" i="16" s="1"/>
  <c r="E61" i="16"/>
  <c r="D61" i="16"/>
  <c r="A61" i="16"/>
  <c r="E60" i="16"/>
  <c r="D60" i="16"/>
  <c r="A60" i="16"/>
  <c r="B60" i="16" s="1"/>
  <c r="E59" i="16"/>
  <c r="D59" i="16"/>
  <c r="A59" i="16"/>
  <c r="E58" i="16"/>
  <c r="D58" i="16"/>
  <c r="A58" i="16"/>
  <c r="B58" i="16" s="1"/>
  <c r="E57" i="16"/>
  <c r="D57" i="16"/>
  <c r="A57" i="16"/>
  <c r="E56" i="16"/>
  <c r="D56" i="16"/>
  <c r="A56" i="16"/>
  <c r="B56" i="16" s="1"/>
  <c r="E55" i="16"/>
  <c r="D55" i="16"/>
  <c r="A55" i="16"/>
  <c r="E54" i="16"/>
  <c r="D54" i="16"/>
  <c r="A54" i="16"/>
  <c r="B54" i="16" s="1"/>
  <c r="E53" i="16"/>
  <c r="D53" i="16"/>
  <c r="A53" i="16"/>
  <c r="E52" i="16"/>
  <c r="D52" i="16"/>
  <c r="A52" i="16"/>
  <c r="B52" i="16" s="1"/>
  <c r="E51" i="16"/>
  <c r="D51" i="16"/>
  <c r="A51" i="16"/>
  <c r="E50" i="16"/>
  <c r="D50" i="16"/>
  <c r="A50" i="16"/>
  <c r="B50" i="16" s="1"/>
  <c r="E49" i="16"/>
  <c r="D49" i="16"/>
  <c r="A49" i="16"/>
  <c r="E48" i="16"/>
  <c r="D48" i="16"/>
  <c r="A48" i="16"/>
  <c r="B48" i="16" s="1"/>
  <c r="E47" i="16"/>
  <c r="D47" i="16"/>
  <c r="A47" i="16"/>
  <c r="E46" i="16"/>
  <c r="D46" i="16"/>
  <c r="A46" i="16"/>
  <c r="B46" i="16" s="1"/>
  <c r="E45" i="16"/>
  <c r="D45" i="16"/>
  <c r="A45" i="16"/>
  <c r="E44" i="16"/>
  <c r="D44" i="16"/>
  <c r="A44" i="16"/>
  <c r="B44" i="16" s="1"/>
  <c r="E43" i="16"/>
  <c r="D43" i="16"/>
  <c r="A43" i="16"/>
  <c r="E42" i="16"/>
  <c r="D42" i="16"/>
  <c r="A42" i="16"/>
  <c r="B42" i="16" s="1"/>
  <c r="E41" i="16"/>
  <c r="D41" i="16"/>
  <c r="A41" i="16"/>
  <c r="E40" i="16"/>
  <c r="D40" i="16"/>
  <c r="A40" i="16"/>
  <c r="B40" i="16" s="1"/>
  <c r="E39" i="16"/>
  <c r="D39" i="16"/>
  <c r="A39" i="16"/>
  <c r="E38" i="16"/>
  <c r="D38" i="16"/>
  <c r="A38" i="16"/>
  <c r="B38" i="16" s="1"/>
  <c r="E37" i="16"/>
  <c r="D37" i="16"/>
  <c r="A37" i="16"/>
  <c r="E36" i="16"/>
  <c r="D36" i="16"/>
  <c r="A36" i="16"/>
  <c r="B36" i="16" s="1"/>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B35" i="16" s="1"/>
  <c r="E34" i="16"/>
  <c r="D34" i="16"/>
  <c r="A34" i="16"/>
  <c r="E33" i="16"/>
  <c r="D33" i="16"/>
  <c r="A33" i="16"/>
  <c r="B33" i="16" s="1"/>
  <c r="E32" i="16"/>
  <c r="D32" i="16"/>
  <c r="A32" i="16"/>
  <c r="E31" i="16"/>
  <c r="D31" i="16"/>
  <c r="A31" i="16"/>
  <c r="B31" i="16" s="1"/>
  <c r="E30" i="16"/>
  <c r="D30" i="16"/>
  <c r="A30" i="16"/>
  <c r="E29" i="16"/>
  <c r="D29" i="16"/>
  <c r="A29" i="16"/>
  <c r="B29" i="16" s="1"/>
  <c r="E28" i="16"/>
  <c r="D28" i="16"/>
  <c r="A28" i="16"/>
  <c r="E27" i="16"/>
  <c r="D27" i="16"/>
  <c r="A27" i="16"/>
  <c r="B27" i="16" s="1"/>
  <c r="AF26" i="16"/>
  <c r="E26" i="16"/>
  <c r="D26" i="16"/>
  <c r="A26" i="16"/>
  <c r="B26" i="16" s="1"/>
  <c r="AF25" i="16"/>
  <c r="E25" i="16"/>
  <c r="D25" i="16"/>
  <c r="A25" i="16"/>
  <c r="B25" i="16" s="1"/>
  <c r="AF24" i="16"/>
  <c r="E24" i="16"/>
  <c r="D24" i="16"/>
  <c r="A24" i="16"/>
  <c r="B24" i="16" s="1"/>
  <c r="AF23" i="16"/>
  <c r="E23" i="16"/>
  <c r="D23" i="16"/>
  <c r="A23" i="16"/>
  <c r="B23" i="16" s="1"/>
  <c r="AF22" i="16"/>
  <c r="E22" i="16"/>
  <c r="D22" i="16"/>
  <c r="A22" i="16"/>
  <c r="AF21" i="16"/>
  <c r="E21" i="16"/>
  <c r="D21" i="16"/>
  <c r="A21" i="16"/>
  <c r="B21" i="16" s="1"/>
  <c r="AF20" i="16"/>
  <c r="E20" i="16"/>
  <c r="D20" i="16"/>
  <c r="A20" i="16"/>
  <c r="B20" i="16" s="1"/>
  <c r="AF19" i="16"/>
  <c r="E19" i="16"/>
  <c r="D19" i="16"/>
  <c r="A19" i="16"/>
  <c r="B19" i="16" s="1"/>
  <c r="AF18" i="16"/>
  <c r="E18" i="16"/>
  <c r="D18" i="16"/>
  <c r="A18" i="16"/>
  <c r="B18" i="16" s="1"/>
  <c r="AF17" i="16"/>
  <c r="E17" i="16"/>
  <c r="D17" i="16"/>
  <c r="A17" i="16"/>
  <c r="B17" i="16" s="1"/>
  <c r="AF16" i="16"/>
  <c r="E16" i="16"/>
  <c r="D16" i="16"/>
  <c r="A16" i="16"/>
  <c r="B16" i="16" s="1"/>
  <c r="AF15" i="16"/>
  <c r="E15" i="16"/>
  <c r="D15" i="16"/>
  <c r="A15" i="16"/>
  <c r="B15" i="16" s="1"/>
  <c r="AF14" i="16"/>
  <c r="E14" i="16"/>
  <c r="D14" i="16"/>
  <c r="A14" i="16"/>
  <c r="B14" i="16" s="1"/>
  <c r="AF13" i="16"/>
  <c r="E13" i="16"/>
  <c r="D13" i="16"/>
  <c r="A13" i="16"/>
  <c r="B13" i="16" s="1"/>
  <c r="E12" i="16"/>
  <c r="D12" i="16"/>
  <c r="A12" i="16"/>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2" i="16" l="1"/>
  <c r="B30" i="16"/>
  <c r="B34" i="16"/>
  <c r="B70"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74" i="16"/>
  <c r="B86" i="16"/>
  <c r="B90" i="16"/>
  <c r="B94" i="16"/>
  <c r="B98" i="16"/>
  <c r="B106" i="16"/>
  <c r="B110" i="16"/>
  <c r="B154" i="16"/>
  <c r="B158" i="16"/>
  <c r="B162" i="16"/>
  <c r="B166" i="16"/>
  <c r="B170" i="16"/>
  <c r="B174" i="16"/>
  <c r="B178" i="16"/>
  <c r="B182" i="16"/>
  <c r="B186" i="16"/>
  <c r="B190" i="16"/>
  <c r="B194" i="16"/>
  <c r="B198" i="16"/>
  <c r="B202" i="16"/>
  <c r="B206" i="16"/>
  <c r="B210" i="16"/>
  <c r="B214" i="16"/>
  <c r="B78" i="16"/>
  <c r="B82" i="16"/>
  <c r="B102" i="16"/>
  <c r="B114" i="16"/>
  <c r="B118" i="16"/>
  <c r="B122" i="16"/>
  <c r="B126" i="16"/>
  <c r="B130" i="16"/>
  <c r="B134" i="16"/>
  <c r="B138" i="16"/>
  <c r="B142" i="16"/>
  <c r="B146" i="16"/>
  <c r="B150"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AX144" i="16"/>
  <c r="AX146" i="16"/>
  <c r="AX148" i="16"/>
  <c r="AX150" i="16"/>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AX47" i="16"/>
  <c r="AX49" i="16"/>
  <c r="F49" i="16" s="1"/>
  <c r="AX51" i="16"/>
  <c r="AX53" i="16"/>
  <c r="H53" i="16" s="1"/>
  <c r="AX55" i="16"/>
  <c r="H55" i="16" s="1"/>
  <c r="AX57" i="16"/>
  <c r="AX59" i="16"/>
  <c r="AX61" i="16"/>
  <c r="AX63" i="16"/>
  <c r="AX65" i="16"/>
  <c r="H65" i="16" s="1"/>
  <c r="AX67" i="16"/>
  <c r="AX69" i="16"/>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AX131" i="16"/>
  <c r="AX133" i="16"/>
  <c r="AX135" i="16"/>
  <c r="AX137" i="16"/>
  <c r="AX139" i="16"/>
  <c r="AX141" i="16"/>
  <c r="AX143" i="16"/>
  <c r="AX145" i="16"/>
  <c r="AX147" i="16"/>
  <c r="AX149" i="16"/>
  <c r="AX151" i="16"/>
  <c r="AX153" i="16"/>
  <c r="AX155" i="16"/>
  <c r="AX157" i="16"/>
  <c r="AX159" i="16"/>
  <c r="AX161" i="16"/>
  <c r="AX163" i="16"/>
  <c r="AX165" i="16"/>
  <c r="AX167" i="16"/>
  <c r="AX169" i="16"/>
  <c r="AX171" i="16"/>
  <c r="AX173" i="16"/>
  <c r="AX175" i="16"/>
  <c r="AX177" i="16"/>
  <c r="AX179" i="16"/>
  <c r="AX181" i="16"/>
  <c r="AX182" i="16"/>
  <c r="AX184" i="16"/>
  <c r="AX186" i="16"/>
  <c r="AX188" i="16"/>
  <c r="AX190" i="16"/>
  <c r="AX192" i="16"/>
  <c r="AX194" i="16"/>
  <c r="AX196" i="16"/>
  <c r="AX198" i="16"/>
  <c r="AX200" i="16"/>
  <c r="AX202" i="16"/>
  <c r="AX204" i="16"/>
  <c r="H204" i="16" s="1"/>
  <c r="AX206" i="16"/>
  <c r="AX208" i="16"/>
  <c r="AX210" i="16"/>
  <c r="AX212" i="16"/>
  <c r="AX214" i="16"/>
  <c r="AX216" i="16"/>
  <c r="AX218" i="16"/>
  <c r="AX220" i="16"/>
  <c r="AX222" i="16"/>
  <c r="AX224" i="16"/>
  <c r="AX226" i="16"/>
  <c r="AX228" i="16"/>
  <c r="AX230" i="16"/>
  <c r="AX232" i="16"/>
  <c r="AX234" i="16"/>
  <c r="AX236" i="16"/>
  <c r="H236" i="16" s="1"/>
  <c r="AX238" i="16"/>
  <c r="AX240" i="16"/>
  <c r="AX242" i="16"/>
  <c r="AX244" i="16"/>
  <c r="H244" i="16" s="1"/>
  <c r="AX246" i="16"/>
  <c r="AX248" i="16"/>
  <c r="AX250" i="16"/>
  <c r="AX252" i="16"/>
  <c r="AX254" i="16"/>
  <c r="AX256" i="16"/>
  <c r="AX258" i="16"/>
  <c r="AX260" i="16"/>
  <c r="H260" i="16" s="1"/>
  <c r="AX262" i="16"/>
  <c r="AX264" i="16"/>
  <c r="AX266" i="16"/>
  <c r="AX268" i="16"/>
  <c r="AX270" i="16"/>
  <c r="AX272" i="16"/>
  <c r="AX274" i="16"/>
  <c r="AX276" i="16"/>
  <c r="AX278" i="16"/>
  <c r="AX280" i="16"/>
  <c r="AX282" i="16"/>
  <c r="AX284" i="16"/>
  <c r="AX286" i="16"/>
  <c r="AX288" i="16"/>
  <c r="AX290" i="16"/>
  <c r="AX292" i="16"/>
  <c r="AX294" i="16"/>
  <c r="AX296" i="16"/>
  <c r="AX298" i="16"/>
  <c r="AX300" i="16"/>
  <c r="H300" i="16" s="1"/>
  <c r="AX302" i="16"/>
  <c r="H302" i="16" s="1"/>
  <c r="AX304" i="16"/>
  <c r="AX306" i="16"/>
  <c r="AX308" i="16"/>
  <c r="H308" i="16" s="1"/>
  <c r="AX310" i="16"/>
  <c r="AX312" i="16"/>
  <c r="H312" i="16" s="1"/>
  <c r="AX314" i="16"/>
  <c r="AX316" i="16"/>
  <c r="AX318" i="16"/>
  <c r="AX320" i="16"/>
  <c r="AX322" i="16"/>
  <c r="AX324" i="16"/>
  <c r="H324" i="16" s="1"/>
  <c r="AX326" i="16"/>
  <c r="AX328" i="16"/>
  <c r="AX330" i="16"/>
  <c r="F330" i="16" s="1"/>
  <c r="AX332" i="16"/>
  <c r="H332" i="16" s="1"/>
  <c r="AX334" i="16"/>
  <c r="AX336" i="16"/>
  <c r="H336" i="16" s="1"/>
  <c r="AX338" i="16"/>
  <c r="AX340" i="16"/>
  <c r="H340" i="16" s="1"/>
  <c r="AX342" i="16"/>
  <c r="H342" i="16" s="1"/>
  <c r="AX344" i="16"/>
  <c r="AX346" i="16"/>
  <c r="AX348" i="16"/>
  <c r="AX350" i="16"/>
  <c r="H350" i="16" s="1"/>
  <c r="AX352" i="16"/>
  <c r="AX183" i="16"/>
  <c r="F183" i="16" s="1"/>
  <c r="AX185" i="16"/>
  <c r="H185" i="16" s="1"/>
  <c r="AX187" i="16"/>
  <c r="H187" i="16" s="1"/>
  <c r="AX189" i="16"/>
  <c r="H189" i="16" s="1"/>
  <c r="AX191" i="16"/>
  <c r="H191" i="16" s="1"/>
  <c r="AX193" i="16"/>
  <c r="H193" i="16" s="1"/>
  <c r="AX195" i="16"/>
  <c r="AX197" i="16"/>
  <c r="H197" i="16" s="1"/>
  <c r="AX199" i="16"/>
  <c r="AX201" i="16"/>
  <c r="AX203" i="16"/>
  <c r="H203" i="16" s="1"/>
  <c r="AX205" i="16"/>
  <c r="H205" i="16" s="1"/>
  <c r="AX207" i="16"/>
  <c r="H207" i="16" s="1"/>
  <c r="AX209" i="16"/>
  <c r="AX211" i="16"/>
  <c r="AX213" i="16"/>
  <c r="H213" i="16" s="1"/>
  <c r="AX215" i="16"/>
  <c r="F215" i="16" s="1"/>
  <c r="AX217" i="16"/>
  <c r="AX219" i="16"/>
  <c r="F219" i="16" s="1"/>
  <c r="AX221" i="16"/>
  <c r="H221" i="16" s="1"/>
  <c r="AX223" i="16"/>
  <c r="F223" i="16" s="1"/>
  <c r="AX225" i="16"/>
  <c r="F225" i="16" s="1"/>
  <c r="AX227" i="16"/>
  <c r="AX229" i="16"/>
  <c r="AX231" i="16"/>
  <c r="H231" i="16" s="1"/>
  <c r="AX233" i="16"/>
  <c r="AX235" i="16"/>
  <c r="AX237" i="16"/>
  <c r="H237" i="16" s="1"/>
  <c r="AX239" i="16"/>
  <c r="F239" i="16" s="1"/>
  <c r="AX241" i="16"/>
  <c r="F241" i="16" s="1"/>
  <c r="AX243" i="16"/>
  <c r="H243" i="16" s="1"/>
  <c r="AX245" i="16"/>
  <c r="AX247" i="16"/>
  <c r="F247" i="16" s="1"/>
  <c r="AX249" i="16"/>
  <c r="F249" i="16" s="1"/>
  <c r="AX251" i="16"/>
  <c r="F251" i="16" s="1"/>
  <c r="AX253" i="16"/>
  <c r="AX255" i="16"/>
  <c r="F255" i="16" s="1"/>
  <c r="AX257" i="16"/>
  <c r="F257" i="16" s="1"/>
  <c r="AX259" i="16"/>
  <c r="AX261" i="16"/>
  <c r="AX263" i="16"/>
  <c r="F263" i="16" s="1"/>
  <c r="AX265" i="16"/>
  <c r="F265" i="16" s="1"/>
  <c r="AX267" i="16"/>
  <c r="H267" i="16" s="1"/>
  <c r="AX269" i="16"/>
  <c r="H269" i="16" s="1"/>
  <c r="AX271" i="16"/>
  <c r="H271" i="16" s="1"/>
  <c r="AX273" i="16"/>
  <c r="F273" i="16" s="1"/>
  <c r="AX275" i="16"/>
  <c r="H275" i="16" s="1"/>
  <c r="AX277" i="16"/>
  <c r="H277" i="16" s="1"/>
  <c r="AX279" i="16"/>
  <c r="F279" i="16" s="1"/>
  <c r="AX281" i="16"/>
  <c r="AX283" i="16"/>
  <c r="H283" i="16" s="1"/>
  <c r="AX285" i="16"/>
  <c r="H285" i="16" s="1"/>
  <c r="AX287" i="16"/>
  <c r="H287" i="16" s="1"/>
  <c r="AX289" i="16"/>
  <c r="F289" i="16" s="1"/>
  <c r="AX291" i="16"/>
  <c r="F291" i="16" s="1"/>
  <c r="AX293" i="16"/>
  <c r="AX295" i="16"/>
  <c r="H295" i="16" s="1"/>
  <c r="AX297" i="16"/>
  <c r="F297" i="16" s="1"/>
  <c r="AX299" i="16"/>
  <c r="F299" i="16" s="1"/>
  <c r="AX301" i="16"/>
  <c r="F301" i="16" s="1"/>
  <c r="AX303" i="16"/>
  <c r="AX305" i="16"/>
  <c r="F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8" i="16"/>
  <c r="H192" i="16"/>
  <c r="H208" i="16"/>
  <c r="H210" i="16"/>
  <c r="H224" i="16"/>
  <c r="H226" i="16"/>
  <c r="H232" i="16"/>
  <c r="H238" i="16"/>
  <c r="H240" i="16"/>
  <c r="H242" i="16"/>
  <c r="H246" i="16"/>
  <c r="H254" i="16"/>
  <c r="H258" i="16"/>
  <c r="H266" i="16"/>
  <c r="H270" i="16"/>
  <c r="H272" i="16"/>
  <c r="H274" i="16"/>
  <c r="H276" i="16"/>
  <c r="H278" i="16"/>
  <c r="H330" i="16"/>
  <c r="H334"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96" i="16"/>
  <c r="H198" i="16"/>
  <c r="H200" i="16"/>
  <c r="H214" i="16"/>
  <c r="H216" i="16"/>
  <c r="H222" i="16"/>
  <c r="H248" i="16"/>
  <c r="H255" i="16"/>
  <c r="H284" i="16"/>
  <c r="H290" i="16"/>
  <c r="H294" i="16"/>
  <c r="H306" i="16"/>
  <c r="H310" i="16"/>
  <c r="H322"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10" i="16"/>
  <c r="F132" i="16"/>
  <c r="F140" i="16"/>
  <c r="F156" i="16"/>
  <c r="F192" i="16"/>
  <c r="F200" i="16"/>
  <c r="F208" i="16"/>
  <c r="F224" i="16"/>
  <c r="F232" i="16"/>
  <c r="F238" i="16"/>
  <c r="F254" i="16"/>
  <c r="F274" i="16"/>
  <c r="F278" i="16"/>
  <c r="F306" i="16"/>
  <c r="F310" i="16"/>
  <c r="F15" i="16"/>
  <c r="F33" i="16"/>
  <c r="F47" i="16"/>
  <c r="F65" i="16"/>
  <c r="F71" i="16"/>
  <c r="F83" i="16"/>
  <c r="F99" i="16"/>
  <c r="F103" i="16"/>
  <c r="F111" i="16"/>
  <c r="F125" i="16"/>
  <c r="F151" i="16"/>
  <c r="F179" i="16"/>
  <c r="F189" i="16"/>
  <c r="F193" i="16"/>
  <c r="F203" i="16"/>
  <c r="F334" i="16"/>
  <c r="F340" i="16"/>
  <c r="F64" i="16"/>
  <c r="F76" i="16"/>
  <c r="F104" i="16"/>
  <c r="F120" i="16"/>
  <c r="F138" i="16"/>
  <c r="F146" i="16"/>
  <c r="F154" i="16"/>
  <c r="F172" i="16"/>
  <c r="F178" i="16"/>
  <c r="F188" i="16"/>
  <c r="F204" i="16"/>
  <c r="F210" i="16"/>
  <c r="F216" i="16"/>
  <c r="F236" i="16"/>
  <c r="F240" i="16"/>
  <c r="F244" i="16"/>
  <c r="F258" i="16"/>
  <c r="F266" i="16"/>
  <c r="F272" i="16"/>
  <c r="F284" i="16"/>
  <c r="F294" i="16"/>
  <c r="F302" i="16"/>
  <c r="F308" i="16"/>
  <c r="F17" i="16"/>
  <c r="F45" i="16"/>
  <c r="F57" i="16"/>
  <c r="F63" i="16"/>
  <c r="F69" i="16"/>
  <c r="F75" i="16"/>
  <c r="F79" i="16"/>
  <c r="F101" i="16"/>
  <c r="F109" i="16"/>
  <c r="F123" i="16"/>
  <c r="F129" i="16"/>
  <c r="F141" i="16"/>
  <c r="F157" i="16"/>
  <c r="F187" i="16"/>
  <c r="F197" i="16"/>
  <c r="F205" i="16"/>
  <c r="F213" i="16"/>
  <c r="F285" i="16"/>
  <c r="F312" i="16"/>
  <c r="F324" i="16"/>
  <c r="F332" i="16"/>
  <c r="F336" i="16"/>
  <c r="F350" i="16"/>
  <c r="F283" i="16"/>
  <c r="D50" i="8"/>
  <c r="G3" i="16"/>
  <c r="J9" i="8" s="1"/>
  <c r="I3" i="16"/>
  <c r="P8" i="16"/>
  <c r="AF11" i="16"/>
  <c r="F3" i="16"/>
  <c r="H3" i="16"/>
  <c r="J11" i="8" s="1"/>
  <c r="F352" i="16"/>
  <c r="F348" i="16"/>
  <c r="F346" i="16"/>
  <c r="F344" i="16"/>
  <c r="F328" i="16"/>
  <c r="F326" i="16"/>
  <c r="F322" i="16"/>
  <c r="F320" i="16"/>
  <c r="F304" i="16"/>
  <c r="F300" i="16"/>
  <c r="F298" i="16"/>
  <c r="F296" i="16"/>
  <c r="F290" i="16"/>
  <c r="F288" i="16"/>
  <c r="F286" i="16"/>
  <c r="F282" i="16"/>
  <c r="F276" i="16"/>
  <c r="F270" i="16"/>
  <c r="F264" i="16"/>
  <c r="F260" i="16"/>
  <c r="F256" i="16"/>
  <c r="F252" i="16"/>
  <c r="F248" i="16"/>
  <c r="F246" i="16"/>
  <c r="F242" i="16"/>
  <c r="F234" i="16"/>
  <c r="F226" i="16"/>
  <c r="F222" i="16"/>
  <c r="F220" i="16"/>
  <c r="F214" i="16"/>
  <c r="F212" i="16"/>
  <c r="F202" i="16"/>
  <c r="F259" i="16"/>
  <c r="F253" i="16"/>
  <c r="F245" i="16"/>
  <c r="F237" i="16"/>
  <c r="F221" i="16"/>
  <c r="F217" i="16"/>
  <c r="F198" i="16"/>
  <c r="F196" i="16"/>
  <c r="F190" i="16"/>
  <c r="F186" i="16"/>
  <c r="F184" i="16"/>
  <c r="F180" i="16"/>
  <c r="F176" i="16"/>
  <c r="F170" i="16"/>
  <c r="F168" i="16"/>
  <c r="F164" i="16"/>
  <c r="F162" i="16"/>
  <c r="F160" i="16"/>
  <c r="F158" i="16"/>
  <c r="F152" i="16"/>
  <c r="F150" i="16"/>
  <c r="F142" i="16"/>
  <c r="F136" i="16"/>
  <c r="F130" i="16"/>
  <c r="F128" i="16"/>
  <c r="F124" i="16"/>
  <c r="F201" i="16"/>
  <c r="F199" i="16"/>
  <c r="F185" i="16"/>
  <c r="F181" i="16"/>
  <c r="F177" i="16"/>
  <c r="F175" i="16"/>
  <c r="F173" i="16"/>
  <c r="F171" i="16"/>
  <c r="F169" i="16"/>
  <c r="F167" i="16"/>
  <c r="F165" i="16"/>
  <c r="F163" i="16"/>
  <c r="F161" i="16"/>
  <c r="F155" i="16"/>
  <c r="F153" i="16"/>
  <c r="F149" i="16"/>
  <c r="F147" i="16"/>
  <c r="F145"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1" i="16"/>
  <c r="F46" i="16"/>
  <c r="F48" i="16"/>
  <c r="F50" i="16"/>
  <c r="F51" i="16"/>
  <c r="F52" i="16"/>
  <c r="F53" i="16"/>
  <c r="F55" i="16"/>
  <c r="F56" i="16"/>
  <c r="F59" i="16"/>
  <c r="F60" i="16"/>
  <c r="F68" i="16"/>
  <c r="F70" i="16"/>
  <c r="F72" i="16"/>
  <c r="F73" i="16"/>
  <c r="F81" i="16"/>
  <c r="F84" i="16"/>
  <c r="F85" i="16"/>
  <c r="F86" i="16"/>
  <c r="F91" i="16"/>
  <c r="F92" i="16"/>
  <c r="F93" i="16"/>
  <c r="F95" i="16"/>
  <c r="F98" i="16"/>
  <c r="F100" i="16"/>
  <c r="F102" i="16"/>
  <c r="F107" i="16"/>
  <c r="F108" i="16"/>
  <c r="F112" i="16"/>
  <c r="F113" i="16"/>
  <c r="F115" i="16"/>
  <c r="F116" i="16"/>
  <c r="F117" i="16"/>
  <c r="F119" i="16"/>
  <c r="H183" i="16" l="1"/>
  <c r="F207" i="16"/>
  <c r="H247" i="16"/>
  <c r="F269" i="16"/>
  <c r="F271" i="16"/>
  <c r="H257" i="16"/>
  <c r="H335" i="16"/>
  <c r="H317" i="16"/>
  <c r="F341" i="16"/>
  <c r="H249" i="16"/>
  <c r="H11" i="16"/>
  <c r="F277" i="16"/>
  <c r="H265" i="16"/>
  <c r="H313" i="16"/>
  <c r="H361" i="16"/>
  <c r="H289" i="16"/>
  <c r="H273" i="16"/>
  <c r="H297" i="16"/>
  <c r="H353" i="16"/>
  <c r="H305" i="16"/>
  <c r="F339" i="16"/>
  <c r="F333" i="16"/>
  <c r="F295"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4"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Y11" i="16" s="1"/>
  <c r="T11" i="16"/>
  <c r="S11" i="16"/>
  <c r="AP12" i="16"/>
  <c r="X12" i="16"/>
  <c r="Y12" i="16" s="1"/>
  <c r="M12" i="16"/>
  <c r="N12" i="16" s="1"/>
  <c r="T12" i="16"/>
  <c r="AI12" i="16"/>
  <c r="S12" i="16"/>
  <c r="AA12" i="16"/>
  <c r="L13" i="16"/>
  <c r="X13" i="16" s="1"/>
  <c r="O101" i="8" l="1"/>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T13" i="16"/>
  <c r="AI13" i="16"/>
  <c r="S13" i="16"/>
  <c r="AA13" i="16"/>
  <c r="N13" i="16" l="1"/>
  <c r="Y13" i="16"/>
  <c r="O108" i="8"/>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Y18" i="16" l="1"/>
  <c r="U18" i="16"/>
  <c r="AB18" i="16"/>
  <c r="AJ18" i="16"/>
  <c r="AQ18" i="16"/>
  <c r="AI19" i="16"/>
  <c r="AP19" i="16"/>
  <c r="X19" i="16"/>
  <c r="M19" i="16"/>
  <c r="T19" i="16"/>
  <c r="S19" i="16"/>
  <c r="AA19" i="16"/>
  <c r="L20" i="16"/>
  <c r="N19" i="16" l="1"/>
  <c r="Y19" i="16"/>
  <c r="AQ19" i="16"/>
  <c r="AB19" i="16"/>
  <c r="U19" i="16"/>
  <c r="AJ19" i="16"/>
  <c r="AI20" i="16"/>
  <c r="S20" i="16"/>
  <c r="AA20" i="16"/>
  <c r="AP20" i="16"/>
  <c r="X20" i="16"/>
  <c r="M20" i="16"/>
  <c r="N20" i="16" s="1"/>
  <c r="T20" i="16"/>
  <c r="L21" i="16"/>
  <c r="Y20" i="16" l="1"/>
  <c r="U20" i="16"/>
  <c r="AB20" i="16"/>
  <c r="AQ20" i="16"/>
  <c r="AJ20" i="16"/>
  <c r="AP21" i="16"/>
  <c r="X21" i="16"/>
  <c r="Y21" i="16" s="1"/>
  <c r="M21" i="16"/>
  <c r="N21" i="16" s="1"/>
  <c r="T21" i="16"/>
  <c r="AI21" i="16"/>
  <c r="S21" i="16"/>
  <c r="AA21" i="16"/>
  <c r="L22" i="16"/>
  <c r="AB21" i="16" l="1"/>
  <c r="U21" i="16"/>
  <c r="AJ21" i="16"/>
  <c r="AQ21" i="16"/>
  <c r="AP22" i="16"/>
  <c r="X22" i="16"/>
  <c r="M22" i="16"/>
  <c r="T22" i="16"/>
  <c r="AI22" i="16"/>
  <c r="S22" i="16"/>
  <c r="AA22" i="16"/>
  <c r="L23" i="16"/>
  <c r="N22" i="16" l="1"/>
  <c r="Y22" i="16"/>
  <c r="AB22" i="16"/>
  <c r="U22" i="16"/>
  <c r="AQ22" i="16"/>
  <c r="AJ22" i="16"/>
  <c r="AI23" i="16"/>
  <c r="S23" i="16"/>
  <c r="AA23" i="16"/>
  <c r="AP23" i="16"/>
  <c r="X23" i="16"/>
  <c r="M23" i="16"/>
  <c r="T23" i="16"/>
  <c r="L24" i="16"/>
  <c r="N23" i="16" l="1"/>
  <c r="Y23" i="16"/>
  <c r="U23" i="16"/>
  <c r="AB23" i="16"/>
  <c r="AJ23" i="16"/>
  <c r="AQ23" i="16"/>
  <c r="AI24" i="16"/>
  <c r="S24" i="16"/>
  <c r="AA24" i="16"/>
  <c r="AP24" i="16"/>
  <c r="X24" i="16"/>
  <c r="M24" i="16"/>
  <c r="T24" i="16"/>
  <c r="L25" i="16"/>
  <c r="N24" i="16" l="1"/>
  <c r="Y24" i="16"/>
  <c r="U24" i="16"/>
  <c r="AQ24" i="16"/>
  <c r="AB24" i="16"/>
  <c r="AJ24" i="16"/>
  <c r="AI25" i="16"/>
  <c r="S25" i="16"/>
  <c r="AA25" i="16"/>
  <c r="AP25" i="16"/>
  <c r="M25" i="16"/>
  <c r="N25" i="16" s="1"/>
  <c r="X25" i="16"/>
  <c r="T25" i="16"/>
  <c r="L26" i="16"/>
  <c r="Y25" i="16" l="1"/>
  <c r="AB25" i="16"/>
  <c r="AQ25" i="16"/>
  <c r="U25" i="16"/>
  <c r="AJ25" i="16"/>
  <c r="AP26" i="16"/>
  <c r="X26" i="16"/>
  <c r="Y26" i="16" s="1"/>
  <c r="M26" i="16"/>
  <c r="N26" i="16" s="1"/>
  <c r="T26" i="16"/>
  <c r="AI26" i="16"/>
  <c r="S26" i="16"/>
  <c r="AA26" i="16"/>
  <c r="L27" i="16"/>
  <c r="AQ26" i="16" l="1"/>
  <c r="AB26" i="16"/>
  <c r="AJ26" i="16"/>
  <c r="U26" i="16"/>
  <c r="AP27" i="16"/>
  <c r="X27" i="16"/>
  <c r="M27" i="16"/>
  <c r="T27" i="16"/>
  <c r="AI27" i="16"/>
  <c r="S27" i="16"/>
  <c r="AA27" i="16"/>
  <c r="L28" i="16"/>
  <c r="N27" i="16" l="1"/>
  <c r="Y27" i="16"/>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T31" i="16"/>
  <c r="AI31" i="16"/>
  <c r="S31" i="16"/>
  <c r="AA31" i="16"/>
  <c r="N31" i="16" l="1"/>
  <c r="Y31" i="16"/>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T33" i="16"/>
  <c r="N33" i="16" l="1"/>
  <c r="Y33" i="16"/>
  <c r="AQ33" i="16"/>
  <c r="U33" i="16"/>
  <c r="AB33" i="16"/>
  <c r="AJ33" i="16"/>
  <c r="T34" i="16"/>
  <c r="M34" i="16"/>
  <c r="X34" i="16"/>
  <c r="AA34" i="16"/>
  <c r="AI34" i="16"/>
  <c r="AP34" i="16"/>
  <c r="S34" i="16"/>
  <c r="L35" i="16"/>
  <c r="N34" i="16" l="1"/>
  <c r="Y34" i="16"/>
  <c r="AB34" i="16"/>
  <c r="AQ34" i="16"/>
  <c r="AJ34" i="16"/>
  <c r="U34" i="16"/>
  <c r="AI35" i="16"/>
  <c r="T35" i="16"/>
  <c r="S35" i="16"/>
  <c r="AP35" i="16"/>
  <c r="AA35" i="16"/>
  <c r="X35" i="16"/>
  <c r="M35" i="16"/>
  <c r="L36" i="16"/>
  <c r="N35" i="16" l="1"/>
  <c r="Y35" i="16"/>
  <c r="AQ35" i="16"/>
  <c r="AB35" i="16"/>
  <c r="U35" i="16"/>
  <c r="AJ35" i="16"/>
  <c r="L37" i="16"/>
  <c r="X36" i="16"/>
  <c r="Y36" i="16" s="1"/>
  <c r="M36" i="16"/>
  <c r="N36" i="16" s="1"/>
  <c r="AI36" i="16"/>
  <c r="T36" i="16"/>
  <c r="S36" i="16"/>
  <c r="AP36" i="16"/>
  <c r="AA36" i="16"/>
  <c r="AQ36" i="16" l="1"/>
  <c r="U36" i="16"/>
  <c r="AB36" i="16"/>
  <c r="AJ36" i="16"/>
  <c r="AI37" i="16"/>
  <c r="T37" i="16"/>
  <c r="S37" i="16"/>
  <c r="AA37" i="16"/>
  <c r="X37" i="16"/>
  <c r="M37" i="16"/>
  <c r="N37" i="16" s="1"/>
  <c r="AP37" i="16"/>
  <c r="L38" i="16"/>
  <c r="Y37" i="16" l="1"/>
  <c r="AQ37" i="16"/>
  <c r="U37" i="16"/>
  <c r="AB37" i="16"/>
  <c r="AJ37" i="16"/>
  <c r="L39" i="16"/>
  <c r="S38" i="16"/>
  <c r="AP38" i="16"/>
  <c r="AA38" i="16"/>
  <c r="X38" i="16"/>
  <c r="M38" i="16"/>
  <c r="AI38" i="16"/>
  <c r="T38" i="16"/>
  <c r="N38" i="16" l="1"/>
  <c r="Y38" i="16"/>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Y42" i="16" s="1"/>
  <c r="M42" i="16"/>
  <c r="N42" i="16" s="1"/>
  <c r="AI42" i="16"/>
  <c r="T42" i="16"/>
  <c r="AP42" i="16"/>
  <c r="AA42" i="16"/>
  <c r="U42" i="16" l="1"/>
  <c r="AB42" i="16"/>
  <c r="AQ42" i="16"/>
  <c r="AJ42" i="16"/>
  <c r="AI43" i="16"/>
  <c r="T43" i="16"/>
  <c r="S43" i="16"/>
  <c r="AP43" i="16"/>
  <c r="AA43" i="16"/>
  <c r="X43" i="16"/>
  <c r="M43" i="16"/>
  <c r="L44" i="16"/>
  <c r="N43" i="16" l="1"/>
  <c r="Y43" i="16"/>
  <c r="AQ43" i="16"/>
  <c r="AB43" i="16"/>
  <c r="U43" i="16"/>
  <c r="AJ43" i="16"/>
  <c r="L45" i="16"/>
  <c r="S44" i="16"/>
  <c r="AP44" i="16"/>
  <c r="AA44" i="16"/>
  <c r="X44" i="16"/>
  <c r="M44" i="16"/>
  <c r="AI44" i="16"/>
  <c r="T44" i="16"/>
  <c r="N44" i="16" l="1"/>
  <c r="Y44" i="16"/>
  <c r="U44" i="16"/>
  <c r="AQ44" i="16"/>
  <c r="AJ44" i="16"/>
  <c r="AB44" i="16"/>
  <c r="L46" i="16"/>
  <c r="AI45" i="16"/>
  <c r="T45" i="16"/>
  <c r="S45" i="16"/>
  <c r="AP45" i="16"/>
  <c r="X45" i="16"/>
  <c r="M45" i="16"/>
  <c r="N45" i="16" s="1"/>
  <c r="AA45" i="16"/>
  <c r="Y45" i="16" l="1"/>
  <c r="AQ45" i="16"/>
  <c r="U45" i="16"/>
  <c r="AB45" i="16"/>
  <c r="AJ45" i="16"/>
  <c r="X46" i="16"/>
  <c r="M46" i="16"/>
  <c r="AI46" i="16"/>
  <c r="T46" i="16"/>
  <c r="S46" i="16"/>
  <c r="AP46" i="16"/>
  <c r="AA46" i="16"/>
  <c r="L47" i="16"/>
  <c r="N46" i="16" l="1"/>
  <c r="Y46" i="16"/>
  <c r="U46" i="16"/>
  <c r="AB46" i="16"/>
  <c r="AQ46" i="16"/>
  <c r="AJ46" i="16"/>
  <c r="AP47" i="16"/>
  <c r="AA47" i="16"/>
  <c r="X47" i="16"/>
  <c r="M47" i="16"/>
  <c r="AI47" i="16"/>
  <c r="T47" i="16"/>
  <c r="S47" i="16"/>
  <c r="L48" i="16"/>
  <c r="N47" i="16" l="1"/>
  <c r="Y47" i="16"/>
  <c r="AQ47" i="16"/>
  <c r="U47" i="16"/>
  <c r="AJ47" i="16"/>
  <c r="AB47" i="16"/>
  <c r="S48" i="16"/>
  <c r="AP48" i="16"/>
  <c r="AA48" i="16"/>
  <c r="X48" i="16"/>
  <c r="M48" i="16"/>
  <c r="AI48" i="16"/>
  <c r="T48" i="16"/>
  <c r="L49" i="16"/>
  <c r="N48" i="16" l="1"/>
  <c r="Y48" i="16"/>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AI60" i="16"/>
  <c r="T60" i="16"/>
  <c r="L61" i="16"/>
  <c r="N60" i="16" l="1"/>
  <c r="Y60" i="16"/>
  <c r="U60" i="16"/>
  <c r="AQ60" i="16"/>
  <c r="AJ60" i="16"/>
  <c r="AB60" i="16"/>
  <c r="AA61" i="16"/>
  <c r="AI61" i="16"/>
  <c r="T61" i="16"/>
  <c r="S61" i="16"/>
  <c r="AP61" i="16"/>
  <c r="X61" i="16"/>
  <c r="M61" i="16"/>
  <c r="N61" i="16" s="1"/>
  <c r="L62" i="16"/>
  <c r="Y61" i="16" l="1"/>
  <c r="AQ61" i="16"/>
  <c r="AB61" i="16"/>
  <c r="U61" i="16"/>
  <c r="AJ61" i="16"/>
  <c r="L63" i="16"/>
  <c r="X62" i="16"/>
  <c r="M62" i="16"/>
  <c r="AI62" i="16"/>
  <c r="T62" i="16"/>
  <c r="S62" i="16"/>
  <c r="AP62" i="16"/>
  <c r="AA62" i="16"/>
  <c r="N62" i="16" l="1"/>
  <c r="Y62" i="16"/>
  <c r="U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Y66" i="16" s="1"/>
  <c r="M66" i="16"/>
  <c r="N66" i="16" s="1"/>
  <c r="AI66" i="16"/>
  <c r="T66" i="16"/>
  <c r="AJ66" i="16" l="1"/>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Y68" i="16" l="1"/>
  <c r="U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M72" i="16"/>
  <c r="N72" i="16" s="1"/>
  <c r="AI72" i="16"/>
  <c r="T72" i="16"/>
  <c r="S72" i="16"/>
  <c r="AP72" i="16"/>
  <c r="AA72" i="16"/>
  <c r="AJ72" i="16" l="1"/>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Y76" i="16" s="1"/>
  <c r="M76" i="16"/>
  <c r="N76" i="16" s="1"/>
  <c r="AI76" i="16"/>
  <c r="T76" i="16"/>
  <c r="S76" i="16"/>
  <c r="AP76" i="16"/>
  <c r="AA76" i="16"/>
  <c r="L77" i="16"/>
  <c r="AQ76" i="16" l="1"/>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AJ80" i="16" s="1"/>
  <c r="T80" i="16"/>
  <c r="S80" i="16"/>
  <c r="AP80" i="16"/>
  <c r="AA80" i="16"/>
  <c r="L81" i="16"/>
  <c r="U80" i="16" l="1"/>
  <c r="Y80" i="16"/>
  <c r="Z80" i="16" s="1"/>
  <c r="AK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Y84" i="16" l="1"/>
  <c r="U84" i="16"/>
  <c r="AJ84" i="16"/>
  <c r="AB84" i="16"/>
  <c r="AQ84" i="16"/>
  <c r="L86" i="16"/>
  <c r="AP85" i="16"/>
  <c r="AA85" i="16"/>
  <c r="S85" i="16"/>
  <c r="AI85" i="16"/>
  <c r="T85" i="16"/>
  <c r="X85" i="16"/>
  <c r="M85" i="16"/>
  <c r="N85" i="16" s="1"/>
  <c r="Y85" i="16" l="1"/>
  <c r="U85" i="16"/>
  <c r="AJ85" i="16"/>
  <c r="AB85" i="16"/>
  <c r="AQ85" i="16"/>
  <c r="X86" i="16"/>
  <c r="M86" i="16"/>
  <c r="N86" i="16" s="1"/>
  <c r="AI86" i="16"/>
  <c r="T86" i="16"/>
  <c r="S86" i="16"/>
  <c r="AP86" i="16"/>
  <c r="AA86" i="16"/>
  <c r="L87" i="16"/>
  <c r="Y86" i="16" l="1"/>
  <c r="AJ86" i="16"/>
  <c r="AQ86" i="16"/>
  <c r="U86" i="16"/>
  <c r="AB86" i="16"/>
  <c r="AP87" i="16"/>
  <c r="AA87" i="16"/>
  <c r="S87" i="16"/>
  <c r="AI87" i="16"/>
  <c r="T87" i="16"/>
  <c r="X87" i="16"/>
  <c r="Y87" i="16" s="1"/>
  <c r="M87" i="16"/>
  <c r="N87" i="16" s="1"/>
  <c r="L88" i="16"/>
  <c r="AJ87" i="16" l="1"/>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L90" i="16"/>
  <c r="Y89" i="16" l="1"/>
  <c r="AJ89" i="16"/>
  <c r="AB89" i="16"/>
  <c r="AQ89" i="16"/>
  <c r="U89" i="16"/>
  <c r="X90" i="16"/>
  <c r="Y90" i="16" s="1"/>
  <c r="M90" i="16"/>
  <c r="N90" i="16" s="1"/>
  <c r="AI90" i="16"/>
  <c r="T90" i="16"/>
  <c r="S90" i="16"/>
  <c r="AP90" i="16"/>
  <c r="AA90" i="16"/>
  <c r="L91" i="16"/>
  <c r="U90" i="16" l="1"/>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T93" i="16"/>
  <c r="X93" i="16"/>
  <c r="Y93" i="16" s="1"/>
  <c r="M93" i="16"/>
  <c r="N93" i="16" s="1"/>
  <c r="L94" i="16"/>
  <c r="AJ93" i="16" l="1"/>
  <c r="AQ93" i="16"/>
  <c r="AB93" i="16"/>
  <c r="U93" i="16"/>
  <c r="X94" i="16"/>
  <c r="M94" i="16"/>
  <c r="N94" i="16" s="1"/>
  <c r="AI94" i="16"/>
  <c r="T94" i="16"/>
  <c r="S94" i="16"/>
  <c r="AP94" i="16"/>
  <c r="AA94" i="16"/>
  <c r="L95" i="16"/>
  <c r="AJ94" i="16" l="1"/>
  <c r="Y94" i="16"/>
  <c r="U94" i="16"/>
  <c r="AB94" i="16"/>
  <c r="AQ94" i="16"/>
  <c r="AP95" i="16"/>
  <c r="AA95" i="16"/>
  <c r="S95" i="16"/>
  <c r="AI95" i="16"/>
  <c r="AJ95" i="16" s="1"/>
  <c r="T95" i="16"/>
  <c r="X95" i="16"/>
  <c r="M95" i="16"/>
  <c r="N95" i="16" s="1"/>
  <c r="L96" i="16"/>
  <c r="Y95" i="16" l="1"/>
  <c r="AQ95" i="16"/>
  <c r="AB95" i="16"/>
  <c r="U95" i="16"/>
  <c r="X96" i="16"/>
  <c r="Y96" i="16" s="1"/>
  <c r="M96" i="16"/>
  <c r="N96" i="16" s="1"/>
  <c r="AI96" i="16"/>
  <c r="T96" i="16"/>
  <c r="S96" i="16"/>
  <c r="AP96" i="16"/>
  <c r="AA96" i="16"/>
  <c r="L97" i="16"/>
  <c r="AJ96" i="16" l="1"/>
  <c r="AQ96" i="16"/>
  <c r="AB96" i="16"/>
  <c r="U96" i="16"/>
  <c r="AP97" i="16"/>
  <c r="AA97" i="16"/>
  <c r="S97" i="16"/>
  <c r="AI97" i="16"/>
  <c r="T97" i="16"/>
  <c r="X97" i="16"/>
  <c r="Y97" i="16" s="1"/>
  <c r="M97" i="16"/>
  <c r="N97" i="16" s="1"/>
  <c r="L98" i="16"/>
  <c r="AJ97" i="16" l="1"/>
  <c r="AQ97" i="16"/>
  <c r="AB97" i="16"/>
  <c r="U97" i="16"/>
  <c r="X98" i="16"/>
  <c r="Y98" i="16" s="1"/>
  <c r="M98" i="16"/>
  <c r="N98" i="16" s="1"/>
  <c r="AI98" i="16"/>
  <c r="AJ98" i="16" s="1"/>
  <c r="AK98" i="16" s="1"/>
  <c r="T98" i="16"/>
  <c r="S98" i="16"/>
  <c r="AP98" i="16"/>
  <c r="AA98" i="16"/>
  <c r="L99" i="16"/>
  <c r="U98" i="16" l="1"/>
  <c r="AB98" i="16"/>
  <c r="AQ98" i="16"/>
  <c r="AP99" i="16"/>
  <c r="AA99" i="16"/>
  <c r="S99" i="16"/>
  <c r="AI99" i="16"/>
  <c r="T99" i="16"/>
  <c r="X99" i="16"/>
  <c r="M99" i="16"/>
  <c r="N99" i="16" s="1"/>
  <c r="L100" i="16"/>
  <c r="Y99" i="16" l="1"/>
  <c r="AJ99" i="16"/>
  <c r="AQ99" i="16"/>
  <c r="U99" i="16"/>
  <c r="AB99" i="16"/>
  <c r="X100" i="16"/>
  <c r="Y100" i="16" s="1"/>
  <c r="M100" i="16"/>
  <c r="N100" i="16" s="1"/>
  <c r="AI100" i="16"/>
  <c r="T100" i="16"/>
  <c r="S100" i="16"/>
  <c r="AP100" i="16"/>
  <c r="AA100" i="16"/>
  <c r="L101" i="16"/>
  <c r="AJ100" i="16" l="1"/>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Y105" i="16" s="1"/>
  <c r="M105" i="16"/>
  <c r="N105" i="16" s="1"/>
  <c r="L106" i="16"/>
  <c r="AJ105" i="16" l="1"/>
  <c r="AQ105" i="16"/>
  <c r="U105" i="16"/>
  <c r="AB105" i="16"/>
  <c r="X106" i="16"/>
  <c r="Y106" i="16" s="1"/>
  <c r="M106" i="16"/>
  <c r="N106" i="16" s="1"/>
  <c r="AI106" i="16"/>
  <c r="T106" i="16"/>
  <c r="S106" i="16"/>
  <c r="AP106" i="16"/>
  <c r="AA106" i="16"/>
  <c r="L107" i="16"/>
  <c r="AQ106" i="16" l="1"/>
  <c r="AJ106" i="16"/>
  <c r="U106" i="16"/>
  <c r="AB106" i="16"/>
  <c r="AP107" i="16"/>
  <c r="AA107" i="16"/>
  <c r="S107" i="16"/>
  <c r="AI107" i="16"/>
  <c r="T107" i="16"/>
  <c r="X107" i="16"/>
  <c r="M107" i="16"/>
  <c r="N107" i="16" s="1"/>
  <c r="L108" i="16"/>
  <c r="Y107" i="16" l="1"/>
  <c r="AJ107" i="16"/>
  <c r="AQ107" i="16"/>
  <c r="AB107" i="16"/>
  <c r="U107" i="16"/>
  <c r="X108" i="16"/>
  <c r="M108" i="16"/>
  <c r="N108" i="16" s="1"/>
  <c r="AI108" i="16"/>
  <c r="T108" i="16"/>
  <c r="S108" i="16"/>
  <c r="AP108" i="16"/>
  <c r="AA108" i="16"/>
  <c r="L109" i="16"/>
  <c r="Y108" i="16" l="1"/>
  <c r="AJ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Y112" i="16" l="1"/>
  <c r="AQ112" i="16"/>
  <c r="U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Y119" i="16" l="1"/>
  <c r="AJ119" i="16"/>
  <c r="AQ119" i="16"/>
  <c r="AB119" i="16"/>
  <c r="U119" i="16"/>
  <c r="L121" i="16"/>
  <c r="AP120" i="16"/>
  <c r="AA120" i="16"/>
  <c r="S120" i="16"/>
  <c r="AI120" i="16"/>
  <c r="T120" i="16"/>
  <c r="X120" i="16"/>
  <c r="Y120" i="16" s="1"/>
  <c r="M120" i="16"/>
  <c r="N120" i="16" s="1"/>
  <c r="AJ120" i="16" l="1"/>
  <c r="AQ120" i="16"/>
  <c r="U120" i="16"/>
  <c r="AB120" i="16"/>
  <c r="X121" i="16"/>
  <c r="Y121" i="16" s="1"/>
  <c r="M121" i="16"/>
  <c r="N121" i="16" s="1"/>
  <c r="T121" i="16"/>
  <c r="AA121" i="16"/>
  <c r="S121" i="16"/>
  <c r="AP121" i="16"/>
  <c r="AI121" i="16"/>
  <c r="L122" i="16"/>
  <c r="AJ121" i="16" l="1"/>
  <c r="AQ121" i="16"/>
  <c r="AB121" i="16"/>
  <c r="U121" i="16"/>
  <c r="L123" i="16"/>
  <c r="AI122" i="16"/>
  <c r="T122" i="16"/>
  <c r="X122" i="16"/>
  <c r="M122" i="16"/>
  <c r="N122" i="16" s="1"/>
  <c r="AP122" i="16"/>
  <c r="AA122" i="16"/>
  <c r="S122" i="16"/>
  <c r="Y122" i="16" l="1"/>
  <c r="AB122" i="16"/>
  <c r="AJ122" i="16"/>
  <c r="AQ122" i="16"/>
  <c r="U122" i="16"/>
  <c r="L124" i="16"/>
  <c r="X123" i="16"/>
  <c r="Y123" i="16" s="1"/>
  <c r="M123" i="16"/>
  <c r="N123" i="16" s="1"/>
  <c r="T123" i="16"/>
  <c r="AA123" i="16"/>
  <c r="S123" i="16"/>
  <c r="AP123" i="16"/>
  <c r="AI123" i="16"/>
  <c r="AJ123" i="16" l="1"/>
  <c r="AQ123" i="16"/>
  <c r="AB123" i="16"/>
  <c r="U123" i="16"/>
  <c r="AI124" i="16"/>
  <c r="T124" i="16"/>
  <c r="X124" i="16"/>
  <c r="M124" i="16"/>
  <c r="N124" i="16" s="1"/>
  <c r="AP124" i="16"/>
  <c r="AA124" i="16"/>
  <c r="S124" i="16"/>
  <c r="L125" i="16"/>
  <c r="Y124" i="16" l="1"/>
  <c r="AJ124" i="16"/>
  <c r="AQ124" i="16"/>
  <c r="AB124" i="16"/>
  <c r="U124" i="16"/>
  <c r="L126" i="16"/>
  <c r="X125" i="16"/>
  <c r="Y125" i="16" s="1"/>
  <c r="M125" i="16"/>
  <c r="N125" i="16" s="1"/>
  <c r="AI125" i="16"/>
  <c r="T125" i="16"/>
  <c r="S125" i="16"/>
  <c r="AP125" i="16"/>
  <c r="AA125" i="16"/>
  <c r="AQ125" i="16" l="1"/>
  <c r="U125" i="16"/>
  <c r="AB125" i="16"/>
  <c r="AJ125" i="16"/>
  <c r="AI126" i="16"/>
  <c r="T126" i="16"/>
  <c r="X126" i="16"/>
  <c r="Y126" i="16" s="1"/>
  <c r="M126" i="16"/>
  <c r="N126" i="16" s="1"/>
  <c r="AP126" i="16"/>
  <c r="AA126" i="16"/>
  <c r="S126" i="16"/>
  <c r="L127" i="16"/>
  <c r="AQ126" i="16" l="1"/>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Y128" i="16" s="1"/>
  <c r="M128" i="16"/>
  <c r="N128" i="16" s="1"/>
  <c r="L129" i="16"/>
  <c r="AJ128" i="16" l="1"/>
  <c r="AQ128" i="16"/>
  <c r="AB128" i="16"/>
  <c r="U128" i="16"/>
  <c r="X129" i="16"/>
  <c r="Y129" i="16" s="1"/>
  <c r="M129" i="16"/>
  <c r="N129" i="16" s="1"/>
  <c r="AI129" i="16"/>
  <c r="T129" i="16"/>
  <c r="S129" i="16"/>
  <c r="AP129" i="16"/>
  <c r="AA129" i="16"/>
  <c r="L130" i="16"/>
  <c r="AJ129" i="16" l="1"/>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Y132" i="16" l="1"/>
  <c r="AJ132" i="16"/>
  <c r="U132" i="16"/>
  <c r="AQ132" i="16"/>
  <c r="AB132" i="16"/>
  <c r="X133" i="16"/>
  <c r="Y133" i="16" s="1"/>
  <c r="M133" i="16"/>
  <c r="N133" i="16" s="1"/>
  <c r="AI133" i="16"/>
  <c r="T133" i="16"/>
  <c r="S133" i="16"/>
  <c r="AP133" i="16"/>
  <c r="AA133" i="16"/>
  <c r="L134" i="16"/>
  <c r="AJ133" i="16" l="1"/>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B137" i="16"/>
  <c r="U137" i="16"/>
  <c r="AP138" i="16"/>
  <c r="AA138" i="16"/>
  <c r="S138" i="16"/>
  <c r="AI138" i="16"/>
  <c r="T138" i="16"/>
  <c r="X138" i="16"/>
  <c r="Y138" i="16" s="1"/>
  <c r="M138" i="16"/>
  <c r="N138" i="16" s="1"/>
  <c r="L139" i="16"/>
  <c r="AJ138" i="16" l="1"/>
  <c r="AQ138" i="16"/>
  <c r="U138" i="16"/>
  <c r="AB138" i="16"/>
  <c r="X139" i="16"/>
  <c r="Y139" i="16" s="1"/>
  <c r="M139" i="16"/>
  <c r="N139" i="16" s="1"/>
  <c r="AI139" i="16"/>
  <c r="T139" i="16"/>
  <c r="S139" i="16"/>
  <c r="AP139" i="16"/>
  <c r="AA139" i="16"/>
  <c r="L140" i="16"/>
  <c r="AJ139" i="16" l="1"/>
  <c r="AQ139" i="16"/>
  <c r="U139" i="16"/>
  <c r="AB139" i="16"/>
  <c r="AP140" i="16"/>
  <c r="AA140" i="16"/>
  <c r="S140" i="16"/>
  <c r="AI140" i="16"/>
  <c r="T140" i="16"/>
  <c r="X140" i="16"/>
  <c r="M140" i="16"/>
  <c r="N140" i="16" s="1"/>
  <c r="L141" i="16"/>
  <c r="Y140" i="16" l="1"/>
  <c r="AJ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Y144" i="16" s="1"/>
  <c r="M144" i="16"/>
  <c r="N144" i="16" s="1"/>
  <c r="L145" i="16"/>
  <c r="AJ144" i="16" l="1"/>
  <c r="U144" i="16"/>
  <c r="AB144" i="16"/>
  <c r="AQ144" i="16"/>
  <c r="X145" i="16"/>
  <c r="M145" i="16"/>
  <c r="N145" i="16" s="1"/>
  <c r="AI145" i="16"/>
  <c r="T145" i="16"/>
  <c r="S145" i="16"/>
  <c r="AP145" i="16"/>
  <c r="AA145" i="16"/>
  <c r="L146" i="16"/>
  <c r="Y145" i="16" l="1"/>
  <c r="U145" i="16"/>
  <c r="AJ145" i="16"/>
  <c r="AQ145" i="16"/>
  <c r="AB145" i="16"/>
  <c r="AP146" i="16"/>
  <c r="AA146" i="16"/>
  <c r="S146" i="16"/>
  <c r="AI146" i="16"/>
  <c r="T146" i="16"/>
  <c r="X146" i="16"/>
  <c r="Y146" i="16" s="1"/>
  <c r="M146" i="16"/>
  <c r="N146" i="16" s="1"/>
  <c r="L147" i="16"/>
  <c r="AJ146" i="16" l="1"/>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Y149" i="16" s="1"/>
  <c r="M149" i="16"/>
  <c r="N149" i="16" s="1"/>
  <c r="AI149" i="16"/>
  <c r="T149" i="16"/>
  <c r="S149" i="16"/>
  <c r="AP149" i="16"/>
  <c r="AA149" i="16"/>
  <c r="L150" i="16"/>
  <c r="U149" i="16" l="1"/>
  <c r="AJ149" i="16"/>
  <c r="AQ149" i="16"/>
  <c r="AB149" i="16"/>
  <c r="AP150" i="16"/>
  <c r="AA150" i="16"/>
  <c r="S150" i="16"/>
  <c r="AI150" i="16"/>
  <c r="T150" i="16"/>
  <c r="X150" i="16"/>
  <c r="Y150" i="16" s="1"/>
  <c r="M150" i="16"/>
  <c r="N150" i="16" s="1"/>
  <c r="L151" i="16"/>
  <c r="AJ150" i="16" l="1"/>
  <c r="AQ150" i="16"/>
  <c r="AB150" i="16"/>
  <c r="U150" i="16"/>
  <c r="X151" i="16"/>
  <c r="M151" i="16"/>
  <c r="N151" i="16" s="1"/>
  <c r="AI151" i="16"/>
  <c r="T151" i="16"/>
  <c r="S151" i="16"/>
  <c r="AP151" i="16"/>
  <c r="AA151" i="16"/>
  <c r="L152" i="16"/>
  <c r="Y151" i="16" l="1"/>
  <c r="AJ151" i="16"/>
  <c r="AQ151" i="16"/>
  <c r="U151" i="16"/>
  <c r="AB151" i="16"/>
  <c r="AP152" i="16"/>
  <c r="AA152" i="16"/>
  <c r="S152" i="16"/>
  <c r="AI152" i="16"/>
  <c r="T152" i="16"/>
  <c r="X152" i="16"/>
  <c r="M152" i="16"/>
  <c r="N152" i="16" s="1"/>
  <c r="L153" i="16"/>
  <c r="Y152" i="16" l="1"/>
  <c r="AJ152" i="16"/>
  <c r="U152" i="16"/>
  <c r="AB152" i="16"/>
  <c r="AQ152" i="16"/>
  <c r="X153" i="16"/>
  <c r="M153" i="16"/>
  <c r="N153" i="16" s="1"/>
  <c r="AI153" i="16"/>
  <c r="T153" i="16"/>
  <c r="S153" i="16"/>
  <c r="AP153" i="16"/>
  <c r="AA153" i="16"/>
  <c r="L154" i="16"/>
  <c r="Y153" i="16" l="1"/>
  <c r="U153" i="16"/>
  <c r="AJ153" i="16"/>
  <c r="AQ153" i="16"/>
  <c r="AB153" i="16"/>
  <c r="AP154" i="16"/>
  <c r="AA154" i="16"/>
  <c r="S154" i="16"/>
  <c r="AI154" i="16"/>
  <c r="T154" i="16"/>
  <c r="X154" i="16"/>
  <c r="M154" i="16"/>
  <c r="N154" i="16" s="1"/>
  <c r="L155" i="16"/>
  <c r="Y154" i="16" l="1"/>
  <c r="AJ154" i="16"/>
  <c r="AB154" i="16"/>
  <c r="AQ154" i="16"/>
  <c r="U154" i="16"/>
  <c r="X155" i="16"/>
  <c r="Y155" i="16" s="1"/>
  <c r="M155" i="16"/>
  <c r="N155" i="16" s="1"/>
  <c r="AI155" i="16"/>
  <c r="T155" i="16"/>
  <c r="S155" i="16"/>
  <c r="AP155" i="16"/>
  <c r="AA155" i="16"/>
  <c r="L156" i="16"/>
  <c r="AQ155" i="16" l="1"/>
  <c r="AB155" i="16"/>
  <c r="AJ155" i="16"/>
  <c r="U155" i="16"/>
  <c r="AP156" i="16"/>
  <c r="AA156" i="16"/>
  <c r="S156" i="16"/>
  <c r="AI156" i="16"/>
  <c r="T156" i="16"/>
  <c r="X156" i="16"/>
  <c r="Y156" i="16" s="1"/>
  <c r="M156" i="16"/>
  <c r="N156" i="16" s="1"/>
  <c r="L157" i="16"/>
  <c r="AJ156" i="16" l="1"/>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T165" i="16"/>
  <c r="S165" i="16"/>
  <c r="AP165" i="16"/>
  <c r="AA165" i="16"/>
  <c r="L166" i="16"/>
  <c r="Y165" i="16" l="1"/>
  <c r="AJ165" i="16"/>
  <c r="U165" i="16"/>
  <c r="AQ165" i="16"/>
  <c r="AB165" i="16"/>
  <c r="L167" i="16"/>
  <c r="AP166" i="16"/>
  <c r="AA166" i="16"/>
  <c r="S166" i="16"/>
  <c r="AI166" i="16"/>
  <c r="T166" i="16"/>
  <c r="X166" i="16"/>
  <c r="M166" i="16"/>
  <c r="N166" i="16" s="1"/>
  <c r="Y166" i="16" l="1"/>
  <c r="AJ166" i="16"/>
  <c r="U166" i="16"/>
  <c r="AB166" i="16"/>
  <c r="AQ166" i="16"/>
  <c r="L168" i="16"/>
  <c r="X167" i="16"/>
  <c r="Y167" i="16" s="1"/>
  <c r="M167" i="16"/>
  <c r="N167" i="16" s="1"/>
  <c r="AI167" i="16"/>
  <c r="T167" i="16"/>
  <c r="S167" i="16"/>
  <c r="AP167" i="16"/>
  <c r="AA167" i="16"/>
  <c r="U167" i="16" l="1"/>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Y169" i="16" s="1"/>
  <c r="M169" i="16"/>
  <c r="N169" i="16" s="1"/>
  <c r="AI169" i="16"/>
  <c r="T169" i="16"/>
  <c r="AJ169" i="16" l="1"/>
  <c r="U169" i="16"/>
  <c r="AQ169" i="16"/>
  <c r="AB169" i="16"/>
  <c r="L171" i="16"/>
  <c r="AP170" i="16"/>
  <c r="AA170" i="16"/>
  <c r="S170" i="16"/>
  <c r="AI170" i="16"/>
  <c r="T170" i="16"/>
  <c r="X170" i="16"/>
  <c r="Y170" i="16" s="1"/>
  <c r="M170" i="16"/>
  <c r="N170" i="16" s="1"/>
  <c r="AJ170" i="16" l="1"/>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M172" i="16"/>
  <c r="N172" i="16" s="1"/>
  <c r="L173" i="16"/>
  <c r="Y172" i="16" l="1"/>
  <c r="AJ172" i="16"/>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Y174" i="16" s="1"/>
  <c r="M174" i="16"/>
  <c r="N174" i="16" s="1"/>
  <c r="L175" i="16"/>
  <c r="AJ174" i="16" l="1"/>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AJ178" i="16" l="1"/>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Y180" i="16" s="1"/>
  <c r="M180" i="16"/>
  <c r="N180" i="16" s="1"/>
  <c r="L181" i="16"/>
  <c r="AJ180" i="16" l="1"/>
  <c r="AQ180" i="16"/>
  <c r="AB180" i="16"/>
  <c r="U180" i="16"/>
  <c r="X181" i="16"/>
  <c r="Y181" i="16" s="1"/>
  <c r="M181" i="16"/>
  <c r="N181" i="16" s="1"/>
  <c r="AI181" i="16"/>
  <c r="T181" i="16"/>
  <c r="S181" i="16"/>
  <c r="AP181" i="16"/>
  <c r="AA181" i="16"/>
  <c r="L182" i="16"/>
  <c r="U181" i="16" l="1"/>
  <c r="AJ181" i="16"/>
  <c r="AB181" i="16"/>
  <c r="AQ181" i="16"/>
  <c r="AP182" i="16"/>
  <c r="AA182" i="16"/>
  <c r="S182" i="16"/>
  <c r="AI182" i="16"/>
  <c r="T182" i="16"/>
  <c r="X182" i="16"/>
  <c r="M182" i="16"/>
  <c r="N182" i="16" s="1"/>
  <c r="L183" i="16"/>
  <c r="Y182" i="16" l="1"/>
  <c r="AJ182" i="16"/>
  <c r="U182" i="16"/>
  <c r="AQ182" i="16"/>
  <c r="AB182" i="16"/>
  <c r="X183" i="16"/>
  <c r="M183" i="16"/>
  <c r="N183" i="16" s="1"/>
  <c r="AI183" i="16"/>
  <c r="T183" i="16"/>
  <c r="S183" i="16"/>
  <c r="AP183" i="16"/>
  <c r="AA183" i="16"/>
  <c r="L184" i="16"/>
  <c r="Y183" i="16" l="1"/>
  <c r="AJ183" i="16"/>
  <c r="AQ183" i="16"/>
  <c r="U183" i="16"/>
  <c r="AB183" i="16"/>
  <c r="AP184" i="16"/>
  <c r="AA184" i="16"/>
  <c r="S184" i="16"/>
  <c r="AI184" i="16"/>
  <c r="T184" i="16"/>
  <c r="X184" i="16"/>
  <c r="M184" i="16"/>
  <c r="N184" i="16" s="1"/>
  <c r="L185" i="16"/>
  <c r="Y184" i="16" l="1"/>
  <c r="AJ184" i="16"/>
  <c r="AB184" i="16"/>
  <c r="AQ184" i="16"/>
  <c r="U184" i="16"/>
  <c r="X185" i="16"/>
  <c r="M185" i="16"/>
  <c r="N185" i="16" s="1"/>
  <c r="AI185" i="16"/>
  <c r="T185" i="16"/>
  <c r="S185" i="16"/>
  <c r="AP185" i="16"/>
  <c r="AA185" i="16"/>
  <c r="L186" i="16"/>
  <c r="Y185" i="16" l="1"/>
  <c r="AJ185" i="16"/>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Y187" i="16" l="1"/>
  <c r="U187" i="16"/>
  <c r="AQ187" i="16"/>
  <c r="AJ187" i="16"/>
  <c r="AB187" i="16"/>
  <c r="AP188" i="16"/>
  <c r="AA188" i="16"/>
  <c r="S188" i="16"/>
  <c r="AI188" i="16"/>
  <c r="T188" i="16"/>
  <c r="X188" i="16"/>
  <c r="M188" i="16"/>
  <c r="N188" i="16" s="1"/>
  <c r="L189" i="16"/>
  <c r="Y188" i="16" l="1"/>
  <c r="AJ188" i="16"/>
  <c r="AQ188" i="16"/>
  <c r="U188" i="16"/>
  <c r="AB188" i="16"/>
  <c r="X189" i="16"/>
  <c r="Y189" i="16" s="1"/>
  <c r="M189" i="16"/>
  <c r="N189" i="16" s="1"/>
  <c r="AI189" i="16"/>
  <c r="T189" i="16"/>
  <c r="S189" i="16"/>
  <c r="AP189" i="16"/>
  <c r="AA189" i="16"/>
  <c r="L190" i="16"/>
  <c r="AJ189" i="16" l="1"/>
  <c r="AB189" i="16"/>
  <c r="AQ189" i="16"/>
  <c r="U189" i="16"/>
  <c r="AP190" i="16"/>
  <c r="AA190" i="16"/>
  <c r="S190" i="16"/>
  <c r="AI190" i="16"/>
  <c r="T190" i="16"/>
  <c r="X190" i="16"/>
  <c r="M190" i="16"/>
  <c r="N190" i="16" s="1"/>
  <c r="L191" i="16"/>
  <c r="Y190" i="16" l="1"/>
  <c r="AJ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Y194" i="16" s="1"/>
  <c r="M194" i="16"/>
  <c r="N194" i="16" s="1"/>
  <c r="L195" i="16"/>
  <c r="AJ194" i="16" l="1"/>
  <c r="AQ194" i="16"/>
  <c r="U194" i="16"/>
  <c r="AB194" i="16"/>
  <c r="X195" i="16"/>
  <c r="Y195" i="16" s="1"/>
  <c r="M195" i="16"/>
  <c r="N195" i="16" s="1"/>
  <c r="AI195" i="16"/>
  <c r="T195" i="16"/>
  <c r="S195" i="16"/>
  <c r="AP195" i="16"/>
  <c r="AA195" i="16"/>
  <c r="L196" i="16"/>
  <c r="AJ195" i="16" l="1"/>
  <c r="AB195" i="16"/>
  <c r="U195" i="16"/>
  <c r="AQ195" i="16"/>
  <c r="AP196" i="16"/>
  <c r="AA196" i="16"/>
  <c r="S196" i="16"/>
  <c r="AI196" i="16"/>
  <c r="T196" i="16"/>
  <c r="X196" i="16"/>
  <c r="M196" i="16"/>
  <c r="N196" i="16" s="1"/>
  <c r="L197" i="16"/>
  <c r="E86" i="8" s="1"/>
  <c r="Y86" i="8" s="1"/>
  <c r="Y196" i="16" l="1"/>
  <c r="AJ196" i="16"/>
  <c r="AQ196" i="16"/>
  <c r="AB196" i="16"/>
  <c r="U196" i="16"/>
  <c r="X197" i="16"/>
  <c r="M197" i="16"/>
  <c r="N197" i="16" s="1"/>
  <c r="AI197" i="16"/>
  <c r="T197" i="16"/>
  <c r="S197" i="16"/>
  <c r="AP197" i="16"/>
  <c r="AA197" i="16"/>
  <c r="L198" i="16"/>
  <c r="Y197" i="16" l="1"/>
  <c r="AJ197" i="16"/>
  <c r="AQ197" i="16"/>
  <c r="U197" i="16"/>
  <c r="AB197" i="16"/>
  <c r="AP198" i="16"/>
  <c r="AA198" i="16"/>
  <c r="S198" i="16"/>
  <c r="AI198" i="16"/>
  <c r="T198" i="16"/>
  <c r="X198" i="16"/>
  <c r="Y198" i="16" s="1"/>
  <c r="M198" i="16"/>
  <c r="N198" i="16" s="1"/>
  <c r="L199" i="16"/>
  <c r="AJ198" i="16" l="1"/>
  <c r="U198" i="16"/>
  <c r="AB198" i="16"/>
  <c r="AQ198" i="16"/>
  <c r="X199" i="16"/>
  <c r="M199" i="16"/>
  <c r="N199" i="16" s="1"/>
  <c r="AI199" i="16"/>
  <c r="T199" i="16"/>
  <c r="S199" i="16"/>
  <c r="AP199" i="16"/>
  <c r="AA199" i="16"/>
  <c r="L200" i="16"/>
  <c r="Y199" i="16" l="1"/>
  <c r="U199" i="16"/>
  <c r="AB199" i="16"/>
  <c r="AJ199" i="16"/>
  <c r="AQ199" i="16"/>
  <c r="AP200" i="16"/>
  <c r="AA200" i="16"/>
  <c r="S200" i="16"/>
  <c r="AI200" i="16"/>
  <c r="T200" i="16"/>
  <c r="X200" i="16"/>
  <c r="M200" i="16"/>
  <c r="N200" i="16" s="1"/>
  <c r="L201" i="16"/>
  <c r="Y200" i="16" l="1"/>
  <c r="AJ200" i="16"/>
  <c r="AB200" i="16"/>
  <c r="U200" i="16"/>
  <c r="AQ200" i="16"/>
  <c r="X201" i="16"/>
  <c r="Y201" i="16" s="1"/>
  <c r="M201" i="16"/>
  <c r="N201" i="16" s="1"/>
  <c r="AI201" i="16"/>
  <c r="T201" i="16"/>
  <c r="S201" i="16"/>
  <c r="AP201" i="16"/>
  <c r="AA201" i="16"/>
  <c r="L202" i="16"/>
  <c r="U201" i="16" l="1"/>
  <c r="AQ201" i="16"/>
  <c r="AJ201" i="16"/>
  <c r="AB201" i="16"/>
  <c r="AP202" i="16"/>
  <c r="AA202" i="16"/>
  <c r="S202" i="16"/>
  <c r="AI202" i="16"/>
  <c r="T202" i="16"/>
  <c r="X202" i="16"/>
  <c r="Y202" i="16" s="1"/>
  <c r="M202" i="16"/>
  <c r="N202" i="16" s="1"/>
  <c r="L203" i="16"/>
  <c r="AJ202" i="16" l="1"/>
  <c r="AQ202" i="16"/>
  <c r="AB202" i="16"/>
  <c r="U202" i="16"/>
  <c r="X203" i="16"/>
  <c r="AP203" i="16"/>
  <c r="M203" i="16"/>
  <c r="N203" i="16" s="1"/>
  <c r="AA203" i="16"/>
  <c r="S203" i="16"/>
  <c r="T203" i="16"/>
  <c r="AI203" i="16"/>
  <c r="AJ203" i="16" s="1"/>
  <c r="AK203" i="16" s="1"/>
  <c r="L204" i="16"/>
  <c r="Y203" i="16" l="1"/>
  <c r="AB203" i="16"/>
  <c r="U203" i="16"/>
  <c r="AQ203" i="16"/>
  <c r="AP204" i="16"/>
  <c r="AA204" i="16"/>
  <c r="S204" i="16"/>
  <c r="AI204" i="16"/>
  <c r="AJ204" i="16" s="1"/>
  <c r="T204" i="16"/>
  <c r="X204" i="16"/>
  <c r="M204" i="16"/>
  <c r="N204" i="16" s="1"/>
  <c r="L205" i="16"/>
  <c r="Y204" i="16" l="1"/>
  <c r="U204" i="16"/>
  <c r="AK204" i="16"/>
  <c r="AB204" i="16"/>
  <c r="AQ204" i="16"/>
  <c r="X205" i="16"/>
  <c r="M205" i="16"/>
  <c r="N205" i="16" s="1"/>
  <c r="AI205" i="16"/>
  <c r="AJ205" i="16" s="1"/>
  <c r="AK205" i="16" s="1"/>
  <c r="T205" i="16"/>
  <c r="S205" i="16"/>
  <c r="AP205" i="16"/>
  <c r="AA205" i="16"/>
  <c r="L206" i="16"/>
  <c r="Y205" i="16" l="1"/>
  <c r="AQ205" i="16"/>
  <c r="AB205" i="16"/>
  <c r="U205" i="16"/>
  <c r="AP206" i="16"/>
  <c r="AA206" i="16"/>
  <c r="S206" i="16"/>
  <c r="AI206" i="16"/>
  <c r="T206" i="16"/>
  <c r="X206" i="16"/>
  <c r="M206" i="16"/>
  <c r="N206" i="16" s="1"/>
  <c r="L207" i="16"/>
  <c r="AJ206" i="16" l="1"/>
  <c r="Y206" i="16"/>
  <c r="U206" i="16"/>
  <c r="AQ206" i="16"/>
  <c r="AB206" i="16"/>
  <c r="X207" i="16"/>
  <c r="M207" i="16"/>
  <c r="N207" i="16" s="1"/>
  <c r="AI207" i="16"/>
  <c r="AJ207" i="16" s="1"/>
  <c r="AK207" i="16" s="1"/>
  <c r="T207" i="16"/>
  <c r="S207" i="16"/>
  <c r="AP207" i="16"/>
  <c r="AA207" i="16"/>
  <c r="L208" i="16"/>
  <c r="Y207" i="16" l="1"/>
  <c r="AQ207" i="16"/>
  <c r="AB207" i="16"/>
  <c r="U207" i="16"/>
  <c r="AP208" i="16"/>
  <c r="AA208" i="16"/>
  <c r="S208" i="16"/>
  <c r="AI208" i="16"/>
  <c r="AJ208" i="16" s="1"/>
  <c r="T208" i="16"/>
  <c r="X208" i="16"/>
  <c r="M208" i="16"/>
  <c r="N208" i="16" s="1"/>
  <c r="L209" i="16"/>
  <c r="Y208" i="16" l="1"/>
  <c r="AQ208" i="16"/>
  <c r="U208" i="16"/>
  <c r="AK208" i="16"/>
  <c r="AB208" i="16"/>
  <c r="X209" i="16"/>
  <c r="Y209" i="16" s="1"/>
  <c r="M209" i="16"/>
  <c r="N209" i="16" s="1"/>
  <c r="AI209" i="16"/>
  <c r="AJ209" i="16" s="1"/>
  <c r="AK209" i="16" s="1"/>
  <c r="T209" i="16"/>
  <c r="S209" i="16"/>
  <c r="AP209" i="16"/>
  <c r="AA209" i="16"/>
  <c r="L210" i="16"/>
  <c r="AQ209" i="16" l="1"/>
  <c r="AB209" i="16"/>
  <c r="U209" i="16"/>
  <c r="AP210" i="16"/>
  <c r="AA210" i="16"/>
  <c r="S210" i="16"/>
  <c r="AI210" i="16"/>
  <c r="AJ210" i="16" s="1"/>
  <c r="AK210" i="16" s="1"/>
  <c r="T210" i="16"/>
  <c r="X210" i="16"/>
  <c r="M210" i="16"/>
  <c r="N210" i="16" s="1"/>
  <c r="L211" i="16"/>
  <c r="AQ210" i="16" l="1"/>
  <c r="Y210" i="16"/>
  <c r="U210" i="16"/>
  <c r="AB210" i="16"/>
  <c r="X211" i="16"/>
  <c r="Y211" i="16" s="1"/>
  <c r="M211" i="16"/>
  <c r="N211" i="16" s="1"/>
  <c r="AI211" i="16"/>
  <c r="AJ211" i="16" s="1"/>
  <c r="T211" i="16"/>
  <c r="S211" i="16"/>
  <c r="AP211" i="16"/>
  <c r="AA211" i="16"/>
  <c r="L212" i="16"/>
  <c r="AK211" i="16" l="1"/>
  <c r="AQ211" i="16"/>
  <c r="AB211" i="16"/>
  <c r="U211" i="16"/>
  <c r="AP212" i="16"/>
  <c r="AQ212" i="16" s="1"/>
  <c r="AA212" i="16"/>
  <c r="S212" i="16"/>
  <c r="AI212" i="16"/>
  <c r="AJ212" i="16" s="1"/>
  <c r="AK212" i="16" s="1"/>
  <c r="T212" i="16"/>
  <c r="U212" i="16" s="1"/>
  <c r="X212" i="16"/>
  <c r="M212" i="16"/>
  <c r="N212" i="16" s="1"/>
  <c r="L213" i="16"/>
  <c r="Y212" i="16" l="1"/>
  <c r="Z212" i="16" s="1"/>
  <c r="V212" i="16"/>
  <c r="AR212" i="16"/>
  <c r="AB212" i="16"/>
  <c r="X213" i="16"/>
  <c r="M213" i="16"/>
  <c r="AI213" i="16"/>
  <c r="AJ213" i="16" s="1"/>
  <c r="AK213" i="16" s="1"/>
  <c r="T213" i="16"/>
  <c r="U213" i="16" s="1"/>
  <c r="V213" i="16" s="1"/>
  <c r="S213" i="16"/>
  <c r="AP213" i="16"/>
  <c r="AQ213" i="16" s="1"/>
  <c r="AA213" i="16"/>
  <c r="AB213" i="16" s="1"/>
  <c r="AC213" i="16" s="1"/>
  <c r="N213" i="16"/>
  <c r="L214" i="16"/>
  <c r="Y213" i="16" l="1"/>
  <c r="Z213" i="16" s="1"/>
  <c r="AR213" i="16"/>
  <c r="AC212" i="16"/>
  <c r="AP214" i="16"/>
  <c r="AA214" i="16"/>
  <c r="S214" i="16"/>
  <c r="AI214" i="16"/>
  <c r="T214" i="16"/>
  <c r="U214" i="16" s="1"/>
  <c r="X214" i="16"/>
  <c r="Y214" i="16" s="1"/>
  <c r="M214" i="16"/>
  <c r="N214" i="16" s="1"/>
  <c r="L215" i="16"/>
  <c r="Z214" i="16" l="1"/>
  <c r="V214" i="16"/>
  <c r="AJ214" i="16"/>
  <c r="AQ214" i="16"/>
  <c r="AB214" i="16"/>
  <c r="X215" i="16"/>
  <c r="Y215" i="16" s="1"/>
  <c r="M215" i="16"/>
  <c r="AI215" i="16"/>
  <c r="AJ215" i="16" s="1"/>
  <c r="AK215" i="16" s="1"/>
  <c r="T215" i="16"/>
  <c r="U215" i="16" s="1"/>
  <c r="V215" i="16" s="1"/>
  <c r="S215" i="16"/>
  <c r="AP215" i="16"/>
  <c r="AQ215" i="16" s="1"/>
  <c r="AR215" i="16" s="1"/>
  <c r="AA215" i="16"/>
  <c r="AB215" i="16" s="1"/>
  <c r="AC215" i="16" s="1"/>
  <c r="N215" i="16"/>
  <c r="L216" i="16"/>
  <c r="Z215" i="16" l="1"/>
  <c r="AC214" i="16"/>
  <c r="AR214" i="16"/>
  <c r="AP216" i="16"/>
  <c r="AQ216" i="16" s="1"/>
  <c r="AR216" i="16" s="1"/>
  <c r="AA216" i="16"/>
  <c r="S216" i="16"/>
  <c r="AI216" i="16"/>
  <c r="AJ216" i="16" s="1"/>
  <c r="AK216" i="16" s="1"/>
  <c r="T216" i="16"/>
  <c r="U216" i="16" s="1"/>
  <c r="X216" i="16"/>
  <c r="M216" i="16"/>
  <c r="N216" i="16" s="1"/>
  <c r="L217" i="16"/>
  <c r="Y216" i="16" l="1"/>
  <c r="Z216" i="16" s="1"/>
  <c r="V216" i="16"/>
  <c r="AB216" i="16"/>
  <c r="X217" i="16"/>
  <c r="Y217" i="16" s="1"/>
  <c r="M217" i="16"/>
  <c r="AI217" i="16"/>
  <c r="AJ217" i="16" s="1"/>
  <c r="AK217" i="16" s="1"/>
  <c r="T217" i="16"/>
  <c r="U217" i="16" s="1"/>
  <c r="S217" i="16"/>
  <c r="AP217" i="16"/>
  <c r="AQ217" i="16" s="1"/>
  <c r="AA217" i="16"/>
  <c r="AB217" i="16" s="1"/>
  <c r="AC217" i="16" s="1"/>
  <c r="N217" i="16"/>
  <c r="L218" i="16"/>
  <c r="AR217" i="16" l="1"/>
  <c r="Z217" i="16"/>
  <c r="V217" i="16"/>
  <c r="AC216" i="16"/>
  <c r="AP218" i="16"/>
  <c r="AQ218" i="16" s="1"/>
  <c r="AR218" i="16" s="1"/>
  <c r="AA218" i="16"/>
  <c r="S218" i="16"/>
  <c r="AI218" i="16"/>
  <c r="AJ218" i="16" s="1"/>
  <c r="AK218" i="16" s="1"/>
  <c r="T218" i="16"/>
  <c r="U218" i="16" s="1"/>
  <c r="X218" i="16"/>
  <c r="M218" i="16"/>
  <c r="N218" i="16" s="1"/>
  <c r="L219" i="16"/>
  <c r="Y218" i="16" l="1"/>
  <c r="Z218" i="16" s="1"/>
  <c r="V218" i="16"/>
  <c r="AB218" i="16"/>
  <c r="X219" i="16"/>
  <c r="M219" i="16"/>
  <c r="AI219" i="16"/>
  <c r="AJ219" i="16" s="1"/>
  <c r="AK219" i="16" s="1"/>
  <c r="T219" i="16"/>
  <c r="U219" i="16" s="1"/>
  <c r="V219" i="16" s="1"/>
  <c r="S219" i="16"/>
  <c r="AP219" i="16"/>
  <c r="AQ219" i="16" s="1"/>
  <c r="AR219" i="16" s="1"/>
  <c r="AA219" i="16"/>
  <c r="AB219" i="16" s="1"/>
  <c r="AC219" i="16" s="1"/>
  <c r="N219" i="16"/>
  <c r="L220" i="16"/>
  <c r="Y219" i="16" l="1"/>
  <c r="Z219" i="16" s="1"/>
  <c r="AC218" i="16"/>
  <c r="AP220" i="16"/>
  <c r="AQ220" i="16" s="1"/>
  <c r="AR220" i="16" s="1"/>
  <c r="AA220" i="16"/>
  <c r="S220" i="16"/>
  <c r="AI220" i="16"/>
  <c r="AJ220" i="16" s="1"/>
  <c r="AK220" i="16" s="1"/>
  <c r="T220" i="16"/>
  <c r="U220" i="16" s="1"/>
  <c r="V220" i="16" s="1"/>
  <c r="X220" i="16"/>
  <c r="M220" i="16"/>
  <c r="N220" i="16" s="1"/>
  <c r="L221" i="16"/>
  <c r="Y220" i="16" l="1"/>
  <c r="Z220" i="16" s="1"/>
  <c r="AB220" i="16"/>
  <c r="AC220" i="16" s="1"/>
  <c r="X221" i="16"/>
  <c r="M221" i="16"/>
  <c r="AI221" i="16"/>
  <c r="AJ221" i="16" s="1"/>
  <c r="AK221" i="16" s="1"/>
  <c r="T221" i="16"/>
  <c r="U221" i="16" s="1"/>
  <c r="V221" i="16" s="1"/>
  <c r="S221" i="16"/>
  <c r="AP221" i="16"/>
  <c r="AQ221" i="16" s="1"/>
  <c r="AR221" i="16" s="1"/>
  <c r="AA221" i="16"/>
  <c r="AB221" i="16" s="1"/>
  <c r="AC221" i="16" s="1"/>
  <c r="N221" i="16"/>
  <c r="L222" i="16"/>
  <c r="Y221" i="16" l="1"/>
  <c r="Z221" i="16" s="1"/>
  <c r="AP222" i="16"/>
  <c r="AQ222" i="16" s="1"/>
  <c r="AR222" i="16" s="1"/>
  <c r="AA222" i="16"/>
  <c r="AB222" i="16" s="1"/>
  <c r="AC222" i="16" s="1"/>
  <c r="S222" i="16"/>
  <c r="AI222" i="16"/>
  <c r="AJ222" i="16" s="1"/>
  <c r="AK222" i="16" s="1"/>
  <c r="T222" i="16"/>
  <c r="X222" i="16"/>
  <c r="M222" i="16"/>
  <c r="N222" i="16" s="1"/>
  <c r="L223" i="16"/>
  <c r="Y222" i="16" l="1"/>
  <c r="Z222" i="16" s="1"/>
  <c r="U222" i="16"/>
  <c r="V222" i="16" s="1"/>
  <c r="X223" i="16"/>
  <c r="M223" i="16"/>
  <c r="AI223" i="16"/>
  <c r="AJ223" i="16" s="1"/>
  <c r="AK223" i="16" s="1"/>
  <c r="T223" i="16"/>
  <c r="U223" i="16" s="1"/>
  <c r="V223" i="16" s="1"/>
  <c r="S223" i="16"/>
  <c r="AP223" i="16"/>
  <c r="AQ223" i="16" s="1"/>
  <c r="AR223" i="16" s="1"/>
  <c r="AA223" i="16"/>
  <c r="AB223" i="16" s="1"/>
  <c r="AC223" i="16" s="1"/>
  <c r="N223" i="16"/>
  <c r="L224" i="16"/>
  <c r="Y223" i="16" l="1"/>
  <c r="Z223" i="16" s="1"/>
  <c r="AP224" i="16"/>
  <c r="AQ224" i="16" s="1"/>
  <c r="AR224" i="16" s="1"/>
  <c r="AA224" i="16"/>
  <c r="S224" i="16"/>
  <c r="AI224" i="16"/>
  <c r="AJ224" i="16" s="1"/>
  <c r="AK224" i="16" s="1"/>
  <c r="T224" i="16"/>
  <c r="U224" i="16" s="1"/>
  <c r="V224" i="16" s="1"/>
  <c r="X224" i="16"/>
  <c r="M224" i="16"/>
  <c r="N224" i="16" s="1"/>
  <c r="L225" i="16"/>
  <c r="Y224" i="16" l="1"/>
  <c r="Z224" i="16" s="1"/>
  <c r="AB224" i="16"/>
  <c r="AC224" i="16" s="1"/>
  <c r="X225" i="16"/>
  <c r="M225" i="16"/>
  <c r="AI225" i="16"/>
  <c r="AJ225" i="16" s="1"/>
  <c r="AK225" i="16" s="1"/>
  <c r="T225" i="16"/>
  <c r="U225" i="16" s="1"/>
  <c r="V225" i="16" s="1"/>
  <c r="S225" i="16"/>
  <c r="AP225" i="16"/>
  <c r="AQ225" i="16" s="1"/>
  <c r="AR225" i="16" s="1"/>
  <c r="AA225" i="16"/>
  <c r="AB225" i="16" s="1"/>
  <c r="AC225" i="16" s="1"/>
  <c r="N225" i="16"/>
  <c r="L226" i="16"/>
  <c r="Y225" i="16" l="1"/>
  <c r="Z225" i="16" s="1"/>
  <c r="AP226" i="16"/>
  <c r="AQ226" i="16" s="1"/>
  <c r="AR226" i="16" s="1"/>
  <c r="AA226" i="16"/>
  <c r="S226" i="16"/>
  <c r="AI226" i="16"/>
  <c r="AJ226" i="16" s="1"/>
  <c r="AK226" i="16" s="1"/>
  <c r="T226" i="16"/>
  <c r="U226" i="16" s="1"/>
  <c r="V226" i="16" s="1"/>
  <c r="X226" i="16"/>
  <c r="M226" i="16"/>
  <c r="N226" i="16" s="1"/>
  <c r="L227" i="16"/>
  <c r="Y226" i="16" l="1"/>
  <c r="Z226" i="16" s="1"/>
  <c r="AB226" i="16"/>
  <c r="AC226" i="16" s="1"/>
  <c r="X227" i="16"/>
  <c r="M227" i="16"/>
  <c r="AI227" i="16"/>
  <c r="AJ227" i="16" s="1"/>
  <c r="AK227" i="16" s="1"/>
  <c r="T227" i="16"/>
  <c r="U227" i="16" s="1"/>
  <c r="V227" i="16" s="1"/>
  <c r="S227" i="16"/>
  <c r="AP227" i="16"/>
  <c r="AQ227" i="16" s="1"/>
  <c r="AR227" i="16" s="1"/>
  <c r="AA227" i="16"/>
  <c r="AB227" i="16" s="1"/>
  <c r="AC227" i="16" s="1"/>
  <c r="N227" i="16"/>
  <c r="L228" i="16"/>
  <c r="Y227" i="16" l="1"/>
  <c r="Z227" i="16" s="1"/>
  <c r="AP228" i="16"/>
  <c r="AA228" i="16"/>
  <c r="S228" i="16"/>
  <c r="AI228" i="16"/>
  <c r="AJ228" i="16" s="1"/>
  <c r="AK228" i="16" s="1"/>
  <c r="T228" i="16"/>
  <c r="U228" i="16" s="1"/>
  <c r="V228" i="16" s="1"/>
  <c r="X228" i="16"/>
  <c r="M228" i="16"/>
  <c r="N228" i="16" s="1"/>
  <c r="L229" i="16"/>
  <c r="Y228" i="16" l="1"/>
  <c r="Z228" i="16" s="1"/>
  <c r="AB228" i="16"/>
  <c r="AC228" i="16" s="1"/>
  <c r="AQ228" i="16"/>
  <c r="AR228" i="16" s="1"/>
  <c r="X229" i="16"/>
  <c r="M229" i="16"/>
  <c r="AI229" i="16"/>
  <c r="AJ229" i="16" s="1"/>
  <c r="AK229" i="16" s="1"/>
  <c r="T229" i="16"/>
  <c r="U229" i="16" s="1"/>
  <c r="V229" i="16" s="1"/>
  <c r="S229" i="16"/>
  <c r="AP229" i="16"/>
  <c r="AQ229" i="16" s="1"/>
  <c r="AR229" i="16" s="1"/>
  <c r="AA229" i="16"/>
  <c r="AB229" i="16" s="1"/>
  <c r="AC229" i="16" s="1"/>
  <c r="N229" i="16"/>
  <c r="L230" i="16"/>
  <c r="Y229" i="16" l="1"/>
  <c r="Z229" i="16" s="1"/>
  <c r="AP230" i="16"/>
  <c r="AA230" i="16"/>
  <c r="S230" i="16"/>
  <c r="AI230" i="16"/>
  <c r="T230" i="16"/>
  <c r="U230" i="16" s="1"/>
  <c r="V230" i="16" s="1"/>
  <c r="X230" i="16"/>
  <c r="M230" i="16"/>
  <c r="N230" i="16" s="1"/>
  <c r="L231" i="16"/>
  <c r="Y230" i="16" l="1"/>
  <c r="Z230" i="16" s="1"/>
  <c r="AB230" i="16"/>
  <c r="AC230" i="16" s="1"/>
  <c r="AJ230" i="16"/>
  <c r="AQ230" i="16"/>
  <c r="AR230" i="16" s="1"/>
  <c r="X231" i="16"/>
  <c r="M231" i="16"/>
  <c r="AI231" i="16"/>
  <c r="AJ231" i="16" s="1"/>
  <c r="AK231" i="16" s="1"/>
  <c r="T231" i="16"/>
  <c r="U231" i="16" s="1"/>
  <c r="V231" i="16" s="1"/>
  <c r="S231" i="16"/>
  <c r="AP231" i="16"/>
  <c r="AQ231" i="16" s="1"/>
  <c r="AR231" i="16" s="1"/>
  <c r="AA231" i="16"/>
  <c r="AB231" i="16" s="1"/>
  <c r="AC231" i="16" s="1"/>
  <c r="N231" i="16"/>
  <c r="L232" i="16"/>
  <c r="Y231" i="16" l="1"/>
  <c r="Z231" i="16" s="1"/>
  <c r="AP232" i="16"/>
  <c r="AQ232" i="16" s="1"/>
  <c r="AR232" i="16" s="1"/>
  <c r="AA232" i="16"/>
  <c r="AB232" i="16" s="1"/>
  <c r="AC232" i="16" s="1"/>
  <c r="S232" i="16"/>
  <c r="AI232" i="16"/>
  <c r="AJ232" i="16" s="1"/>
  <c r="AK232" i="16" s="1"/>
  <c r="T232" i="16"/>
  <c r="X232" i="16"/>
  <c r="M232" i="16"/>
  <c r="N232" i="16" s="1"/>
  <c r="L233" i="16"/>
  <c r="Y232" i="16" l="1"/>
  <c r="Z232" i="16" s="1"/>
  <c r="U232" i="16"/>
  <c r="V232" i="16" s="1"/>
  <c r="X233" i="16"/>
  <c r="M233" i="16"/>
  <c r="AI233" i="16"/>
  <c r="AJ233" i="16" s="1"/>
  <c r="AK233" i="16" s="1"/>
  <c r="T233" i="16"/>
  <c r="U233" i="16" s="1"/>
  <c r="V233" i="16" s="1"/>
  <c r="S233" i="16"/>
  <c r="AP233" i="16"/>
  <c r="AQ233" i="16" s="1"/>
  <c r="AR233" i="16" s="1"/>
  <c r="AA233" i="16"/>
  <c r="AB233" i="16" s="1"/>
  <c r="AC233" i="16" s="1"/>
  <c r="N233" i="16"/>
  <c r="L234" i="16"/>
  <c r="Y233" i="16" l="1"/>
  <c r="Z233" i="16" s="1"/>
  <c r="AP234" i="16"/>
  <c r="AQ234" i="16" s="1"/>
  <c r="AR234" i="16" s="1"/>
  <c r="AA234" i="16"/>
  <c r="S234" i="16"/>
  <c r="AI234" i="16"/>
  <c r="AJ234" i="16" s="1"/>
  <c r="AK234" i="16" s="1"/>
  <c r="T234" i="16"/>
  <c r="U234" i="16" s="1"/>
  <c r="V234" i="16" s="1"/>
  <c r="X234" i="16"/>
  <c r="M234" i="16"/>
  <c r="N234" i="16" s="1"/>
  <c r="L235" i="16"/>
  <c r="Y234" i="16" l="1"/>
  <c r="Z234" i="16" s="1"/>
  <c r="AB234" i="16"/>
  <c r="AC234" i="16" s="1"/>
  <c r="X235" i="16"/>
  <c r="M235" i="16"/>
  <c r="AI235" i="16"/>
  <c r="AJ235" i="16" s="1"/>
  <c r="AK235" i="16" s="1"/>
  <c r="T235" i="16"/>
  <c r="U235" i="16" s="1"/>
  <c r="V235" i="16" s="1"/>
  <c r="S235" i="16"/>
  <c r="AP235" i="16"/>
  <c r="AQ235" i="16" s="1"/>
  <c r="AR235" i="16" s="1"/>
  <c r="AA235" i="16"/>
  <c r="AB235" i="16" s="1"/>
  <c r="AC235" i="16" s="1"/>
  <c r="N235" i="16"/>
  <c r="L236" i="16"/>
  <c r="Y235" i="16" l="1"/>
  <c r="Z235" i="16" s="1"/>
  <c r="AP236" i="16"/>
  <c r="AQ236" i="16" s="1"/>
  <c r="AR236" i="16" s="1"/>
  <c r="AA236" i="16"/>
  <c r="S236" i="16"/>
  <c r="AI236" i="16"/>
  <c r="AJ236" i="16" s="1"/>
  <c r="AK236" i="16" s="1"/>
  <c r="T236" i="16"/>
  <c r="U236" i="16" s="1"/>
  <c r="V236" i="16" s="1"/>
  <c r="X236" i="16"/>
  <c r="M236" i="16"/>
  <c r="N236" i="16" s="1"/>
  <c r="L237" i="16"/>
  <c r="Y236" i="16" l="1"/>
  <c r="Z236" i="16" s="1"/>
  <c r="AB236" i="16"/>
  <c r="AC236" i="16" s="1"/>
  <c r="X237" i="16"/>
  <c r="M237" i="16"/>
  <c r="AI237" i="16"/>
  <c r="AJ237" i="16" s="1"/>
  <c r="AK237" i="16" s="1"/>
  <c r="T237" i="16"/>
  <c r="U237" i="16" s="1"/>
  <c r="V237" i="16" s="1"/>
  <c r="S237" i="16"/>
  <c r="AP237" i="16"/>
  <c r="AQ237" i="16" s="1"/>
  <c r="AR237" i="16" s="1"/>
  <c r="AA237" i="16"/>
  <c r="AB237" i="16" s="1"/>
  <c r="AC237" i="16" s="1"/>
  <c r="N237" i="16"/>
  <c r="L238" i="16"/>
  <c r="Y237" i="16" l="1"/>
  <c r="Z237" i="16" s="1"/>
  <c r="AP238" i="16"/>
  <c r="AQ238" i="16" s="1"/>
  <c r="AR238" i="16" s="1"/>
  <c r="AA238" i="16"/>
  <c r="AB238" i="16" s="1"/>
  <c r="AC238" i="16" s="1"/>
  <c r="S238" i="16"/>
  <c r="AI238" i="16"/>
  <c r="AJ238" i="16" s="1"/>
  <c r="AK238" i="16" s="1"/>
  <c r="T238" i="16"/>
  <c r="X238" i="16"/>
  <c r="M238" i="16"/>
  <c r="N238" i="16" s="1"/>
  <c r="L239" i="16"/>
  <c r="Y238" i="16" l="1"/>
  <c r="Z238" i="16" s="1"/>
  <c r="U238" i="16"/>
  <c r="V238" i="16" s="1"/>
  <c r="X239" i="16"/>
  <c r="M239" i="16"/>
  <c r="AI239" i="16"/>
  <c r="AJ239" i="16" s="1"/>
  <c r="AK239" i="16" s="1"/>
  <c r="T239" i="16"/>
  <c r="U239" i="16" s="1"/>
  <c r="V239" i="16" s="1"/>
  <c r="S239" i="16"/>
  <c r="AP239" i="16"/>
  <c r="AQ239" i="16" s="1"/>
  <c r="AR239" i="16" s="1"/>
  <c r="AA239" i="16"/>
  <c r="AB239" i="16" s="1"/>
  <c r="AC239" i="16" s="1"/>
  <c r="N239" i="16"/>
  <c r="L240" i="16"/>
  <c r="Y239" i="16" l="1"/>
  <c r="Z239" i="16" s="1"/>
  <c r="AP240" i="16"/>
  <c r="AQ240" i="16" s="1"/>
  <c r="AR240" i="16" s="1"/>
  <c r="AA240" i="16"/>
  <c r="AB240" i="16" s="1"/>
  <c r="AC240" i="16" s="1"/>
  <c r="S240" i="16"/>
  <c r="AI240" i="16"/>
  <c r="AJ240" i="16" s="1"/>
  <c r="AK240" i="16" s="1"/>
  <c r="T240" i="16"/>
  <c r="X240" i="16"/>
  <c r="M240" i="16"/>
  <c r="N240" i="16" s="1"/>
  <c r="L241" i="16"/>
  <c r="Y240" i="16" l="1"/>
  <c r="Z240" i="16" s="1"/>
  <c r="U240" i="16"/>
  <c r="V240" i="16" s="1"/>
  <c r="X241" i="16"/>
  <c r="M241" i="16"/>
  <c r="AI241" i="16"/>
  <c r="AJ241" i="16" s="1"/>
  <c r="AK241" i="16" s="1"/>
  <c r="T241" i="16"/>
  <c r="U241" i="16" s="1"/>
  <c r="V241" i="16" s="1"/>
  <c r="S241" i="16"/>
  <c r="AP241" i="16"/>
  <c r="AQ241" i="16" s="1"/>
  <c r="AR241" i="16" s="1"/>
  <c r="AA241" i="16"/>
  <c r="AB241" i="16" s="1"/>
  <c r="AC241" i="16" s="1"/>
  <c r="N241" i="16"/>
  <c r="L242" i="16"/>
  <c r="Y241" i="16" l="1"/>
  <c r="Z241" i="16" s="1"/>
  <c r="AP242" i="16"/>
  <c r="AQ242" i="16" s="1"/>
  <c r="AR242" i="16" s="1"/>
  <c r="AA242" i="16"/>
  <c r="AB242" i="16" s="1"/>
  <c r="AC242" i="16" s="1"/>
  <c r="S242" i="16"/>
  <c r="AI242" i="16"/>
  <c r="AJ242" i="16" s="1"/>
  <c r="AK242" i="16" s="1"/>
  <c r="T242" i="16"/>
  <c r="U242" i="16" s="1"/>
  <c r="V242" i="16" s="1"/>
  <c r="X242" i="16"/>
  <c r="M242" i="16"/>
  <c r="N242" i="16" s="1"/>
  <c r="L243" i="16"/>
  <c r="Y242" i="16" l="1"/>
  <c r="Z242" i="16" s="1"/>
  <c r="X243" i="16"/>
  <c r="M243" i="16"/>
  <c r="AI243" i="16"/>
  <c r="AJ243" i="16" s="1"/>
  <c r="AK243" i="16" s="1"/>
  <c r="T243" i="16"/>
  <c r="U243" i="16" s="1"/>
  <c r="V243" i="16" s="1"/>
  <c r="S243" i="16"/>
  <c r="AP243" i="16"/>
  <c r="AQ243" i="16" s="1"/>
  <c r="AR243" i="16" s="1"/>
  <c r="AA243" i="16"/>
  <c r="AB243" i="16" s="1"/>
  <c r="AC243" i="16" s="1"/>
  <c r="N243" i="16"/>
  <c r="L244" i="16"/>
  <c r="Y243" i="16" l="1"/>
  <c r="Z243" i="16" s="1"/>
  <c r="AP244" i="16"/>
  <c r="AQ244" i="16" s="1"/>
  <c r="AR244" i="16" s="1"/>
  <c r="AA244" i="16"/>
  <c r="S244" i="16"/>
  <c r="AI244" i="16"/>
  <c r="AJ244" i="16" s="1"/>
  <c r="AK244" i="16" s="1"/>
  <c r="T244" i="16"/>
  <c r="U244" i="16" s="1"/>
  <c r="V244" i="16" s="1"/>
  <c r="X244" i="16"/>
  <c r="M244" i="16"/>
  <c r="N244" i="16" s="1"/>
  <c r="L245" i="16"/>
  <c r="Y244" i="16" l="1"/>
  <c r="Z244" i="16" s="1"/>
  <c r="AB244" i="16"/>
  <c r="AC244" i="16" s="1"/>
  <c r="X245" i="16"/>
  <c r="M245" i="16"/>
  <c r="AI245" i="16"/>
  <c r="AJ245" i="16" s="1"/>
  <c r="AK245" i="16" s="1"/>
  <c r="T245" i="16"/>
  <c r="U245" i="16" s="1"/>
  <c r="V245" i="16" s="1"/>
  <c r="S245" i="16"/>
  <c r="AP245" i="16"/>
  <c r="AQ245" i="16" s="1"/>
  <c r="AR245" i="16" s="1"/>
  <c r="AA245" i="16"/>
  <c r="AB245" i="16" s="1"/>
  <c r="AC245" i="16" s="1"/>
  <c r="N245" i="16"/>
  <c r="L246" i="16"/>
  <c r="Y245" i="16" l="1"/>
  <c r="Z245" i="16" s="1"/>
  <c r="AP246" i="16"/>
  <c r="AQ246" i="16" s="1"/>
  <c r="AR246" i="16" s="1"/>
  <c r="AA246" i="16"/>
  <c r="AB246" i="16" s="1"/>
  <c r="AC246" i="16" s="1"/>
  <c r="N246" i="16"/>
  <c r="S246" i="16"/>
  <c r="AI246" i="16"/>
  <c r="AJ246" i="16" s="1"/>
  <c r="AK246" i="16" s="1"/>
  <c r="T246" i="16"/>
  <c r="U246" i="16" s="1"/>
  <c r="V246" i="16" s="1"/>
  <c r="X246" i="16"/>
  <c r="M246" i="16"/>
  <c r="L247" i="16"/>
  <c r="Y246" i="16" l="1"/>
  <c r="Z246" i="16" s="1"/>
  <c r="X247" i="16"/>
  <c r="M247" i="16"/>
  <c r="AI247" i="16"/>
  <c r="AJ247" i="16" s="1"/>
  <c r="AK247" i="16" s="1"/>
  <c r="T247" i="16"/>
  <c r="U247" i="16" s="1"/>
  <c r="V247" i="16" s="1"/>
  <c r="S247" i="16"/>
  <c r="AP247" i="16"/>
  <c r="AQ247" i="16" s="1"/>
  <c r="AR247" i="16" s="1"/>
  <c r="AA247" i="16"/>
  <c r="AB247" i="16" s="1"/>
  <c r="AC247" i="16" s="1"/>
  <c r="N247" i="16"/>
  <c r="L248" i="16"/>
  <c r="Y247" i="16" l="1"/>
  <c r="Z247" i="16" s="1"/>
  <c r="X248" i="16"/>
  <c r="M248" i="16"/>
  <c r="AA248" i="16"/>
  <c r="AB248" i="16" s="1"/>
  <c r="AC248" i="16" s="1"/>
  <c r="AP248" i="16"/>
  <c r="AQ248" i="16" s="1"/>
  <c r="AR248" i="16" s="1"/>
  <c r="S248" i="16"/>
  <c r="AI248" i="16"/>
  <c r="AJ248" i="16" s="1"/>
  <c r="AK248" i="16" s="1"/>
  <c r="N248" i="16"/>
  <c r="T248" i="16"/>
  <c r="U248" i="16" s="1"/>
  <c r="V248" i="16" s="1"/>
  <c r="L249" i="16"/>
  <c r="Y248" i="16" l="1"/>
  <c r="Z248" i="16" s="1"/>
  <c r="AP249" i="16"/>
  <c r="AQ249" i="16" s="1"/>
  <c r="AR249" i="16" s="1"/>
  <c r="AA249" i="16"/>
  <c r="AB249" i="16" s="1"/>
  <c r="AC249" i="16" s="1"/>
  <c r="N249" i="16"/>
  <c r="S249" i="16"/>
  <c r="AI249" i="16"/>
  <c r="AJ249" i="16" s="1"/>
  <c r="AK249" i="16" s="1"/>
  <c r="T249" i="16"/>
  <c r="U249" i="16" s="1"/>
  <c r="V249" i="16" s="1"/>
  <c r="X249" i="16"/>
  <c r="M249" i="16"/>
  <c r="L250" i="16"/>
  <c r="Y249" i="16" l="1"/>
  <c r="Z249" i="16" s="1"/>
  <c r="X250" i="16"/>
  <c r="M250" i="16"/>
  <c r="AI250" i="16"/>
  <c r="AJ250" i="16" s="1"/>
  <c r="AK250" i="16" s="1"/>
  <c r="T250" i="16"/>
  <c r="U250" i="16" s="1"/>
  <c r="V250" i="16" s="1"/>
  <c r="S250" i="16"/>
  <c r="AP250" i="16"/>
  <c r="AQ250" i="16" s="1"/>
  <c r="AR250" i="16" s="1"/>
  <c r="AA250" i="16"/>
  <c r="AB250" i="16" s="1"/>
  <c r="AC250" i="16" s="1"/>
  <c r="N250" i="16"/>
  <c r="L251" i="16"/>
  <c r="Y250" i="16" l="1"/>
  <c r="Z250" i="16" s="1"/>
  <c r="AP251" i="16"/>
  <c r="AQ251" i="16" s="1"/>
  <c r="AR251" i="16" s="1"/>
  <c r="AA251" i="16"/>
  <c r="AB251" i="16" s="1"/>
  <c r="AC251" i="16" s="1"/>
  <c r="N251" i="16"/>
  <c r="S251" i="16"/>
  <c r="AI251" i="16"/>
  <c r="AJ251" i="16" s="1"/>
  <c r="AK251" i="16" s="1"/>
  <c r="T251" i="16"/>
  <c r="U251" i="16" s="1"/>
  <c r="V251" i="16" s="1"/>
  <c r="X251" i="16"/>
  <c r="M251" i="16"/>
  <c r="L252" i="16"/>
  <c r="Y251" i="16" l="1"/>
  <c r="Z251" i="16" s="1"/>
  <c r="X252" i="16"/>
  <c r="M252" i="16"/>
  <c r="AI252" i="16"/>
  <c r="AJ252" i="16" s="1"/>
  <c r="AK252" i="16" s="1"/>
  <c r="T252" i="16"/>
  <c r="U252" i="16" s="1"/>
  <c r="V252" i="16" s="1"/>
  <c r="S252" i="16"/>
  <c r="AP252" i="16"/>
  <c r="AQ252" i="16" s="1"/>
  <c r="AR252" i="16" s="1"/>
  <c r="AA252" i="16"/>
  <c r="AB252" i="16" s="1"/>
  <c r="AC252" i="16" s="1"/>
  <c r="N252" i="16"/>
  <c r="L253" i="16"/>
  <c r="Y252" i="16" l="1"/>
  <c r="Z252" i="16" s="1"/>
  <c r="AP253" i="16"/>
  <c r="AQ253" i="16" s="1"/>
  <c r="AR253" i="16" s="1"/>
  <c r="AA253" i="16"/>
  <c r="AB253" i="16" s="1"/>
  <c r="AC253" i="16" s="1"/>
  <c r="N253" i="16"/>
  <c r="S253" i="16"/>
  <c r="AI253" i="16"/>
  <c r="AJ253" i="16" s="1"/>
  <c r="AK253" i="16" s="1"/>
  <c r="T253" i="16"/>
  <c r="U253" i="16" s="1"/>
  <c r="V253" i="16" s="1"/>
  <c r="X253" i="16"/>
  <c r="M253" i="16"/>
  <c r="L254" i="16"/>
  <c r="Y253" i="16" l="1"/>
  <c r="Z253" i="16" s="1"/>
  <c r="X254" i="16"/>
  <c r="M254" i="16"/>
  <c r="AI254" i="16"/>
  <c r="AJ254" i="16" s="1"/>
  <c r="AK254" i="16" s="1"/>
  <c r="T254" i="16"/>
  <c r="U254" i="16" s="1"/>
  <c r="V254" i="16" s="1"/>
  <c r="S254" i="16"/>
  <c r="AP254" i="16"/>
  <c r="AQ254" i="16" s="1"/>
  <c r="AR254" i="16" s="1"/>
  <c r="AA254" i="16"/>
  <c r="AB254" i="16" s="1"/>
  <c r="AC254" i="16" s="1"/>
  <c r="N254" i="16"/>
  <c r="L255" i="16"/>
  <c r="Y254" i="16" l="1"/>
  <c r="Z254" i="16" s="1"/>
  <c r="AP255" i="16"/>
  <c r="AQ255" i="16" s="1"/>
  <c r="AR255" i="16" s="1"/>
  <c r="AA255" i="16"/>
  <c r="AB255" i="16" s="1"/>
  <c r="AC255" i="16" s="1"/>
  <c r="N255" i="16"/>
  <c r="S255" i="16"/>
  <c r="AI255" i="16"/>
  <c r="AJ255" i="16" s="1"/>
  <c r="AK255" i="16" s="1"/>
  <c r="T255" i="16"/>
  <c r="U255" i="16" s="1"/>
  <c r="V255" i="16" s="1"/>
  <c r="X255" i="16"/>
  <c r="M255" i="16"/>
  <c r="L256" i="16"/>
  <c r="Y255" i="16" l="1"/>
  <c r="Z255" i="16" s="1"/>
  <c r="X256" i="16"/>
  <c r="M256" i="16"/>
  <c r="AI256" i="16"/>
  <c r="AJ256" i="16" s="1"/>
  <c r="AK256" i="16" s="1"/>
  <c r="T256" i="16"/>
  <c r="U256" i="16" s="1"/>
  <c r="V256" i="16" s="1"/>
  <c r="S256" i="16"/>
  <c r="AP256" i="16"/>
  <c r="AQ256" i="16" s="1"/>
  <c r="AR256" i="16" s="1"/>
  <c r="AA256" i="16"/>
  <c r="AB256" i="16" s="1"/>
  <c r="AC256" i="16" s="1"/>
  <c r="N256" i="16"/>
  <c r="L257" i="16"/>
  <c r="Y256" i="16" l="1"/>
  <c r="Z256" i="16" s="1"/>
  <c r="AP257" i="16"/>
  <c r="AQ257" i="16" s="1"/>
  <c r="AR257" i="16" s="1"/>
  <c r="AA257" i="16"/>
  <c r="AB257" i="16" s="1"/>
  <c r="AC257" i="16" s="1"/>
  <c r="N257" i="16"/>
  <c r="S257" i="16"/>
  <c r="AI257" i="16"/>
  <c r="AJ257" i="16" s="1"/>
  <c r="AK257" i="16" s="1"/>
  <c r="T257" i="16"/>
  <c r="U257" i="16" s="1"/>
  <c r="V257" i="16" s="1"/>
  <c r="X257" i="16"/>
  <c r="M257" i="16"/>
  <c r="L258" i="16"/>
  <c r="Y257" i="16" l="1"/>
  <c r="Z257" i="16" s="1"/>
  <c r="X258" i="16"/>
  <c r="M258" i="16"/>
  <c r="AI258" i="16"/>
  <c r="AJ258" i="16" s="1"/>
  <c r="AK258" i="16" s="1"/>
  <c r="T258" i="16"/>
  <c r="U258" i="16" s="1"/>
  <c r="V258" i="16" s="1"/>
  <c r="S258" i="16"/>
  <c r="AP258" i="16"/>
  <c r="AQ258" i="16" s="1"/>
  <c r="AR258" i="16" s="1"/>
  <c r="AA258" i="16"/>
  <c r="AB258" i="16" s="1"/>
  <c r="AC258" i="16" s="1"/>
  <c r="N258" i="16"/>
  <c r="L259" i="16"/>
  <c r="Y258" i="16" l="1"/>
  <c r="Z258" i="16" s="1"/>
  <c r="AP259" i="16"/>
  <c r="AQ259" i="16" s="1"/>
  <c r="AR259" i="16" s="1"/>
  <c r="AA259" i="16"/>
  <c r="AB259" i="16" s="1"/>
  <c r="AC259" i="16" s="1"/>
  <c r="N259" i="16"/>
  <c r="S259" i="16"/>
  <c r="AI259" i="16"/>
  <c r="AJ259" i="16" s="1"/>
  <c r="AK259" i="16" s="1"/>
  <c r="T259" i="16"/>
  <c r="U259" i="16" s="1"/>
  <c r="V259" i="16" s="1"/>
  <c r="X259" i="16"/>
  <c r="M259" i="16"/>
  <c r="L260" i="16"/>
  <c r="Y259" i="16" l="1"/>
  <c r="Z259" i="16" s="1"/>
  <c r="X260" i="16"/>
  <c r="M260" i="16"/>
  <c r="AI260" i="16"/>
  <c r="AJ260" i="16" s="1"/>
  <c r="AK260" i="16" s="1"/>
  <c r="T260" i="16"/>
  <c r="U260" i="16" s="1"/>
  <c r="V260" i="16" s="1"/>
  <c r="S260" i="16"/>
  <c r="AP260" i="16"/>
  <c r="AQ260" i="16" s="1"/>
  <c r="AR260" i="16" s="1"/>
  <c r="AA260" i="16"/>
  <c r="AB260" i="16" s="1"/>
  <c r="AC260" i="16" s="1"/>
  <c r="N260" i="16"/>
  <c r="L261" i="16"/>
  <c r="Y260" i="16" l="1"/>
  <c r="Z260" i="16" s="1"/>
  <c r="AP261" i="16"/>
  <c r="AQ261" i="16" s="1"/>
  <c r="AR261" i="16" s="1"/>
  <c r="AA261" i="16"/>
  <c r="AB261" i="16" s="1"/>
  <c r="AC261" i="16" s="1"/>
  <c r="N261" i="16"/>
  <c r="S261" i="16"/>
  <c r="AI261" i="16"/>
  <c r="AJ261" i="16" s="1"/>
  <c r="AK261" i="16" s="1"/>
  <c r="T261" i="16"/>
  <c r="U261" i="16" s="1"/>
  <c r="V261" i="16" s="1"/>
  <c r="X261" i="16"/>
  <c r="M261" i="16"/>
  <c r="L262" i="16"/>
  <c r="Y261" i="16" l="1"/>
  <c r="Z261" i="16" s="1"/>
  <c r="X262" i="16"/>
  <c r="M262" i="16"/>
  <c r="AI262" i="16"/>
  <c r="AJ262" i="16" s="1"/>
  <c r="AK262" i="16" s="1"/>
  <c r="T262" i="16"/>
  <c r="U262" i="16" s="1"/>
  <c r="V262" i="16" s="1"/>
  <c r="S262" i="16"/>
  <c r="AP262" i="16"/>
  <c r="AQ262" i="16" s="1"/>
  <c r="AR262" i="16" s="1"/>
  <c r="AA262" i="16"/>
  <c r="AB262" i="16" s="1"/>
  <c r="AC262" i="16" s="1"/>
  <c r="N262" i="16"/>
  <c r="L263" i="16"/>
  <c r="Y262" i="16" l="1"/>
  <c r="Z262" i="16" s="1"/>
  <c r="AP263" i="16"/>
  <c r="AQ263" i="16" s="1"/>
  <c r="AR263" i="16" s="1"/>
  <c r="AA263" i="16"/>
  <c r="AB263" i="16" s="1"/>
  <c r="AC263" i="16" s="1"/>
  <c r="N263" i="16"/>
  <c r="S263" i="16"/>
  <c r="AI263" i="16"/>
  <c r="AJ263" i="16" s="1"/>
  <c r="AK263" i="16" s="1"/>
  <c r="T263" i="16"/>
  <c r="U263" i="16" s="1"/>
  <c r="V263" i="16" s="1"/>
  <c r="X263" i="16"/>
  <c r="M263" i="16"/>
  <c r="L264" i="16"/>
  <c r="Y263" i="16" l="1"/>
  <c r="Z263" i="16" s="1"/>
  <c r="X264" i="16"/>
  <c r="M264" i="16"/>
  <c r="AI264" i="16"/>
  <c r="AJ264" i="16" s="1"/>
  <c r="AK264" i="16" s="1"/>
  <c r="T264" i="16"/>
  <c r="U264" i="16" s="1"/>
  <c r="V264" i="16" s="1"/>
  <c r="S264" i="16"/>
  <c r="AP264" i="16"/>
  <c r="AQ264" i="16" s="1"/>
  <c r="AR264" i="16" s="1"/>
  <c r="AA264" i="16"/>
  <c r="AB264" i="16" s="1"/>
  <c r="AC264" i="16" s="1"/>
  <c r="N264" i="16"/>
  <c r="L265" i="16"/>
  <c r="Y264" i="16" l="1"/>
  <c r="Z264" i="16" s="1"/>
  <c r="AP265" i="16"/>
  <c r="AQ265" i="16" s="1"/>
  <c r="AR265" i="16" s="1"/>
  <c r="AA265" i="16"/>
  <c r="AB265" i="16" s="1"/>
  <c r="AC265" i="16" s="1"/>
  <c r="N265" i="16"/>
  <c r="S265" i="16"/>
  <c r="AI265" i="16"/>
  <c r="AJ265" i="16" s="1"/>
  <c r="AK265" i="16" s="1"/>
  <c r="T265" i="16"/>
  <c r="U265" i="16" s="1"/>
  <c r="V265" i="16" s="1"/>
  <c r="X265" i="16"/>
  <c r="M265" i="16"/>
  <c r="L266" i="16"/>
  <c r="Y265" i="16" l="1"/>
  <c r="Z265" i="16" s="1"/>
  <c r="X266" i="16"/>
  <c r="M266" i="16"/>
  <c r="AI266" i="16"/>
  <c r="AJ266" i="16" s="1"/>
  <c r="AK266" i="16" s="1"/>
  <c r="T266" i="16"/>
  <c r="U266" i="16" s="1"/>
  <c r="V266" i="16" s="1"/>
  <c r="S266" i="16"/>
  <c r="AP266" i="16"/>
  <c r="AQ266" i="16" s="1"/>
  <c r="AR266" i="16" s="1"/>
  <c r="AA266" i="16"/>
  <c r="AB266" i="16" s="1"/>
  <c r="AC266" i="16" s="1"/>
  <c r="N266" i="16"/>
  <c r="L267" i="16"/>
  <c r="Y266" i="16" l="1"/>
  <c r="Z266" i="16" s="1"/>
  <c r="AP267" i="16"/>
  <c r="AQ267" i="16" s="1"/>
  <c r="AR267" i="16" s="1"/>
  <c r="AA267" i="16"/>
  <c r="AB267" i="16" s="1"/>
  <c r="AC267" i="16" s="1"/>
  <c r="N267" i="16"/>
  <c r="S267" i="16"/>
  <c r="AI267" i="16"/>
  <c r="AJ267" i="16" s="1"/>
  <c r="AK267" i="16" s="1"/>
  <c r="T267" i="16"/>
  <c r="U267" i="16" s="1"/>
  <c r="V267" i="16" s="1"/>
  <c r="X267" i="16"/>
  <c r="M267" i="16"/>
  <c r="L268" i="16"/>
  <c r="Y267" i="16" l="1"/>
  <c r="Z267" i="16" s="1"/>
  <c r="X268" i="16"/>
  <c r="M268" i="16"/>
  <c r="AI268" i="16"/>
  <c r="AJ268" i="16" s="1"/>
  <c r="AK268" i="16" s="1"/>
  <c r="T268" i="16"/>
  <c r="U268" i="16" s="1"/>
  <c r="V268" i="16" s="1"/>
  <c r="S268" i="16"/>
  <c r="AP268" i="16"/>
  <c r="AQ268" i="16" s="1"/>
  <c r="AR268" i="16" s="1"/>
  <c r="AA268" i="16"/>
  <c r="AB268" i="16" s="1"/>
  <c r="AC268" i="16" s="1"/>
  <c r="N268" i="16"/>
  <c r="L269" i="16"/>
  <c r="Y268" i="16" l="1"/>
  <c r="Z268" i="16" s="1"/>
  <c r="AP269" i="16"/>
  <c r="AQ269" i="16" s="1"/>
  <c r="AR269" i="16" s="1"/>
  <c r="AA269" i="16"/>
  <c r="AB269" i="16" s="1"/>
  <c r="AC269" i="16" s="1"/>
  <c r="N269" i="16"/>
  <c r="S269" i="16"/>
  <c r="AI269" i="16"/>
  <c r="AJ269" i="16" s="1"/>
  <c r="AK269" i="16" s="1"/>
  <c r="T269" i="16"/>
  <c r="U269" i="16" s="1"/>
  <c r="V269" i="16" s="1"/>
  <c r="X269" i="16"/>
  <c r="M269" i="16"/>
  <c r="L270" i="16"/>
  <c r="Y269" i="16" l="1"/>
  <c r="Z269" i="16" s="1"/>
  <c r="X270" i="16"/>
  <c r="M270" i="16"/>
  <c r="AI270" i="16"/>
  <c r="AJ270" i="16" s="1"/>
  <c r="AK270" i="16" s="1"/>
  <c r="T270" i="16"/>
  <c r="U270" i="16" s="1"/>
  <c r="V270" i="16" s="1"/>
  <c r="S270" i="16"/>
  <c r="AP270" i="16"/>
  <c r="AQ270" i="16" s="1"/>
  <c r="AR270" i="16" s="1"/>
  <c r="AA270" i="16"/>
  <c r="AB270" i="16" s="1"/>
  <c r="AC270" i="16" s="1"/>
  <c r="N270" i="16"/>
  <c r="L271" i="16"/>
  <c r="Y270" i="16" l="1"/>
  <c r="Z270" i="16" s="1"/>
  <c r="AP271" i="16"/>
  <c r="AQ271" i="16" s="1"/>
  <c r="AR271" i="16" s="1"/>
  <c r="AA271" i="16"/>
  <c r="AB271" i="16" s="1"/>
  <c r="AC271" i="16" s="1"/>
  <c r="N271" i="16"/>
  <c r="S271" i="16"/>
  <c r="AI271" i="16"/>
  <c r="AJ271" i="16" s="1"/>
  <c r="AK271" i="16" s="1"/>
  <c r="T271" i="16"/>
  <c r="U271" i="16" s="1"/>
  <c r="V271" i="16" s="1"/>
  <c r="X271" i="16"/>
  <c r="M271" i="16"/>
  <c r="L272" i="16"/>
  <c r="Y271" i="16" l="1"/>
  <c r="Z271" i="16" s="1"/>
  <c r="X272" i="16"/>
  <c r="M272" i="16"/>
  <c r="AI272" i="16"/>
  <c r="AJ272" i="16" s="1"/>
  <c r="AK272" i="16" s="1"/>
  <c r="T272" i="16"/>
  <c r="U272" i="16" s="1"/>
  <c r="V272" i="16" s="1"/>
  <c r="S272" i="16"/>
  <c r="AP272" i="16"/>
  <c r="AQ272" i="16" s="1"/>
  <c r="AR272" i="16" s="1"/>
  <c r="AA272" i="16"/>
  <c r="AB272" i="16" s="1"/>
  <c r="AC272" i="16" s="1"/>
  <c r="N272" i="16"/>
  <c r="L273" i="16"/>
  <c r="Y272" i="16" l="1"/>
  <c r="Z272" i="16" s="1"/>
  <c r="AP273" i="16"/>
  <c r="AQ273" i="16" s="1"/>
  <c r="AR273" i="16" s="1"/>
  <c r="AA273" i="16"/>
  <c r="AB273" i="16" s="1"/>
  <c r="AC273" i="16" s="1"/>
  <c r="N273" i="16"/>
  <c r="S273" i="16"/>
  <c r="AI273" i="16"/>
  <c r="AJ273" i="16" s="1"/>
  <c r="AK273" i="16" s="1"/>
  <c r="T273" i="16"/>
  <c r="U273" i="16" s="1"/>
  <c r="V273" i="16" s="1"/>
  <c r="X273" i="16"/>
  <c r="M273" i="16"/>
  <c r="L274" i="16"/>
  <c r="Y273" i="16" l="1"/>
  <c r="Z273" i="16" s="1"/>
  <c r="X274" i="16"/>
  <c r="M274" i="16"/>
  <c r="AI274" i="16"/>
  <c r="AJ274" i="16" s="1"/>
  <c r="AK274" i="16" s="1"/>
  <c r="T274" i="16"/>
  <c r="U274" i="16" s="1"/>
  <c r="V274" i="16" s="1"/>
  <c r="S274" i="16"/>
  <c r="AP274" i="16"/>
  <c r="AQ274" i="16" s="1"/>
  <c r="AR274" i="16" s="1"/>
  <c r="AA274" i="16"/>
  <c r="AB274" i="16" s="1"/>
  <c r="AC274" i="16" s="1"/>
  <c r="N274" i="16"/>
  <c r="L275" i="16"/>
  <c r="Y274" i="16" l="1"/>
  <c r="Z274" i="16" s="1"/>
  <c r="AP275" i="16"/>
  <c r="AQ275" i="16" s="1"/>
  <c r="AR275" i="16" s="1"/>
  <c r="AA275" i="16"/>
  <c r="AB275" i="16" s="1"/>
  <c r="AC275" i="16" s="1"/>
  <c r="N275" i="16"/>
  <c r="S275" i="16"/>
  <c r="AI275" i="16"/>
  <c r="AJ275" i="16" s="1"/>
  <c r="AK275" i="16" s="1"/>
  <c r="T275" i="16"/>
  <c r="U275" i="16" s="1"/>
  <c r="V275" i="16" s="1"/>
  <c r="X275" i="16"/>
  <c r="M275" i="16"/>
  <c r="L276" i="16"/>
  <c r="Y275" i="16" l="1"/>
  <c r="Z275" i="16" s="1"/>
  <c r="X276" i="16"/>
  <c r="M276" i="16"/>
  <c r="AI276" i="16"/>
  <c r="AJ276" i="16" s="1"/>
  <c r="AK276" i="16" s="1"/>
  <c r="T276" i="16"/>
  <c r="U276" i="16" s="1"/>
  <c r="V276" i="16" s="1"/>
  <c r="S276" i="16"/>
  <c r="AP276" i="16"/>
  <c r="AQ276" i="16" s="1"/>
  <c r="AR276" i="16" s="1"/>
  <c r="AA276" i="16"/>
  <c r="AB276" i="16" s="1"/>
  <c r="AC276" i="16" s="1"/>
  <c r="N276" i="16"/>
  <c r="L277" i="16"/>
  <c r="Y276" i="16" l="1"/>
  <c r="Z276" i="16" s="1"/>
  <c r="AP277" i="16"/>
  <c r="AQ277" i="16" s="1"/>
  <c r="AR277" i="16" s="1"/>
  <c r="AA277" i="16"/>
  <c r="AB277" i="16" s="1"/>
  <c r="AC277" i="16" s="1"/>
  <c r="N277" i="16"/>
  <c r="S277" i="16"/>
  <c r="AI277" i="16"/>
  <c r="AJ277" i="16" s="1"/>
  <c r="AK277" i="16" s="1"/>
  <c r="T277" i="16"/>
  <c r="U277" i="16" s="1"/>
  <c r="V277" i="16" s="1"/>
  <c r="X277" i="16"/>
  <c r="M277" i="16"/>
  <c r="L278" i="16"/>
  <c r="Y277" i="16" l="1"/>
  <c r="Z277" i="16" s="1"/>
  <c r="X278" i="16"/>
  <c r="M278" i="16"/>
  <c r="AI278" i="16"/>
  <c r="AJ278" i="16" s="1"/>
  <c r="AK278" i="16" s="1"/>
  <c r="T278" i="16"/>
  <c r="U278" i="16" s="1"/>
  <c r="V278" i="16" s="1"/>
  <c r="S278" i="16"/>
  <c r="AP278" i="16"/>
  <c r="AQ278" i="16" s="1"/>
  <c r="AR278" i="16" s="1"/>
  <c r="AA278" i="16"/>
  <c r="AB278" i="16" s="1"/>
  <c r="AC278" i="16" s="1"/>
  <c r="N278" i="16"/>
  <c r="L279" i="16"/>
  <c r="Y278" i="16" l="1"/>
  <c r="Z278" i="16" s="1"/>
  <c r="AP279" i="16"/>
  <c r="AQ279" i="16" s="1"/>
  <c r="AR279" i="16" s="1"/>
  <c r="AA279" i="16"/>
  <c r="AB279" i="16" s="1"/>
  <c r="AC279" i="16" s="1"/>
  <c r="N279" i="16"/>
  <c r="S279" i="16"/>
  <c r="AI279" i="16"/>
  <c r="AJ279" i="16" s="1"/>
  <c r="AK279" i="16" s="1"/>
  <c r="T279" i="16"/>
  <c r="U279" i="16" s="1"/>
  <c r="V279" i="16" s="1"/>
  <c r="X279" i="16"/>
  <c r="M279" i="16"/>
  <c r="L280" i="16"/>
  <c r="Y279" i="16" l="1"/>
  <c r="Z279" i="16" s="1"/>
  <c r="X280" i="16"/>
  <c r="M280" i="16"/>
  <c r="AI280" i="16"/>
  <c r="AJ280" i="16" s="1"/>
  <c r="AK280" i="16" s="1"/>
  <c r="T280" i="16"/>
  <c r="U280" i="16" s="1"/>
  <c r="V280" i="16" s="1"/>
  <c r="S280" i="16"/>
  <c r="AP280" i="16"/>
  <c r="AQ280" i="16" s="1"/>
  <c r="AR280" i="16" s="1"/>
  <c r="AA280" i="16"/>
  <c r="AB280" i="16" s="1"/>
  <c r="AC280" i="16" s="1"/>
  <c r="N280" i="16"/>
  <c r="L281" i="16"/>
  <c r="Y280" i="16" l="1"/>
  <c r="Z280" i="16" s="1"/>
  <c r="AP281" i="16"/>
  <c r="AQ281" i="16" s="1"/>
  <c r="AR281" i="16" s="1"/>
  <c r="AA281" i="16"/>
  <c r="AB281" i="16" s="1"/>
  <c r="AC281" i="16" s="1"/>
  <c r="N281" i="16"/>
  <c r="S281" i="16"/>
  <c r="AI281" i="16"/>
  <c r="AJ281" i="16" s="1"/>
  <c r="AK281" i="16" s="1"/>
  <c r="T281" i="16"/>
  <c r="U281" i="16" s="1"/>
  <c r="V281" i="16" s="1"/>
  <c r="X281" i="16"/>
  <c r="M281" i="16"/>
  <c r="L282" i="16"/>
  <c r="Y281" i="16" l="1"/>
  <c r="Z281" i="16" s="1"/>
  <c r="X282" i="16"/>
  <c r="M282" i="16"/>
  <c r="AI282" i="16"/>
  <c r="AJ282" i="16" s="1"/>
  <c r="AK282" i="16" s="1"/>
  <c r="T282" i="16"/>
  <c r="U282" i="16" s="1"/>
  <c r="V282" i="16" s="1"/>
  <c r="S282" i="16"/>
  <c r="AP282" i="16"/>
  <c r="AQ282" i="16" s="1"/>
  <c r="AR282" i="16" s="1"/>
  <c r="AA282" i="16"/>
  <c r="AB282" i="16" s="1"/>
  <c r="AC282" i="16" s="1"/>
  <c r="N282" i="16"/>
  <c r="L283" i="16"/>
  <c r="Y282" i="16" l="1"/>
  <c r="Z282" i="16" s="1"/>
  <c r="AP283" i="16"/>
  <c r="AQ283" i="16" s="1"/>
  <c r="AR283" i="16" s="1"/>
  <c r="AA283" i="16"/>
  <c r="AB283" i="16" s="1"/>
  <c r="AC283" i="16" s="1"/>
  <c r="N283" i="16"/>
  <c r="S283" i="16"/>
  <c r="AI283" i="16"/>
  <c r="AJ283" i="16" s="1"/>
  <c r="AK283" i="16" s="1"/>
  <c r="T283" i="16"/>
  <c r="U283" i="16" s="1"/>
  <c r="V283" i="16" s="1"/>
  <c r="X283" i="16"/>
  <c r="M283" i="16"/>
  <c r="L284" i="16"/>
  <c r="Y283" i="16" l="1"/>
  <c r="Z283" i="16" s="1"/>
  <c r="X284" i="16"/>
  <c r="M284" i="16"/>
  <c r="AI284" i="16"/>
  <c r="AJ284" i="16" s="1"/>
  <c r="AK284" i="16" s="1"/>
  <c r="T284" i="16"/>
  <c r="U284" i="16" s="1"/>
  <c r="V284" i="16" s="1"/>
  <c r="S284" i="16"/>
  <c r="AP284" i="16"/>
  <c r="AQ284" i="16" s="1"/>
  <c r="AR284" i="16" s="1"/>
  <c r="AA284" i="16"/>
  <c r="AB284" i="16" s="1"/>
  <c r="AC284" i="16" s="1"/>
  <c r="N284" i="16"/>
  <c r="L285" i="16"/>
  <c r="Y284" i="16" l="1"/>
  <c r="Z284" i="16" s="1"/>
  <c r="AP285" i="16"/>
  <c r="AQ285" i="16" s="1"/>
  <c r="AR285" i="16" s="1"/>
  <c r="AA285" i="16"/>
  <c r="AB285" i="16" s="1"/>
  <c r="AC285" i="16" s="1"/>
  <c r="N285" i="16"/>
  <c r="S285" i="16"/>
  <c r="AI285" i="16"/>
  <c r="AJ285" i="16" s="1"/>
  <c r="AK285" i="16" s="1"/>
  <c r="T285" i="16"/>
  <c r="U285" i="16" s="1"/>
  <c r="V285" i="16" s="1"/>
  <c r="X285" i="16"/>
  <c r="M285" i="16"/>
  <c r="L286" i="16"/>
  <c r="Y285" i="16" l="1"/>
  <c r="Z285" i="16" s="1"/>
  <c r="X286" i="16"/>
  <c r="M286" i="16"/>
  <c r="AI286" i="16"/>
  <c r="AJ286" i="16" s="1"/>
  <c r="AK286" i="16" s="1"/>
  <c r="T286" i="16"/>
  <c r="U286" i="16" s="1"/>
  <c r="V286" i="16" s="1"/>
  <c r="S286" i="16"/>
  <c r="AP286" i="16"/>
  <c r="AQ286" i="16" s="1"/>
  <c r="AR286" i="16" s="1"/>
  <c r="AA286" i="16"/>
  <c r="AB286" i="16" s="1"/>
  <c r="AC286" i="16" s="1"/>
  <c r="N286" i="16"/>
  <c r="L287" i="16"/>
  <c r="Y286" i="16" l="1"/>
  <c r="Z286" i="16" s="1"/>
  <c r="AP287" i="16"/>
  <c r="AQ287" i="16" s="1"/>
  <c r="AR287" i="16" s="1"/>
  <c r="AA287" i="16"/>
  <c r="AB287" i="16" s="1"/>
  <c r="AC287" i="16" s="1"/>
  <c r="N287" i="16"/>
  <c r="S287" i="16"/>
  <c r="AI287" i="16"/>
  <c r="AJ287" i="16" s="1"/>
  <c r="AK287" i="16" s="1"/>
  <c r="T287" i="16"/>
  <c r="U287" i="16" s="1"/>
  <c r="V287" i="16" s="1"/>
  <c r="X287" i="16"/>
  <c r="M287" i="16"/>
  <c r="L288" i="16"/>
  <c r="Y287" i="16" l="1"/>
  <c r="Z287" i="16" s="1"/>
  <c r="X288" i="16"/>
  <c r="M288" i="16"/>
  <c r="AI288" i="16"/>
  <c r="AJ288" i="16" s="1"/>
  <c r="AK288" i="16" s="1"/>
  <c r="T288" i="16"/>
  <c r="U288" i="16" s="1"/>
  <c r="V288" i="16" s="1"/>
  <c r="S288" i="16"/>
  <c r="AP288" i="16"/>
  <c r="AQ288" i="16" s="1"/>
  <c r="AR288" i="16" s="1"/>
  <c r="AA288" i="16"/>
  <c r="AB288" i="16" s="1"/>
  <c r="AC288" i="16" s="1"/>
  <c r="N288" i="16"/>
  <c r="L289" i="16"/>
  <c r="Y288" i="16" l="1"/>
  <c r="Z288" i="16" s="1"/>
  <c r="AP289" i="16"/>
  <c r="AQ289" i="16" s="1"/>
  <c r="AR289" i="16" s="1"/>
  <c r="AA289" i="16"/>
  <c r="AB289" i="16" s="1"/>
  <c r="AC289" i="16" s="1"/>
  <c r="N289" i="16"/>
  <c r="S289" i="16"/>
  <c r="AI289" i="16"/>
  <c r="AJ289" i="16" s="1"/>
  <c r="AK289" i="16" s="1"/>
  <c r="T289" i="16"/>
  <c r="U289" i="16" s="1"/>
  <c r="V289" i="16" s="1"/>
  <c r="X289" i="16"/>
  <c r="M289" i="16"/>
  <c r="L290" i="16"/>
  <c r="Y289" i="16" l="1"/>
  <c r="Z289" i="16" s="1"/>
  <c r="AP290" i="16"/>
  <c r="AQ290" i="16" s="1"/>
  <c r="AR290" i="16" s="1"/>
  <c r="S290" i="16"/>
  <c r="AI290" i="16"/>
  <c r="AJ290" i="16" s="1"/>
  <c r="AK290" i="16" s="1"/>
  <c r="T290" i="16"/>
  <c r="U290" i="16" s="1"/>
  <c r="V290" i="16" s="1"/>
  <c r="X290" i="16"/>
  <c r="M290" i="16"/>
  <c r="AA290" i="16"/>
  <c r="AB290" i="16" s="1"/>
  <c r="AC290" i="16" s="1"/>
  <c r="N290" i="16"/>
  <c r="L291" i="16"/>
  <c r="Y290" i="16" l="1"/>
  <c r="Z290" i="16" s="1"/>
  <c r="AP291" i="16"/>
  <c r="AQ291" i="16" s="1"/>
  <c r="AR291" i="16" s="1"/>
  <c r="AA291" i="16"/>
  <c r="AB291" i="16" s="1"/>
  <c r="AC291" i="16" s="1"/>
  <c r="N291" i="16"/>
  <c r="S291" i="16"/>
  <c r="AI291" i="16"/>
  <c r="AJ291" i="16" s="1"/>
  <c r="AK291" i="16" s="1"/>
  <c r="T291" i="16"/>
  <c r="U291" i="16" s="1"/>
  <c r="V291" i="16" s="1"/>
  <c r="X291" i="16"/>
  <c r="M291" i="16"/>
  <c r="L292" i="16"/>
  <c r="Y291" i="16" l="1"/>
  <c r="Z291" i="16" s="1"/>
  <c r="X292" i="16"/>
  <c r="M292" i="16"/>
  <c r="AI292" i="16"/>
  <c r="AJ292" i="16" s="1"/>
  <c r="AK292" i="16" s="1"/>
  <c r="T292" i="16"/>
  <c r="U292" i="16" s="1"/>
  <c r="V292" i="16" s="1"/>
  <c r="S292" i="16"/>
  <c r="AP292" i="16"/>
  <c r="AQ292" i="16" s="1"/>
  <c r="AR292" i="16" s="1"/>
  <c r="AA292" i="16"/>
  <c r="AB292" i="16" s="1"/>
  <c r="AC292" i="16" s="1"/>
  <c r="N292" i="16"/>
  <c r="L293" i="16"/>
  <c r="Y292" i="16" l="1"/>
  <c r="Z292" i="16" s="1"/>
  <c r="AP293" i="16"/>
  <c r="AQ293" i="16" s="1"/>
  <c r="AR293" i="16" s="1"/>
  <c r="AA293" i="16"/>
  <c r="AB293" i="16" s="1"/>
  <c r="AC293" i="16" s="1"/>
  <c r="N293" i="16"/>
  <c r="S293" i="16"/>
  <c r="AI293" i="16"/>
  <c r="AJ293" i="16" s="1"/>
  <c r="AK293" i="16" s="1"/>
  <c r="T293" i="16"/>
  <c r="U293" i="16" s="1"/>
  <c r="V293" i="16" s="1"/>
  <c r="X293" i="16"/>
  <c r="M293" i="16"/>
  <c r="L294" i="16"/>
  <c r="Y293" i="16" l="1"/>
  <c r="Z293" i="16" s="1"/>
  <c r="X294" i="16"/>
  <c r="M294" i="16"/>
  <c r="AI294" i="16"/>
  <c r="AJ294" i="16" s="1"/>
  <c r="AK294" i="16" s="1"/>
  <c r="T294" i="16"/>
  <c r="U294" i="16" s="1"/>
  <c r="V294" i="16" s="1"/>
  <c r="S294" i="16"/>
  <c r="AP294" i="16"/>
  <c r="AQ294" i="16" s="1"/>
  <c r="AR294" i="16" s="1"/>
  <c r="AA294" i="16"/>
  <c r="AB294" i="16" s="1"/>
  <c r="AC294" i="16" s="1"/>
  <c r="N294" i="16"/>
  <c r="L295" i="16"/>
  <c r="Y294" i="16" l="1"/>
  <c r="Z294" i="16" s="1"/>
  <c r="AP295" i="16"/>
  <c r="AQ295" i="16" s="1"/>
  <c r="AR295" i="16" s="1"/>
  <c r="AA295" i="16"/>
  <c r="AB295" i="16" s="1"/>
  <c r="AC295" i="16" s="1"/>
  <c r="N295" i="16"/>
  <c r="S295" i="16"/>
  <c r="AI295" i="16"/>
  <c r="AJ295" i="16" s="1"/>
  <c r="AK295" i="16" s="1"/>
  <c r="T295" i="16"/>
  <c r="U295" i="16" s="1"/>
  <c r="V295" i="16" s="1"/>
  <c r="X295" i="16"/>
  <c r="M295" i="16"/>
  <c r="L296" i="16"/>
  <c r="Y295" i="16" l="1"/>
  <c r="Z295" i="16" s="1"/>
  <c r="X296" i="16"/>
  <c r="M296" i="16"/>
  <c r="AI296" i="16"/>
  <c r="AJ296" i="16" s="1"/>
  <c r="AK296" i="16" s="1"/>
  <c r="T296" i="16"/>
  <c r="U296" i="16" s="1"/>
  <c r="V296" i="16" s="1"/>
  <c r="S296" i="16"/>
  <c r="AP296" i="16"/>
  <c r="AQ296" i="16" s="1"/>
  <c r="AR296" i="16" s="1"/>
  <c r="AA296" i="16"/>
  <c r="AB296" i="16" s="1"/>
  <c r="AC296" i="16" s="1"/>
  <c r="N296" i="16"/>
  <c r="L297" i="16"/>
  <c r="Y296" i="16" l="1"/>
  <c r="Z296" i="16" s="1"/>
  <c r="AP297" i="16"/>
  <c r="AQ297" i="16" s="1"/>
  <c r="AR297" i="16" s="1"/>
  <c r="AA297" i="16"/>
  <c r="AB297" i="16" s="1"/>
  <c r="AC297" i="16" s="1"/>
  <c r="N297" i="16"/>
  <c r="S297" i="16"/>
  <c r="AI297" i="16"/>
  <c r="AJ297" i="16" s="1"/>
  <c r="AK297" i="16" s="1"/>
  <c r="T297" i="16"/>
  <c r="U297" i="16" s="1"/>
  <c r="V297" i="16" s="1"/>
  <c r="X297" i="16"/>
  <c r="M297" i="16"/>
  <c r="L298" i="16"/>
  <c r="Y297" i="16" l="1"/>
  <c r="Z297" i="16" s="1"/>
  <c r="X298" i="16"/>
  <c r="M298" i="16"/>
  <c r="AI298" i="16"/>
  <c r="AJ298" i="16" s="1"/>
  <c r="AK298" i="16" s="1"/>
  <c r="T298" i="16"/>
  <c r="U298" i="16" s="1"/>
  <c r="V298" i="16" s="1"/>
  <c r="S298" i="16"/>
  <c r="AP298" i="16"/>
  <c r="AQ298" i="16" s="1"/>
  <c r="AR298" i="16" s="1"/>
  <c r="AA298" i="16"/>
  <c r="AB298" i="16" s="1"/>
  <c r="AC298" i="16" s="1"/>
  <c r="N298" i="16"/>
  <c r="L299" i="16"/>
  <c r="Y298" i="16" l="1"/>
  <c r="Z298" i="16" s="1"/>
  <c r="AP299" i="16"/>
  <c r="AQ299" i="16" s="1"/>
  <c r="AR299" i="16" s="1"/>
  <c r="AA299" i="16"/>
  <c r="AB299" i="16" s="1"/>
  <c r="AC299" i="16" s="1"/>
  <c r="N299" i="16"/>
  <c r="S299" i="16"/>
  <c r="AI299" i="16"/>
  <c r="AJ299" i="16" s="1"/>
  <c r="AK299" i="16" s="1"/>
  <c r="T299" i="16"/>
  <c r="U299" i="16" s="1"/>
  <c r="V299" i="16" s="1"/>
  <c r="X299" i="16"/>
  <c r="M299" i="16"/>
  <c r="L300" i="16"/>
  <c r="Y299" i="16" l="1"/>
  <c r="Z299" i="16" s="1"/>
  <c r="X300" i="16"/>
  <c r="M300" i="16"/>
  <c r="AI300" i="16"/>
  <c r="AJ300" i="16" s="1"/>
  <c r="AK300" i="16" s="1"/>
  <c r="T300" i="16"/>
  <c r="U300" i="16" s="1"/>
  <c r="V300" i="16" s="1"/>
  <c r="S300" i="16"/>
  <c r="AP300" i="16"/>
  <c r="AQ300" i="16" s="1"/>
  <c r="AR300" i="16" s="1"/>
  <c r="AA300" i="16"/>
  <c r="AB300" i="16" s="1"/>
  <c r="AC300" i="16" s="1"/>
  <c r="N300" i="16"/>
  <c r="L301" i="16"/>
  <c r="Y300" i="16" l="1"/>
  <c r="Z300" i="16" s="1"/>
  <c r="AP301" i="16"/>
  <c r="AQ301" i="16" s="1"/>
  <c r="AR301" i="16" s="1"/>
  <c r="AA301" i="16"/>
  <c r="AB301" i="16" s="1"/>
  <c r="AC301" i="16" s="1"/>
  <c r="N301" i="16"/>
  <c r="S301" i="16"/>
  <c r="AI301" i="16"/>
  <c r="AJ301" i="16" s="1"/>
  <c r="AK301" i="16" s="1"/>
  <c r="T301" i="16"/>
  <c r="U301" i="16" s="1"/>
  <c r="V301" i="16" s="1"/>
  <c r="X301" i="16"/>
  <c r="M301" i="16"/>
  <c r="L302" i="16"/>
  <c r="Y301" i="16" l="1"/>
  <c r="Z301" i="16" s="1"/>
  <c r="X302" i="16"/>
  <c r="M302" i="16"/>
  <c r="AI302" i="16"/>
  <c r="AJ302" i="16" s="1"/>
  <c r="AK302" i="16" s="1"/>
  <c r="T302" i="16"/>
  <c r="U302" i="16" s="1"/>
  <c r="V302" i="16" s="1"/>
  <c r="S302" i="16"/>
  <c r="AP302" i="16"/>
  <c r="AQ302" i="16" s="1"/>
  <c r="AR302" i="16" s="1"/>
  <c r="AA302" i="16"/>
  <c r="AB302" i="16" s="1"/>
  <c r="AC302" i="16" s="1"/>
  <c r="N302" i="16"/>
  <c r="L303" i="16"/>
  <c r="Y302" i="16" l="1"/>
  <c r="Z302" i="16" s="1"/>
  <c r="AP303" i="16"/>
  <c r="AQ303" i="16" s="1"/>
  <c r="AR303" i="16" s="1"/>
  <c r="AA303" i="16"/>
  <c r="AB303" i="16" s="1"/>
  <c r="AC303" i="16" s="1"/>
  <c r="N303" i="16"/>
  <c r="S303" i="16"/>
  <c r="AI303" i="16"/>
  <c r="AJ303" i="16" s="1"/>
  <c r="AK303" i="16" s="1"/>
  <c r="T303" i="16"/>
  <c r="U303" i="16" s="1"/>
  <c r="V303" i="16" s="1"/>
  <c r="X303" i="16"/>
  <c r="M303" i="16"/>
  <c r="L304" i="16"/>
  <c r="Y303" i="16" l="1"/>
  <c r="Z303" i="16" s="1"/>
  <c r="X304" i="16"/>
  <c r="M304" i="16"/>
  <c r="AI304" i="16"/>
  <c r="AJ304" i="16" s="1"/>
  <c r="AK304" i="16" s="1"/>
  <c r="T304" i="16"/>
  <c r="U304" i="16" s="1"/>
  <c r="V304" i="16" s="1"/>
  <c r="S304" i="16"/>
  <c r="AP304" i="16"/>
  <c r="AQ304" i="16" s="1"/>
  <c r="AR304" i="16" s="1"/>
  <c r="AA304" i="16"/>
  <c r="AB304" i="16" s="1"/>
  <c r="AC304" i="16" s="1"/>
  <c r="N304" i="16"/>
  <c r="L305" i="16"/>
  <c r="Y304" i="16" l="1"/>
  <c r="Z304" i="16" s="1"/>
  <c r="AP305" i="16"/>
  <c r="AQ305" i="16" s="1"/>
  <c r="AR305" i="16" s="1"/>
  <c r="AA305" i="16"/>
  <c r="AB305" i="16" s="1"/>
  <c r="AC305" i="16" s="1"/>
  <c r="N305" i="16"/>
  <c r="S305" i="16"/>
  <c r="AI305" i="16"/>
  <c r="AJ305" i="16" s="1"/>
  <c r="AK305" i="16" s="1"/>
  <c r="T305" i="16"/>
  <c r="U305" i="16" s="1"/>
  <c r="V305" i="16" s="1"/>
  <c r="X305" i="16"/>
  <c r="M305" i="16"/>
  <c r="L306" i="16"/>
  <c r="Y305" i="16" l="1"/>
  <c r="Z305" i="16" s="1"/>
  <c r="X306" i="16"/>
  <c r="M306" i="16"/>
  <c r="AI306" i="16"/>
  <c r="AJ306" i="16" s="1"/>
  <c r="AK306" i="16" s="1"/>
  <c r="T306" i="16"/>
  <c r="U306" i="16" s="1"/>
  <c r="V306" i="16" s="1"/>
  <c r="S306" i="16"/>
  <c r="AP306" i="16"/>
  <c r="AQ306" i="16" s="1"/>
  <c r="AR306" i="16" s="1"/>
  <c r="AA306" i="16"/>
  <c r="AB306" i="16" s="1"/>
  <c r="AC306" i="16" s="1"/>
  <c r="N306" i="16"/>
  <c r="L307" i="16"/>
  <c r="Y306" i="16" l="1"/>
  <c r="Z306" i="16" s="1"/>
  <c r="AP307" i="16"/>
  <c r="AQ307" i="16" s="1"/>
  <c r="AR307" i="16" s="1"/>
  <c r="AA307" i="16"/>
  <c r="AB307" i="16" s="1"/>
  <c r="AC307" i="16" s="1"/>
  <c r="N307" i="16"/>
  <c r="S307" i="16"/>
  <c r="AI307" i="16"/>
  <c r="AJ307" i="16" s="1"/>
  <c r="AK307" i="16" s="1"/>
  <c r="T307" i="16"/>
  <c r="U307" i="16" s="1"/>
  <c r="V307" i="16" s="1"/>
  <c r="X307" i="16"/>
  <c r="M307" i="16"/>
  <c r="L308" i="16"/>
  <c r="Y307" i="16" l="1"/>
  <c r="Z307" i="16" s="1"/>
  <c r="X308" i="16"/>
  <c r="M308" i="16"/>
  <c r="AI308" i="16"/>
  <c r="AJ308" i="16" s="1"/>
  <c r="AK308" i="16" s="1"/>
  <c r="T308" i="16"/>
  <c r="U308" i="16" s="1"/>
  <c r="V308" i="16" s="1"/>
  <c r="S308" i="16"/>
  <c r="AP308" i="16"/>
  <c r="AQ308" i="16" s="1"/>
  <c r="AR308" i="16" s="1"/>
  <c r="AA308" i="16"/>
  <c r="AB308" i="16" s="1"/>
  <c r="AC308" i="16" s="1"/>
  <c r="N308" i="16"/>
  <c r="L309" i="16"/>
  <c r="Y308" i="16" l="1"/>
  <c r="Z308" i="16" s="1"/>
  <c r="AP309" i="16"/>
  <c r="AQ309" i="16" s="1"/>
  <c r="AR309" i="16" s="1"/>
  <c r="AA309" i="16"/>
  <c r="AB309" i="16" s="1"/>
  <c r="AC309" i="16" s="1"/>
  <c r="N309" i="16"/>
  <c r="S309" i="16"/>
  <c r="AI309" i="16"/>
  <c r="AJ309" i="16" s="1"/>
  <c r="AK309" i="16" s="1"/>
  <c r="T309" i="16"/>
  <c r="U309" i="16" s="1"/>
  <c r="V309" i="16" s="1"/>
  <c r="X309" i="16"/>
  <c r="M309" i="16"/>
  <c r="L310" i="16"/>
  <c r="Y309" i="16" l="1"/>
  <c r="Z309" i="16" s="1"/>
  <c r="X310" i="16"/>
  <c r="M310" i="16"/>
  <c r="AI310" i="16"/>
  <c r="AJ310" i="16" s="1"/>
  <c r="AK310" i="16" s="1"/>
  <c r="T310" i="16"/>
  <c r="U310" i="16" s="1"/>
  <c r="V310" i="16" s="1"/>
  <c r="S310" i="16"/>
  <c r="AP310" i="16"/>
  <c r="AQ310" i="16" s="1"/>
  <c r="AR310" i="16" s="1"/>
  <c r="AA310" i="16"/>
  <c r="AB310" i="16" s="1"/>
  <c r="AC310" i="16" s="1"/>
  <c r="N310" i="16"/>
  <c r="L311" i="16"/>
  <c r="Y310" i="16" l="1"/>
  <c r="Z310" i="16" s="1"/>
  <c r="AP311" i="16"/>
  <c r="AQ311" i="16" s="1"/>
  <c r="AR311" i="16" s="1"/>
  <c r="AA311" i="16"/>
  <c r="AB311" i="16" s="1"/>
  <c r="AC311" i="16" s="1"/>
  <c r="N311" i="16"/>
  <c r="S311" i="16"/>
  <c r="AI311" i="16"/>
  <c r="AJ311" i="16" s="1"/>
  <c r="AK311" i="16" s="1"/>
  <c r="T311" i="16"/>
  <c r="U311" i="16" s="1"/>
  <c r="V311" i="16" s="1"/>
  <c r="X311" i="16"/>
  <c r="M311" i="16"/>
  <c r="L312" i="16"/>
  <c r="Y311" i="16" l="1"/>
  <c r="Z311" i="16" s="1"/>
  <c r="AP312" i="16"/>
  <c r="AQ312" i="16" s="1"/>
  <c r="AR312" i="16" s="1"/>
  <c r="AA312" i="16"/>
  <c r="AB312" i="16" s="1"/>
  <c r="AC312" i="16" s="1"/>
  <c r="S312" i="16"/>
  <c r="N312" i="16"/>
  <c r="AI312" i="16"/>
  <c r="AJ312" i="16" s="1"/>
  <c r="AK312" i="16" s="1"/>
  <c r="X312" i="16"/>
  <c r="M312" i="16"/>
  <c r="T312" i="16"/>
  <c r="U312" i="16" s="1"/>
  <c r="V312" i="16" s="1"/>
  <c r="L313" i="16"/>
  <c r="Y312" i="16" l="1"/>
  <c r="Z312" i="16" s="1"/>
  <c r="X313" i="16"/>
  <c r="M313" i="16"/>
  <c r="AI313" i="16"/>
  <c r="AJ313" i="16" s="1"/>
  <c r="AK313" i="16" s="1"/>
  <c r="T313" i="16"/>
  <c r="U313" i="16" s="1"/>
  <c r="V313" i="16" s="1"/>
  <c r="S313" i="16"/>
  <c r="AP313" i="16"/>
  <c r="AQ313" i="16" s="1"/>
  <c r="AR313" i="16" s="1"/>
  <c r="AA313" i="16"/>
  <c r="AB313" i="16" s="1"/>
  <c r="AC313" i="16" s="1"/>
  <c r="N313" i="16"/>
  <c r="L314" i="16"/>
  <c r="Y313" i="16" l="1"/>
  <c r="Z313" i="16" s="1"/>
  <c r="AP314" i="16"/>
  <c r="AQ314" i="16" s="1"/>
  <c r="AR314" i="16" s="1"/>
  <c r="AA314" i="16"/>
  <c r="AB314" i="16" s="1"/>
  <c r="AC314" i="16" s="1"/>
  <c r="N314" i="16"/>
  <c r="S314" i="16"/>
  <c r="AI314" i="16"/>
  <c r="AJ314" i="16" s="1"/>
  <c r="AK314" i="16" s="1"/>
  <c r="T314" i="16"/>
  <c r="U314" i="16" s="1"/>
  <c r="V314" i="16" s="1"/>
  <c r="X314" i="16"/>
  <c r="M314" i="16"/>
  <c r="L315" i="16"/>
  <c r="Y314" i="16" l="1"/>
  <c r="Z314" i="16" s="1"/>
  <c r="X315" i="16"/>
  <c r="M315" i="16"/>
  <c r="AI315" i="16"/>
  <c r="AJ315" i="16" s="1"/>
  <c r="AK315" i="16" s="1"/>
  <c r="T315" i="16"/>
  <c r="U315" i="16" s="1"/>
  <c r="V315" i="16" s="1"/>
  <c r="S315" i="16"/>
  <c r="AP315" i="16"/>
  <c r="AQ315" i="16" s="1"/>
  <c r="AR315" i="16" s="1"/>
  <c r="AA315" i="16"/>
  <c r="AB315" i="16" s="1"/>
  <c r="AC315" i="16" s="1"/>
  <c r="N315" i="16"/>
  <c r="L316" i="16"/>
  <c r="Y315" i="16" l="1"/>
  <c r="Z315" i="16" s="1"/>
  <c r="AP316" i="16"/>
  <c r="AQ316" i="16" s="1"/>
  <c r="AR316" i="16" s="1"/>
  <c r="AA316" i="16"/>
  <c r="AB316" i="16" s="1"/>
  <c r="AC316" i="16" s="1"/>
  <c r="N316" i="16"/>
  <c r="S316" i="16"/>
  <c r="AI316" i="16"/>
  <c r="AJ316" i="16" s="1"/>
  <c r="AK316" i="16" s="1"/>
  <c r="T316" i="16"/>
  <c r="U316" i="16" s="1"/>
  <c r="V316" i="16" s="1"/>
  <c r="X316" i="16"/>
  <c r="M316" i="16"/>
  <c r="L317" i="16"/>
  <c r="Y316" i="16" l="1"/>
  <c r="Z316" i="16" s="1"/>
  <c r="X317" i="16"/>
  <c r="M317" i="16"/>
  <c r="AI317" i="16"/>
  <c r="AJ317" i="16" s="1"/>
  <c r="AK317" i="16" s="1"/>
  <c r="T317" i="16"/>
  <c r="U317" i="16" s="1"/>
  <c r="V317" i="16" s="1"/>
  <c r="S317" i="16"/>
  <c r="AP317" i="16"/>
  <c r="AQ317" i="16" s="1"/>
  <c r="AR317" i="16" s="1"/>
  <c r="AA317" i="16"/>
  <c r="AB317" i="16" s="1"/>
  <c r="AC317" i="16" s="1"/>
  <c r="N317" i="16"/>
  <c r="L318" i="16"/>
  <c r="Y317" i="16" l="1"/>
  <c r="Z317" i="16" s="1"/>
  <c r="AP318" i="16"/>
  <c r="AQ318" i="16" s="1"/>
  <c r="AR318" i="16" s="1"/>
  <c r="AA318" i="16"/>
  <c r="AB318" i="16" s="1"/>
  <c r="AC318" i="16" s="1"/>
  <c r="N318" i="16"/>
  <c r="S318" i="16"/>
  <c r="AI318" i="16"/>
  <c r="AJ318" i="16" s="1"/>
  <c r="AK318" i="16" s="1"/>
  <c r="T318" i="16"/>
  <c r="U318" i="16" s="1"/>
  <c r="V318" i="16" s="1"/>
  <c r="X318" i="16"/>
  <c r="M318" i="16"/>
  <c r="L319" i="16"/>
  <c r="Y318" i="16" l="1"/>
  <c r="Z318" i="16" s="1"/>
  <c r="X319" i="16"/>
  <c r="M319" i="16"/>
  <c r="AI319" i="16"/>
  <c r="AJ319" i="16" s="1"/>
  <c r="AK319" i="16" s="1"/>
  <c r="T319" i="16"/>
  <c r="U319" i="16" s="1"/>
  <c r="V319" i="16" s="1"/>
  <c r="S319" i="16"/>
  <c r="AP319" i="16"/>
  <c r="AQ319" i="16" s="1"/>
  <c r="AR319" i="16" s="1"/>
  <c r="AA319" i="16"/>
  <c r="AB319" i="16" s="1"/>
  <c r="AC319" i="16" s="1"/>
  <c r="N319" i="16"/>
  <c r="L320" i="16"/>
  <c r="Y319" i="16" l="1"/>
  <c r="Z319" i="16" s="1"/>
  <c r="AP320" i="16"/>
  <c r="AQ320" i="16" s="1"/>
  <c r="AR320" i="16" s="1"/>
  <c r="AA320" i="16"/>
  <c r="AB320" i="16" s="1"/>
  <c r="AC320" i="16" s="1"/>
  <c r="N320" i="16"/>
  <c r="S320" i="16"/>
  <c r="AI320" i="16"/>
  <c r="AJ320" i="16" s="1"/>
  <c r="AK320" i="16" s="1"/>
  <c r="T320" i="16"/>
  <c r="U320" i="16" s="1"/>
  <c r="V320" i="16" s="1"/>
  <c r="X320" i="16"/>
  <c r="M320" i="16"/>
  <c r="L321" i="16"/>
  <c r="Y320" i="16" l="1"/>
  <c r="Z320" i="16" s="1"/>
  <c r="X321" i="16"/>
  <c r="M321" i="16"/>
  <c r="AI321" i="16"/>
  <c r="AJ321" i="16" s="1"/>
  <c r="AK321" i="16" s="1"/>
  <c r="T321" i="16"/>
  <c r="U321" i="16" s="1"/>
  <c r="V321" i="16" s="1"/>
  <c r="S321" i="16"/>
  <c r="AP321" i="16"/>
  <c r="AQ321" i="16" s="1"/>
  <c r="AR321" i="16" s="1"/>
  <c r="AA321" i="16"/>
  <c r="AB321" i="16" s="1"/>
  <c r="AC321" i="16" s="1"/>
  <c r="N321" i="16"/>
  <c r="L322" i="16"/>
  <c r="Y321" i="16" l="1"/>
  <c r="Z321" i="16" s="1"/>
  <c r="AP322" i="16"/>
  <c r="AQ322" i="16" s="1"/>
  <c r="AR322" i="16" s="1"/>
  <c r="AA322" i="16"/>
  <c r="AB322" i="16" s="1"/>
  <c r="AC322" i="16" s="1"/>
  <c r="N322" i="16"/>
  <c r="S322" i="16"/>
  <c r="AI322" i="16"/>
  <c r="AJ322" i="16" s="1"/>
  <c r="AK322" i="16" s="1"/>
  <c r="T322" i="16"/>
  <c r="U322" i="16" s="1"/>
  <c r="V322" i="16" s="1"/>
  <c r="X322" i="16"/>
  <c r="M322" i="16"/>
  <c r="L323" i="16"/>
  <c r="Y322" i="16" l="1"/>
  <c r="Z322" i="16" s="1"/>
  <c r="X323" i="16"/>
  <c r="M323" i="16"/>
  <c r="AI323" i="16"/>
  <c r="AJ323" i="16" s="1"/>
  <c r="AK323" i="16" s="1"/>
  <c r="T323" i="16"/>
  <c r="U323" i="16" s="1"/>
  <c r="V323" i="16" s="1"/>
  <c r="S323" i="16"/>
  <c r="AP323" i="16"/>
  <c r="AQ323" i="16" s="1"/>
  <c r="AR323" i="16" s="1"/>
  <c r="AA323" i="16"/>
  <c r="AB323" i="16" s="1"/>
  <c r="AC323" i="16" s="1"/>
  <c r="N323" i="16"/>
  <c r="L324" i="16"/>
  <c r="Y323" i="16" l="1"/>
  <c r="Z323" i="16" s="1"/>
  <c r="AP324" i="16"/>
  <c r="AQ324" i="16" s="1"/>
  <c r="AR324" i="16" s="1"/>
  <c r="AA324" i="16"/>
  <c r="AB324" i="16" s="1"/>
  <c r="AC324" i="16" s="1"/>
  <c r="N324" i="16"/>
  <c r="S324" i="16"/>
  <c r="AI324" i="16"/>
  <c r="AJ324" i="16" s="1"/>
  <c r="AK324" i="16" s="1"/>
  <c r="T324" i="16"/>
  <c r="U324" i="16" s="1"/>
  <c r="V324" i="16" s="1"/>
  <c r="X324" i="16"/>
  <c r="M324" i="16"/>
  <c r="L325" i="16"/>
  <c r="Y324" i="16" l="1"/>
  <c r="Z324" i="16" s="1"/>
  <c r="X325" i="16"/>
  <c r="M325" i="16"/>
  <c r="AI325" i="16"/>
  <c r="AJ325" i="16" s="1"/>
  <c r="AK325" i="16" s="1"/>
  <c r="T325" i="16"/>
  <c r="U325" i="16" s="1"/>
  <c r="V325" i="16" s="1"/>
  <c r="S325" i="16"/>
  <c r="AP325" i="16"/>
  <c r="AQ325" i="16" s="1"/>
  <c r="AR325" i="16" s="1"/>
  <c r="AA325" i="16"/>
  <c r="AB325" i="16" s="1"/>
  <c r="AC325" i="16" s="1"/>
  <c r="N325" i="16"/>
  <c r="L326" i="16"/>
  <c r="Y325" i="16" l="1"/>
  <c r="Z325" i="16" s="1"/>
  <c r="AP326" i="16"/>
  <c r="AQ326" i="16" s="1"/>
  <c r="AR326" i="16" s="1"/>
  <c r="AA326" i="16"/>
  <c r="AB326" i="16" s="1"/>
  <c r="AC326" i="16" s="1"/>
  <c r="N326" i="16"/>
  <c r="S326" i="16"/>
  <c r="AI326" i="16"/>
  <c r="AJ326" i="16" s="1"/>
  <c r="AK326" i="16" s="1"/>
  <c r="T326" i="16"/>
  <c r="U326" i="16" s="1"/>
  <c r="V326" i="16" s="1"/>
  <c r="X326" i="16"/>
  <c r="M326" i="16"/>
  <c r="L327" i="16"/>
  <c r="Y326" i="16" l="1"/>
  <c r="Z326" i="16" s="1"/>
  <c r="X327" i="16"/>
  <c r="M327" i="16"/>
  <c r="AI327" i="16"/>
  <c r="AJ327" i="16" s="1"/>
  <c r="AK327" i="16" s="1"/>
  <c r="T327" i="16"/>
  <c r="U327" i="16" s="1"/>
  <c r="V327" i="16" s="1"/>
  <c r="S327" i="16"/>
  <c r="AP327" i="16"/>
  <c r="AQ327" i="16" s="1"/>
  <c r="AR327" i="16" s="1"/>
  <c r="AA327" i="16"/>
  <c r="AB327" i="16" s="1"/>
  <c r="AC327" i="16" s="1"/>
  <c r="N327" i="16"/>
  <c r="L328" i="16"/>
  <c r="Y327" i="16" l="1"/>
  <c r="Z327" i="16" s="1"/>
  <c r="AP328" i="16"/>
  <c r="AQ328" i="16" s="1"/>
  <c r="AR328" i="16" s="1"/>
  <c r="AA328" i="16"/>
  <c r="AB328" i="16" s="1"/>
  <c r="AC328" i="16" s="1"/>
  <c r="N328" i="16"/>
  <c r="S328" i="16"/>
  <c r="AI328" i="16"/>
  <c r="AJ328" i="16" s="1"/>
  <c r="AK328" i="16" s="1"/>
  <c r="T328" i="16"/>
  <c r="U328" i="16" s="1"/>
  <c r="V328" i="16" s="1"/>
  <c r="X328" i="16"/>
  <c r="M328" i="16"/>
  <c r="L329" i="16"/>
  <c r="Y328" i="16" l="1"/>
  <c r="Z328" i="16" s="1"/>
  <c r="X329" i="16"/>
  <c r="M329" i="16"/>
  <c r="AI329" i="16"/>
  <c r="AJ329" i="16" s="1"/>
  <c r="AK329" i="16" s="1"/>
  <c r="T329" i="16"/>
  <c r="U329" i="16" s="1"/>
  <c r="V329" i="16" s="1"/>
  <c r="S329" i="16"/>
  <c r="AP329" i="16"/>
  <c r="AQ329" i="16" s="1"/>
  <c r="AR329" i="16" s="1"/>
  <c r="AA329" i="16"/>
  <c r="AB329" i="16" s="1"/>
  <c r="AC329" i="16" s="1"/>
  <c r="N329" i="16"/>
  <c r="L330" i="16"/>
  <c r="Y329" i="16" l="1"/>
  <c r="Z329" i="16" s="1"/>
  <c r="AP330" i="16"/>
  <c r="AQ330" i="16" s="1"/>
  <c r="AR330" i="16" s="1"/>
  <c r="AA330" i="16"/>
  <c r="AB330" i="16" s="1"/>
  <c r="AC330" i="16" s="1"/>
  <c r="N330" i="16"/>
  <c r="S330" i="16"/>
  <c r="AI330" i="16"/>
  <c r="AJ330" i="16" s="1"/>
  <c r="AK330" i="16" s="1"/>
  <c r="T330" i="16"/>
  <c r="U330" i="16" s="1"/>
  <c r="V330" i="16" s="1"/>
  <c r="X330" i="16"/>
  <c r="M330" i="16"/>
  <c r="L331" i="16"/>
  <c r="Y330" i="16" l="1"/>
  <c r="Z330" i="16" s="1"/>
  <c r="X331" i="16"/>
  <c r="M331" i="16"/>
  <c r="AI331" i="16"/>
  <c r="AJ331" i="16" s="1"/>
  <c r="AK331" i="16" s="1"/>
  <c r="T331" i="16"/>
  <c r="U331" i="16" s="1"/>
  <c r="V331" i="16" s="1"/>
  <c r="S331" i="16"/>
  <c r="AP331" i="16"/>
  <c r="AQ331" i="16" s="1"/>
  <c r="AR331" i="16" s="1"/>
  <c r="AA331" i="16"/>
  <c r="AB331" i="16" s="1"/>
  <c r="AC331" i="16" s="1"/>
  <c r="N331" i="16"/>
  <c r="L332" i="16"/>
  <c r="Y331" i="16" l="1"/>
  <c r="Z331" i="16" s="1"/>
  <c r="AP332" i="16"/>
  <c r="AQ332" i="16" s="1"/>
  <c r="AR332" i="16" s="1"/>
  <c r="AA332" i="16"/>
  <c r="AB332" i="16" s="1"/>
  <c r="AC332" i="16" s="1"/>
  <c r="N332" i="16"/>
  <c r="S332" i="16"/>
  <c r="AI332" i="16"/>
  <c r="AJ332" i="16" s="1"/>
  <c r="AK332" i="16" s="1"/>
  <c r="T332" i="16"/>
  <c r="U332" i="16" s="1"/>
  <c r="V332" i="16" s="1"/>
  <c r="X332" i="16"/>
  <c r="M332" i="16"/>
  <c r="L333" i="16"/>
  <c r="Y332" i="16" l="1"/>
  <c r="Z332" i="16" s="1"/>
  <c r="AP333" i="16"/>
  <c r="AQ333" i="16" s="1"/>
  <c r="AR333" i="16" s="1"/>
  <c r="AA333" i="16"/>
  <c r="AB333" i="16" s="1"/>
  <c r="AC333" i="16" s="1"/>
  <c r="M333" i="16"/>
  <c r="S333" i="16"/>
  <c r="AI333" i="16"/>
  <c r="AJ333" i="16" s="1"/>
  <c r="AK333" i="16" s="1"/>
  <c r="T333" i="16"/>
  <c r="U333" i="16" s="1"/>
  <c r="V333" i="16" s="1"/>
  <c r="X333" i="16"/>
  <c r="N333" i="16"/>
  <c r="L334" i="16"/>
  <c r="Y333" i="16" l="1"/>
  <c r="Z333" i="16" s="1"/>
  <c r="X334" i="16"/>
  <c r="M334" i="16"/>
  <c r="AI334" i="16"/>
  <c r="AJ334" i="16" s="1"/>
  <c r="AK334" i="16" s="1"/>
  <c r="T334" i="16"/>
  <c r="U334" i="16" s="1"/>
  <c r="V334" i="16" s="1"/>
  <c r="S334" i="16"/>
  <c r="AP334" i="16"/>
  <c r="AQ334" i="16" s="1"/>
  <c r="AR334" i="16" s="1"/>
  <c r="AA334" i="16"/>
  <c r="AB334" i="16" s="1"/>
  <c r="AC334" i="16" s="1"/>
  <c r="N334" i="16"/>
  <c r="L335" i="16"/>
  <c r="Y334" i="16" l="1"/>
  <c r="Z334" i="16" s="1"/>
  <c r="AP335" i="16"/>
  <c r="AQ335" i="16" s="1"/>
  <c r="AR335" i="16" s="1"/>
  <c r="AA335" i="16"/>
  <c r="AB335" i="16" s="1"/>
  <c r="AC335" i="16" s="1"/>
  <c r="N335" i="16"/>
  <c r="S335" i="16"/>
  <c r="AI335" i="16"/>
  <c r="AJ335" i="16" s="1"/>
  <c r="AK335" i="16" s="1"/>
  <c r="T335" i="16"/>
  <c r="U335" i="16" s="1"/>
  <c r="V335" i="16" s="1"/>
  <c r="X335" i="16"/>
  <c r="M335" i="16"/>
  <c r="L336" i="16"/>
  <c r="Y335" i="16" l="1"/>
  <c r="Z335" i="16" s="1"/>
  <c r="X336" i="16"/>
  <c r="M336" i="16"/>
  <c r="AI336" i="16"/>
  <c r="AJ336" i="16" s="1"/>
  <c r="AK336" i="16" s="1"/>
  <c r="T336" i="16"/>
  <c r="U336" i="16" s="1"/>
  <c r="V336" i="16" s="1"/>
  <c r="S336" i="16"/>
  <c r="AP336" i="16"/>
  <c r="AQ336" i="16" s="1"/>
  <c r="AR336" i="16" s="1"/>
  <c r="AA336" i="16"/>
  <c r="AB336" i="16" s="1"/>
  <c r="AC336" i="16" s="1"/>
  <c r="N336" i="16"/>
  <c r="L337" i="16"/>
  <c r="Y336" i="16" l="1"/>
  <c r="Z336" i="16" s="1"/>
  <c r="AP337" i="16"/>
  <c r="AQ337" i="16" s="1"/>
  <c r="AR337" i="16" s="1"/>
  <c r="AA337" i="16"/>
  <c r="AB337" i="16" s="1"/>
  <c r="AC337" i="16" s="1"/>
  <c r="N337" i="16"/>
  <c r="S337" i="16"/>
  <c r="AI337" i="16"/>
  <c r="AJ337" i="16" s="1"/>
  <c r="AK337" i="16" s="1"/>
  <c r="T337" i="16"/>
  <c r="U337" i="16" s="1"/>
  <c r="V337" i="16" s="1"/>
  <c r="X337" i="16"/>
  <c r="M337" i="16"/>
  <c r="L338" i="16"/>
  <c r="Y337" i="16" l="1"/>
  <c r="Z337" i="16" s="1"/>
  <c r="X338" i="16"/>
  <c r="M338" i="16"/>
  <c r="AI338" i="16"/>
  <c r="AJ338" i="16" s="1"/>
  <c r="AK338" i="16" s="1"/>
  <c r="T338" i="16"/>
  <c r="U338" i="16" s="1"/>
  <c r="V338" i="16" s="1"/>
  <c r="S338" i="16"/>
  <c r="AP338" i="16"/>
  <c r="AQ338" i="16" s="1"/>
  <c r="AR338" i="16" s="1"/>
  <c r="AA338" i="16"/>
  <c r="AB338" i="16" s="1"/>
  <c r="AC338" i="16" s="1"/>
  <c r="N338" i="16"/>
  <c r="L339" i="16"/>
  <c r="Y338" i="16" l="1"/>
  <c r="Z338" i="16" s="1"/>
  <c r="AP339" i="16"/>
  <c r="AQ339" i="16" s="1"/>
  <c r="AR339" i="16" s="1"/>
  <c r="AA339" i="16"/>
  <c r="AB339" i="16" s="1"/>
  <c r="AC339" i="16" s="1"/>
  <c r="N339" i="16"/>
  <c r="S339" i="16"/>
  <c r="AI339" i="16"/>
  <c r="AJ339" i="16" s="1"/>
  <c r="AK339" i="16" s="1"/>
  <c r="T339" i="16"/>
  <c r="U339" i="16" s="1"/>
  <c r="V339" i="16" s="1"/>
  <c r="X339" i="16"/>
  <c r="M339" i="16"/>
  <c r="L340" i="16"/>
  <c r="Y339" i="16" l="1"/>
  <c r="Z339" i="16" s="1"/>
  <c r="X340" i="16"/>
  <c r="M340" i="16"/>
  <c r="AI340" i="16"/>
  <c r="AJ340" i="16" s="1"/>
  <c r="AK340" i="16" s="1"/>
  <c r="T340" i="16"/>
  <c r="U340" i="16" s="1"/>
  <c r="V340" i="16" s="1"/>
  <c r="S340" i="16"/>
  <c r="AP340" i="16"/>
  <c r="AQ340" i="16" s="1"/>
  <c r="AR340" i="16" s="1"/>
  <c r="AA340" i="16"/>
  <c r="AB340" i="16" s="1"/>
  <c r="AC340" i="16" s="1"/>
  <c r="N340" i="16"/>
  <c r="L341" i="16"/>
  <c r="Y340" i="16" l="1"/>
  <c r="Z340" i="16" s="1"/>
  <c r="AP341" i="16"/>
  <c r="AQ341" i="16" s="1"/>
  <c r="AR341" i="16" s="1"/>
  <c r="AA341" i="16"/>
  <c r="AB341" i="16" s="1"/>
  <c r="AC341" i="16" s="1"/>
  <c r="N341" i="16"/>
  <c r="S341" i="16"/>
  <c r="AI341" i="16"/>
  <c r="AJ341" i="16" s="1"/>
  <c r="AK341" i="16" s="1"/>
  <c r="T341" i="16"/>
  <c r="U341" i="16" s="1"/>
  <c r="V341" i="16" s="1"/>
  <c r="X341" i="16"/>
  <c r="M341" i="16"/>
  <c r="L342" i="16"/>
  <c r="Y341" i="16" l="1"/>
  <c r="Z341" i="16" s="1"/>
  <c r="X342" i="16"/>
  <c r="M342" i="16"/>
  <c r="AI342" i="16"/>
  <c r="AJ342" i="16" s="1"/>
  <c r="AK342" i="16" s="1"/>
  <c r="T342" i="16"/>
  <c r="U342" i="16" s="1"/>
  <c r="V342" i="16" s="1"/>
  <c r="S342" i="16"/>
  <c r="AP342" i="16"/>
  <c r="AQ342" i="16" s="1"/>
  <c r="AR342" i="16" s="1"/>
  <c r="AA342" i="16"/>
  <c r="AB342" i="16" s="1"/>
  <c r="AC342" i="16" s="1"/>
  <c r="N342" i="16"/>
  <c r="L343" i="16"/>
  <c r="Y342" i="16" l="1"/>
  <c r="Z342" i="16" s="1"/>
  <c r="AP343" i="16"/>
  <c r="AQ343" i="16" s="1"/>
  <c r="AR343" i="16" s="1"/>
  <c r="AA343" i="16"/>
  <c r="AB343" i="16" s="1"/>
  <c r="AC343" i="16" s="1"/>
  <c r="N343" i="16"/>
  <c r="S343" i="16"/>
  <c r="AI343" i="16"/>
  <c r="AJ343" i="16" s="1"/>
  <c r="AK343" i="16" s="1"/>
  <c r="T343" i="16"/>
  <c r="U343" i="16" s="1"/>
  <c r="V343" i="16" s="1"/>
  <c r="X343" i="16"/>
  <c r="M343" i="16"/>
  <c r="L344" i="16"/>
  <c r="Y343" i="16" l="1"/>
  <c r="Z343" i="16" s="1"/>
  <c r="X344" i="16"/>
  <c r="M344" i="16"/>
  <c r="AI344" i="16"/>
  <c r="AJ344" i="16" s="1"/>
  <c r="AK344" i="16" s="1"/>
  <c r="T344" i="16"/>
  <c r="U344" i="16" s="1"/>
  <c r="V344" i="16" s="1"/>
  <c r="S344" i="16"/>
  <c r="AP344" i="16"/>
  <c r="AQ344" i="16" s="1"/>
  <c r="AR344" i="16" s="1"/>
  <c r="AA344" i="16"/>
  <c r="AB344" i="16" s="1"/>
  <c r="AC344" i="16" s="1"/>
  <c r="N344" i="16"/>
  <c r="L345" i="16"/>
  <c r="Y344" i="16" l="1"/>
  <c r="Z344" i="16" s="1"/>
  <c r="L346" i="16"/>
  <c r="AP345" i="16"/>
  <c r="AQ345" i="16" s="1"/>
  <c r="AR345" i="16" s="1"/>
  <c r="AA345" i="16"/>
  <c r="AB345" i="16" s="1"/>
  <c r="AC345" i="16" s="1"/>
  <c r="N345" i="16"/>
  <c r="S345" i="16"/>
  <c r="AI345" i="16"/>
  <c r="AJ345" i="16" s="1"/>
  <c r="AK345" i="16" s="1"/>
  <c r="T345" i="16"/>
  <c r="U345" i="16" s="1"/>
  <c r="V345" i="16" s="1"/>
  <c r="X345" i="16"/>
  <c r="M345" i="16"/>
  <c r="Y345" i="16" l="1"/>
  <c r="Z345" i="16" s="1"/>
  <c r="X346" i="16"/>
  <c r="M346" i="16"/>
  <c r="AI346" i="16"/>
  <c r="AJ346" i="16" s="1"/>
  <c r="AK346" i="16" s="1"/>
  <c r="T346" i="16"/>
  <c r="U346" i="16" s="1"/>
  <c r="V346" i="16" s="1"/>
  <c r="S346" i="16"/>
  <c r="AP346" i="16"/>
  <c r="AQ346" i="16" s="1"/>
  <c r="AR346" i="16" s="1"/>
  <c r="AA346" i="16"/>
  <c r="AB346" i="16" s="1"/>
  <c r="AC346" i="16" s="1"/>
  <c r="N346" i="16"/>
  <c r="L347" i="16"/>
  <c r="Y346" i="16" l="1"/>
  <c r="Z346" i="16" s="1"/>
  <c r="AI347" i="16"/>
  <c r="AJ347" i="16" s="1"/>
  <c r="AK347" i="16" s="1"/>
  <c r="T347" i="16"/>
  <c r="U347" i="16" s="1"/>
  <c r="V347" i="16" s="1"/>
  <c r="X347" i="16"/>
  <c r="M347" i="16"/>
  <c r="AP347" i="16"/>
  <c r="AQ347" i="16" s="1"/>
  <c r="AR347" i="16" s="1"/>
  <c r="AA347" i="16"/>
  <c r="AB347" i="16" s="1"/>
  <c r="AC347" i="16" s="1"/>
  <c r="N347" i="16"/>
  <c r="S347" i="16"/>
  <c r="L348" i="16"/>
  <c r="Y347" i="16" l="1"/>
  <c r="Z347" i="16" s="1"/>
  <c r="L349" i="16"/>
  <c r="X348" i="16"/>
  <c r="M348" i="16"/>
  <c r="AI348" i="16"/>
  <c r="AJ348" i="16" s="1"/>
  <c r="AK348" i="16" s="1"/>
  <c r="T348" i="16"/>
  <c r="U348" i="16" s="1"/>
  <c r="V348" i="16" s="1"/>
  <c r="S348" i="16"/>
  <c r="AP348" i="16"/>
  <c r="AQ348" i="16" s="1"/>
  <c r="AR348" i="16" s="1"/>
  <c r="AA348" i="16"/>
  <c r="AB348" i="16" s="1"/>
  <c r="AC348" i="16" s="1"/>
  <c r="N348" i="16"/>
  <c r="Y348" i="16" l="1"/>
  <c r="Z348" i="16" s="1"/>
  <c r="AP349" i="16"/>
  <c r="AQ349" i="16" s="1"/>
  <c r="AR349" i="16" s="1"/>
  <c r="AA349" i="16"/>
  <c r="AB349" i="16" s="1"/>
  <c r="AC349" i="16" s="1"/>
  <c r="N349" i="16"/>
  <c r="S349" i="16"/>
  <c r="AI349" i="16"/>
  <c r="AJ349" i="16" s="1"/>
  <c r="AK349" i="16" s="1"/>
  <c r="T349" i="16"/>
  <c r="U349" i="16" s="1"/>
  <c r="V349" i="16" s="1"/>
  <c r="X349" i="16"/>
  <c r="M349" i="16"/>
  <c r="L350" i="16"/>
  <c r="Y349" i="16" l="1"/>
  <c r="Z349" i="16" s="1"/>
  <c r="X350" i="16"/>
  <c r="M350" i="16"/>
  <c r="AI350" i="16"/>
  <c r="AJ350" i="16" s="1"/>
  <c r="AK350" i="16" s="1"/>
  <c r="T350" i="16"/>
  <c r="U350" i="16" s="1"/>
  <c r="V350" i="16" s="1"/>
  <c r="S350" i="16"/>
  <c r="AP350" i="16"/>
  <c r="AQ350" i="16" s="1"/>
  <c r="AR350" i="16" s="1"/>
  <c r="AA350" i="16"/>
  <c r="AB350" i="16" s="1"/>
  <c r="AC350" i="16" s="1"/>
  <c r="N350" i="16"/>
  <c r="L351" i="16"/>
  <c r="Y350" i="16" l="1"/>
  <c r="Z350" i="16" s="1"/>
  <c r="AP351" i="16"/>
  <c r="AQ351" i="16" s="1"/>
  <c r="AR351" i="16" s="1"/>
  <c r="AA351" i="16"/>
  <c r="AB351" i="16" s="1"/>
  <c r="AC351" i="16" s="1"/>
  <c r="N351" i="16"/>
  <c r="S351" i="16"/>
  <c r="AI351" i="16"/>
  <c r="AJ351" i="16" s="1"/>
  <c r="AK351" i="16" s="1"/>
  <c r="T351" i="16"/>
  <c r="U351" i="16" s="1"/>
  <c r="V351" i="16" s="1"/>
  <c r="X351" i="16"/>
  <c r="M351" i="16"/>
  <c r="L352" i="16"/>
  <c r="Y351" i="16" l="1"/>
  <c r="Z351" i="16" s="1"/>
  <c r="X352" i="16"/>
  <c r="M352" i="16"/>
  <c r="AI352" i="16"/>
  <c r="AJ352" i="16" s="1"/>
  <c r="AK352" i="16" s="1"/>
  <c r="T352" i="16"/>
  <c r="U352" i="16" s="1"/>
  <c r="V352" i="16" s="1"/>
  <c r="S352" i="16"/>
  <c r="AP352" i="16"/>
  <c r="AQ352" i="16" s="1"/>
  <c r="AR352" i="16" s="1"/>
  <c r="AA352" i="16"/>
  <c r="AB352" i="16" s="1"/>
  <c r="AC352" i="16" s="1"/>
  <c r="N352" i="16"/>
  <c r="L353" i="16"/>
  <c r="Y352" i="16" l="1"/>
  <c r="Z352" i="16" s="1"/>
  <c r="AP353" i="16"/>
  <c r="AQ353" i="16" s="1"/>
  <c r="AR353" i="16" s="1"/>
  <c r="AA353" i="16"/>
  <c r="AB353" i="16" s="1"/>
  <c r="AC353" i="16" s="1"/>
  <c r="N353" i="16"/>
  <c r="S353" i="16"/>
  <c r="AI353" i="16"/>
  <c r="AJ353" i="16" s="1"/>
  <c r="AK353" i="16" s="1"/>
  <c r="T353" i="16"/>
  <c r="U353" i="16" s="1"/>
  <c r="V353" i="16" s="1"/>
  <c r="X353" i="16"/>
  <c r="M353" i="16"/>
  <c r="L354" i="16"/>
  <c r="Y353" i="16" l="1"/>
  <c r="Z353" i="16" s="1"/>
  <c r="X354" i="16"/>
  <c r="AI354" i="16"/>
  <c r="AJ354" i="16" s="1"/>
  <c r="AK354" i="16" s="1"/>
  <c r="M354" i="16"/>
  <c r="T354" i="16"/>
  <c r="U354" i="16" s="1"/>
  <c r="V354" i="16" s="1"/>
  <c r="S354" i="16"/>
  <c r="AA354" i="16"/>
  <c r="AB354" i="16" s="1"/>
  <c r="AC354" i="16" s="1"/>
  <c r="AP354" i="16"/>
  <c r="AQ354" i="16" s="1"/>
  <c r="AR354" i="16" s="1"/>
  <c r="N354" i="16"/>
  <c r="L355" i="16"/>
  <c r="Y354" i="16" l="1"/>
  <c r="Z354" i="16" s="1"/>
  <c r="X355" i="16"/>
  <c r="M355" i="16"/>
  <c r="AI355" i="16"/>
  <c r="AJ355" i="16" s="1"/>
  <c r="AK355" i="16" s="1"/>
  <c r="T355" i="16"/>
  <c r="U355" i="16" s="1"/>
  <c r="V355" i="16" s="1"/>
  <c r="S355" i="16"/>
  <c r="AP355" i="16"/>
  <c r="AQ355" i="16" s="1"/>
  <c r="AR355" i="16" s="1"/>
  <c r="AA355" i="16"/>
  <c r="AB355" i="16" s="1"/>
  <c r="AC355" i="16" s="1"/>
  <c r="N355" i="16"/>
  <c r="L356" i="16"/>
  <c r="Y355" i="16" l="1"/>
  <c r="Z355" i="16" s="1"/>
  <c r="AP356" i="16"/>
  <c r="AQ356" i="16" s="1"/>
  <c r="AR356" i="16" s="1"/>
  <c r="AA356" i="16"/>
  <c r="AB356" i="16" s="1"/>
  <c r="AC356" i="16" s="1"/>
  <c r="N356" i="16"/>
  <c r="S356" i="16"/>
  <c r="AI356" i="16"/>
  <c r="AJ356" i="16" s="1"/>
  <c r="AK356" i="16" s="1"/>
  <c r="T356" i="16"/>
  <c r="U356" i="16" s="1"/>
  <c r="V356" i="16" s="1"/>
  <c r="X356" i="16"/>
  <c r="M356" i="16"/>
  <c r="L357" i="16"/>
  <c r="Y356" i="16" l="1"/>
  <c r="Z356" i="16" s="1"/>
  <c r="X357" i="16"/>
  <c r="M357" i="16"/>
  <c r="AI357" i="16"/>
  <c r="AJ357" i="16" s="1"/>
  <c r="AK357" i="16" s="1"/>
  <c r="T357" i="16"/>
  <c r="U357" i="16" s="1"/>
  <c r="V357" i="16" s="1"/>
  <c r="S357" i="16"/>
  <c r="AP357" i="16"/>
  <c r="AQ357" i="16" s="1"/>
  <c r="AR357" i="16" s="1"/>
  <c r="AA357" i="16"/>
  <c r="AB357" i="16" s="1"/>
  <c r="AC357" i="16" s="1"/>
  <c r="N357" i="16"/>
  <c r="L358" i="16"/>
  <c r="Y357" i="16" l="1"/>
  <c r="Z357" i="16" s="1"/>
  <c r="AP358" i="16"/>
  <c r="AQ358" i="16" s="1"/>
  <c r="AR358" i="16" s="1"/>
  <c r="AA358" i="16"/>
  <c r="AB358" i="16" s="1"/>
  <c r="AC358" i="16" s="1"/>
  <c r="N358" i="16"/>
  <c r="S358" i="16"/>
  <c r="AI358" i="16"/>
  <c r="AJ358" i="16" s="1"/>
  <c r="AK358" i="16" s="1"/>
  <c r="T358" i="16"/>
  <c r="U358" i="16" s="1"/>
  <c r="V358" i="16" s="1"/>
  <c r="X358" i="16"/>
  <c r="M358" i="16"/>
  <c r="L359" i="16"/>
  <c r="Y358" i="16" l="1"/>
  <c r="Z358" i="16" s="1"/>
  <c r="X359" i="16"/>
  <c r="M359" i="16"/>
  <c r="AA359" i="16"/>
  <c r="AB359" i="16" s="1"/>
  <c r="AC359" i="16" s="1"/>
  <c r="AP359" i="16"/>
  <c r="AQ359" i="16" s="1"/>
  <c r="AR359" i="16" s="1"/>
  <c r="S359" i="16"/>
  <c r="AI359" i="16"/>
  <c r="AJ359" i="16" s="1"/>
  <c r="AK359" i="16" s="1"/>
  <c r="N359" i="16"/>
  <c r="T359" i="16"/>
  <c r="U359" i="16" s="1"/>
  <c r="V359" i="16" s="1"/>
  <c r="L360" i="16"/>
  <c r="Y359" i="16" l="1"/>
  <c r="Z359" i="16" s="1"/>
  <c r="AP360" i="16"/>
  <c r="AQ360" i="16" s="1"/>
  <c r="AR360" i="16" s="1"/>
  <c r="AA360" i="16"/>
  <c r="AB360" i="16" s="1"/>
  <c r="AC360" i="16" s="1"/>
  <c r="N360" i="16"/>
  <c r="M360" i="16"/>
  <c r="AI360" i="16"/>
  <c r="AJ360" i="16" s="1"/>
  <c r="AK360" i="16" s="1"/>
  <c r="T360" i="16"/>
  <c r="U360" i="16" s="1"/>
  <c r="V360" i="16" s="1"/>
  <c r="X360" i="16"/>
  <c r="S360" i="16"/>
  <c r="L361" i="16"/>
  <c r="Y360" i="16" l="1"/>
  <c r="Z360" i="16" s="1"/>
  <c r="X361" i="16"/>
  <c r="M361" i="16"/>
  <c r="AI361" i="16"/>
  <c r="AJ361" i="16" s="1"/>
  <c r="T361" i="16"/>
  <c r="U361" i="16" s="1"/>
  <c r="V361" i="16" s="1"/>
  <c r="S361" i="16"/>
  <c r="AP361" i="16"/>
  <c r="AQ361" i="16" s="1"/>
  <c r="AR361" i="16" s="1"/>
  <c r="AA361" i="16"/>
  <c r="N361" i="16"/>
  <c r="E82" i="8"/>
  <c r="Y82" i="8" s="1"/>
  <c r="L362" i="16"/>
  <c r="E77" i="8"/>
  <c r="Y77" i="8" s="1"/>
  <c r="Y361" i="16" l="1"/>
  <c r="Z361" i="16" s="1"/>
  <c r="E79" i="8"/>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204" i="16" l="1"/>
  <c r="Z172" i="16"/>
  <c r="Y362" i="16"/>
  <c r="Z362" i="16" s="1"/>
  <c r="Z94" i="16"/>
  <c r="Z142" i="16"/>
  <c r="Z167" i="16"/>
  <c r="Z198" i="16"/>
  <c r="Z152" i="16"/>
  <c r="Z154" i="16"/>
  <c r="Z193" i="16"/>
  <c r="Z196" i="16"/>
  <c r="Z207" i="16"/>
  <c r="Z72" i="16"/>
  <c r="Z76" i="16"/>
  <c r="Z149" i="16"/>
  <c r="Z170" i="16"/>
  <c r="Z181" i="16"/>
  <c r="Z185" i="16"/>
  <c r="Z201" i="16"/>
  <c r="Z206" i="16"/>
  <c r="Z208" i="16"/>
  <c r="Z210" i="16"/>
  <c r="Z211" i="16"/>
  <c r="Z73" i="16"/>
  <c r="Z178" i="16"/>
  <c r="Z203" i="16"/>
  <c r="Z209" i="16"/>
  <c r="Z150" i="16"/>
  <c r="Z200" i="16"/>
  <c r="Z205" i="16"/>
  <c r="Z89" i="16"/>
  <c r="Z146" i="16"/>
  <c r="Z182" i="16"/>
  <c r="Z202" i="16"/>
  <c r="Z25" i="16"/>
  <c r="Z61" i="16"/>
  <c r="Z78" i="16"/>
  <c r="Z84" i="16"/>
  <c r="Z90" i="16"/>
  <c r="Z102" i="16"/>
  <c r="Z187" i="16"/>
  <c r="Z21" i="16"/>
  <c r="Z69" i="16"/>
  <c r="Z86" i="16"/>
  <c r="Z191" i="16"/>
  <c r="Z192" i="16"/>
  <c r="Z62" i="16"/>
  <c r="Z70" i="16"/>
  <c r="Z77" i="16"/>
  <c r="Z79" i="16"/>
  <c r="Z99" i="16"/>
  <c r="Z169" i="16"/>
  <c r="Z168" i="16"/>
  <c r="Z177" i="16"/>
  <c r="Z180" i="16"/>
  <c r="Z184" i="16"/>
  <c r="Z188" i="16"/>
  <c r="Z186" i="16"/>
  <c r="Z199" i="16"/>
  <c r="Z18"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29"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41" i="16"/>
  <c r="Z45" i="16"/>
  <c r="Z52" i="16"/>
  <c r="Z59" i="16"/>
  <c r="Z363" i="16"/>
  <c r="Z15" i="16"/>
  <c r="Z28" i="16"/>
  <c r="Z30" i="16"/>
  <c r="Z32" i="16"/>
  <c r="Z37" i="16"/>
  <c r="Z36" i="16"/>
  <c r="Z39" i="16"/>
  <c r="Z42" i="16"/>
  <c r="Z49" i="16"/>
  <c r="Z50" i="16"/>
  <c r="Z55" i="16"/>
  <c r="Z56" i="16"/>
  <c r="Z58" i="16"/>
  <c r="Z65" i="16"/>
  <c r="AP363" i="16"/>
  <c r="AQ363" i="16" s="1"/>
  <c r="AR211" i="16" s="1"/>
  <c r="N363" i="16"/>
  <c r="O10" i="16" s="1"/>
  <c r="T363" i="16"/>
  <c r="U363" i="16" s="1"/>
  <c r="AA363" i="16"/>
  <c r="G119" i="8" s="1"/>
  <c r="S363" i="16"/>
  <c r="M363" i="16"/>
  <c r="M9" i="16" s="1"/>
  <c r="L37" i="8" s="1"/>
  <c r="K37" i="8" s="1"/>
  <c r="AI363" i="16"/>
  <c r="AJ363" i="16" s="1"/>
  <c r="AK206" i="16" s="1"/>
  <c r="U69" i="8"/>
  <c r="U67" i="8"/>
  <c r="U70" i="8"/>
  <c r="U68" i="8"/>
  <c r="U71" i="8"/>
  <c r="U73" i="8"/>
  <c r="U72" i="8"/>
  <c r="AR113" i="16" l="1"/>
  <c r="AR210" i="16"/>
  <c r="AK94" i="16"/>
  <c r="AK93" i="16"/>
  <c r="V80" i="16"/>
  <c r="V146" i="16"/>
  <c r="AK165" i="16"/>
  <c r="AK108" i="16"/>
  <c r="Z33" i="16"/>
  <c r="Z47" i="16"/>
  <c r="Z44" i="16"/>
  <c r="Z31" i="16"/>
  <c r="Z24" i="16"/>
  <c r="Z60" i="16"/>
  <c r="Z34" i="16"/>
  <c r="Z27" i="16"/>
  <c r="Z38" i="16"/>
  <c r="Z13" i="16"/>
  <c r="Z22" i="16"/>
  <c r="Z46" i="16"/>
  <c r="Z19" i="16"/>
  <c r="Y9" i="16"/>
  <c r="L38" i="8" s="1"/>
  <c r="Z23" i="16"/>
  <c r="Z35" i="16"/>
  <c r="Z43" i="16"/>
  <c r="Z48" i="16"/>
  <c r="AR101" i="16"/>
  <c r="AR118" i="16"/>
  <c r="AR141" i="16"/>
  <c r="AR105" i="16"/>
  <c r="AR185" i="16"/>
  <c r="AR129" i="16"/>
  <c r="AR208" i="16"/>
  <c r="AK197" i="16"/>
  <c r="AK183" i="16"/>
  <c r="AR186" i="16"/>
  <c r="AR103" i="16"/>
  <c r="AR155" i="16"/>
  <c r="AR164" i="16"/>
  <c r="AR175" i="16"/>
  <c r="AR179" i="16"/>
  <c r="AR134" i="16"/>
  <c r="AR170" i="16"/>
  <c r="AR183" i="16"/>
  <c r="AR187" i="16"/>
  <c r="AK152" i="16"/>
  <c r="AK86" i="16"/>
  <c r="AR62" i="16"/>
  <c r="AR200" i="16"/>
  <c r="AR201" i="16"/>
  <c r="AR207" i="16"/>
  <c r="AR85" i="16"/>
  <c r="AR97" i="16"/>
  <c r="AR174" i="16"/>
  <c r="AR203" i="16"/>
  <c r="AR206" i="16"/>
  <c r="AR209" i="16"/>
  <c r="V117" i="16"/>
  <c r="V165" i="16"/>
  <c r="V209" i="16"/>
  <c r="V210" i="16"/>
  <c r="V211" i="16"/>
  <c r="AR87" i="16"/>
  <c r="AR90" i="16"/>
  <c r="AR115" i="16"/>
  <c r="AR137" i="16"/>
  <c r="AR138" i="16"/>
  <c r="AR150" i="16"/>
  <c r="AR168" i="16"/>
  <c r="AR194" i="16"/>
  <c r="AR202" i="16"/>
  <c r="AR205" i="16"/>
  <c r="AK132" i="16"/>
  <c r="AK202" i="16"/>
  <c r="V94" i="16"/>
  <c r="V154" i="16"/>
  <c r="V152" i="16"/>
  <c r="V205" i="16"/>
  <c r="V206" i="16"/>
  <c r="V208" i="16"/>
  <c r="AR59" i="16"/>
  <c r="AR13" i="16"/>
  <c r="AR63" i="16"/>
  <c r="AR74" i="16"/>
  <c r="AR79" i="16"/>
  <c r="AR98" i="16"/>
  <c r="AR123" i="16"/>
  <c r="AR166" i="16"/>
  <c r="AR184" i="16"/>
  <c r="AR196" i="16"/>
  <c r="AR204" i="16"/>
  <c r="V25" i="16"/>
  <c r="V128" i="16"/>
  <c r="V144" i="16"/>
  <c r="V150" i="16"/>
  <c r="V182" i="16"/>
  <c r="V193" i="16"/>
  <c r="V196" i="16"/>
  <c r="V201" i="16"/>
  <c r="V198" i="16"/>
  <c r="V207" i="16"/>
  <c r="AK41" i="16"/>
  <c r="AK17" i="16"/>
  <c r="AK21" i="16"/>
  <c r="AR47" i="16"/>
  <c r="AR41" i="16"/>
  <c r="AK28" i="16"/>
  <c r="AK36" i="16"/>
  <c r="AK52" i="16"/>
  <c r="AK49" i="16"/>
  <c r="AR16" i="16"/>
  <c r="AR45" i="16"/>
  <c r="AK34" i="16"/>
  <c r="AK27" i="16"/>
  <c r="AK60" i="16"/>
  <c r="AK13" i="16"/>
  <c r="AK44" i="16"/>
  <c r="AK51" i="16"/>
  <c r="AR14" i="16"/>
  <c r="AR31" i="16"/>
  <c r="AR43" i="16"/>
  <c r="AR61" i="16"/>
  <c r="AR66" i="16"/>
  <c r="AR83" i="16"/>
  <c r="AR110" i="16"/>
  <c r="AR111" i="16"/>
  <c r="AR130" i="16"/>
  <c r="AR139" i="16"/>
  <c r="AR144" i="16"/>
  <c r="AR148" i="16"/>
  <c r="AR163" i="16"/>
  <c r="AR165" i="16"/>
  <c r="AR191" i="16"/>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363"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34"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21" i="16"/>
  <c r="AC22" i="16"/>
  <c r="AC42" i="16"/>
  <c r="AC40" i="16"/>
  <c r="AC49" i="16"/>
  <c r="AC53" i="16"/>
  <c r="AC55" i="16"/>
  <c r="AC58" i="16"/>
  <c r="AC61" i="16"/>
  <c r="AC62" i="16"/>
  <c r="AC64" i="16"/>
  <c r="AC65" i="16"/>
  <c r="AC67" i="16"/>
  <c r="AC68" i="16"/>
  <c r="AC69" i="16"/>
  <c r="AC71" i="16"/>
  <c r="AC72" i="16"/>
  <c r="AC73" i="16"/>
  <c r="AC78" i="16"/>
  <c r="AC79" i="16"/>
  <c r="AC81" i="16"/>
  <c r="AC83" i="16"/>
  <c r="AC84" i="16"/>
  <c r="AC89" i="16"/>
  <c r="AC90" i="16"/>
  <c r="AC95" i="16"/>
  <c r="AC97" i="16"/>
  <c r="AC96" i="16"/>
  <c r="AC98" i="16"/>
  <c r="AC99" i="16"/>
  <c r="AC101" i="16"/>
  <c r="AC104" i="16"/>
  <c r="AC103" i="16"/>
  <c r="AC109" i="16"/>
  <c r="AC110" i="16"/>
  <c r="AC111" i="16"/>
  <c r="AC112" i="16"/>
  <c r="AC113" i="16"/>
  <c r="AC117" i="16"/>
  <c r="AC115" i="16"/>
  <c r="AC116" i="16"/>
  <c r="AC120" i="16"/>
  <c r="AC122" i="16"/>
  <c r="AC124" i="16"/>
  <c r="AC130" i="16"/>
  <c r="AC129" i="16"/>
  <c r="AC133" i="16"/>
  <c r="AC134" i="16"/>
  <c r="AC136" i="16"/>
  <c r="AC138" i="16"/>
  <c r="AC141" i="16"/>
  <c r="AC144" i="16"/>
  <c r="AC143" i="16"/>
  <c r="AC142" i="16"/>
  <c r="AC145" i="16"/>
  <c r="AC147" i="16"/>
  <c r="AC148" i="16"/>
  <c r="AC149" i="16"/>
  <c r="AC150" i="16"/>
  <c r="AC151" i="16"/>
  <c r="AC154" i="16"/>
  <c r="AC153" i="16"/>
  <c r="AC156" i="16"/>
  <c r="AC161" i="16"/>
  <c r="AC159"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6" i="16"/>
  <c r="AC30" i="16"/>
  <c r="AC32" i="16"/>
  <c r="AC35" i="16"/>
  <c r="AC45" i="16"/>
  <c r="AC48" i="16"/>
  <c r="AC52" i="16"/>
  <c r="AC14" i="16"/>
  <c r="AC15" i="16"/>
  <c r="AC20" i="16"/>
  <c r="AC28" i="16"/>
  <c r="AC29" i="16"/>
  <c r="AC31" i="16"/>
  <c r="AC33" i="16"/>
  <c r="AC36" i="16"/>
  <c r="AC37" i="16"/>
  <c r="AC39"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38" i="16"/>
  <c r="P358" i="16"/>
  <c r="P346" i="16"/>
  <c r="P354" i="16"/>
  <c r="P282" i="16"/>
  <c r="P326" i="16"/>
  <c r="P314" i="16"/>
  <c r="P290" i="16"/>
  <c r="P343" i="16"/>
  <c r="P298" i="16"/>
  <c r="P311" i="16"/>
  <c r="P224" i="16"/>
  <c r="P359" i="16"/>
  <c r="P258" i="16"/>
  <c r="P327" i="16"/>
  <c r="P281" i="16"/>
  <c r="K32" i="8"/>
  <c r="K50" i="8" s="1"/>
  <c r="P27" i="16"/>
  <c r="P356" i="16"/>
  <c r="P348" i="16"/>
  <c r="P340" i="16"/>
  <c r="P332" i="16"/>
  <c r="P324" i="16"/>
  <c r="P316" i="16"/>
  <c r="P302" i="16"/>
  <c r="P286" i="16"/>
  <c r="P270" i="16"/>
  <c r="P254" i="16"/>
  <c r="P232" i="16"/>
  <c r="P200" i="16"/>
  <c r="P351" i="16"/>
  <c r="P319" i="16"/>
  <c r="P265" i="16"/>
  <c r="P174" i="16"/>
  <c r="P115" i="16"/>
  <c r="P308" i="16"/>
  <c r="P300" i="16"/>
  <c r="P292" i="16"/>
  <c r="P284" i="16"/>
  <c r="P276" i="16"/>
  <c r="P268" i="16"/>
  <c r="P260" i="16"/>
  <c r="P252" i="16"/>
  <c r="P244" i="16"/>
  <c r="P228" i="16"/>
  <c r="P212" i="16"/>
  <c r="P196" i="16"/>
  <c r="P176" i="16"/>
  <c r="P347" i="16"/>
  <c r="P331" i="16"/>
  <c r="P315" i="16"/>
  <c r="P289" i="16"/>
  <c r="P257" i="16"/>
  <c r="P225" i="16"/>
  <c r="P158" i="16"/>
  <c r="P78" i="16"/>
  <c r="P83" i="16"/>
  <c r="P238" i="16"/>
  <c r="P230" i="16"/>
  <c r="P222" i="16"/>
  <c r="P214" i="16"/>
  <c r="P206" i="16"/>
  <c r="P198" i="16"/>
  <c r="P190" i="16"/>
  <c r="P180" i="16"/>
  <c r="P357" i="16"/>
  <c r="P349" i="16"/>
  <c r="P341" i="16"/>
  <c r="P333" i="16"/>
  <c r="P325" i="16"/>
  <c r="P317" i="16"/>
  <c r="P309" i="16"/>
  <c r="P293" i="16"/>
  <c r="P277" i="16"/>
  <c r="P261" i="16"/>
  <c r="P245" i="16"/>
  <c r="P229" i="16"/>
  <c r="P203" i="16"/>
  <c r="P166" i="16"/>
  <c r="P134" i="16"/>
  <c r="P94" i="16"/>
  <c r="P22" i="16"/>
  <c r="P163" i="16"/>
  <c r="P99" i="16"/>
  <c r="P307" i="16"/>
  <c r="P299" i="16"/>
  <c r="P291" i="16"/>
  <c r="P283" i="16"/>
  <c r="P275" i="16"/>
  <c r="P267" i="16"/>
  <c r="P259" i="16"/>
  <c r="P251" i="16"/>
  <c r="P243" i="16"/>
  <c r="P235" i="16"/>
  <c r="P227" i="16"/>
  <c r="P215" i="16"/>
  <c r="P199" i="16"/>
  <c r="P182" i="16"/>
  <c r="P162" i="16"/>
  <c r="P146" i="16"/>
  <c r="P130" i="16"/>
  <c r="P114" i="16"/>
  <c r="P86" i="16"/>
  <c r="P14" i="16"/>
  <c r="P155" i="16"/>
  <c r="P123" i="16"/>
  <c r="P91" i="16"/>
  <c r="P17" i="16"/>
  <c r="P217" i="16"/>
  <c r="P209" i="16"/>
  <c r="P201" i="16"/>
  <c r="P193" i="16"/>
  <c r="P185" i="16"/>
  <c r="P172" i="16"/>
  <c r="P164" i="16"/>
  <c r="P156" i="16"/>
  <c r="P148" i="16"/>
  <c r="P140" i="16"/>
  <c r="P132" i="16"/>
  <c r="P124" i="16"/>
  <c r="P116" i="16"/>
  <c r="P106" i="16"/>
  <c r="P90" i="16"/>
  <c r="P74" i="16"/>
  <c r="P18" i="16"/>
  <c r="P175" i="16"/>
  <c r="P159" i="16"/>
  <c r="P143" i="16"/>
  <c r="P127" i="16"/>
  <c r="P111" i="16"/>
  <c r="P95" i="16"/>
  <c r="P79" i="16"/>
  <c r="P21" i="16"/>
  <c r="P13" i="16"/>
  <c r="P108" i="16"/>
  <c r="P100" i="16"/>
  <c r="P92" i="16"/>
  <c r="P84" i="16"/>
  <c r="P76" i="16"/>
  <c r="P68" i="16"/>
  <c r="P24" i="16"/>
  <c r="P20" i="16"/>
  <c r="P16" i="16"/>
  <c r="P12" i="16"/>
  <c r="P177" i="16"/>
  <c r="P169" i="16"/>
  <c r="P161" i="16"/>
  <c r="P153" i="16"/>
  <c r="P145" i="16"/>
  <c r="P137" i="16"/>
  <c r="P129" i="16"/>
  <c r="P121" i="16"/>
  <c r="P113" i="16"/>
  <c r="P105" i="16"/>
  <c r="P97" i="16"/>
  <c r="P89" i="16"/>
  <c r="P81" i="16"/>
  <c r="P73" i="16"/>
  <c r="P23" i="16"/>
  <c r="P19" i="16"/>
  <c r="P15" i="16"/>
  <c r="P60" i="16"/>
  <c r="P52" i="16"/>
  <c r="P44" i="16"/>
  <c r="P36" i="16"/>
  <c r="P28" i="16"/>
  <c r="P59" i="16"/>
  <c r="P51" i="16"/>
  <c r="P43" i="16"/>
  <c r="P35" i="16"/>
  <c r="T32" i="8"/>
  <c r="Q14" i="16"/>
  <c r="Q19" i="16"/>
  <c r="Q22" i="16"/>
  <c r="Q26" i="16"/>
  <c r="Q30" i="16"/>
  <c r="Q34" i="16"/>
  <c r="Q38" i="16"/>
  <c r="Q42" i="16"/>
  <c r="Q50" i="16"/>
  <c r="Q58" i="16"/>
  <c r="Q66" i="16"/>
  <c r="Q74" i="16"/>
  <c r="Q82" i="16"/>
  <c r="Q90" i="16"/>
  <c r="Q98" i="16"/>
  <c r="Q106" i="16"/>
  <c r="Q13" i="16"/>
  <c r="Q17" i="16"/>
  <c r="Q21" i="16"/>
  <c r="Q25" i="16"/>
  <c r="Q29" i="16"/>
  <c r="Q33" i="16"/>
  <c r="Q37" i="16"/>
  <c r="Q41" i="16"/>
  <c r="Q49" i="16"/>
  <c r="Q57" i="16"/>
  <c r="Q65" i="16"/>
  <c r="Q73" i="16"/>
  <c r="Q81" i="16"/>
  <c r="Q89" i="16"/>
  <c r="Q97" i="16"/>
  <c r="Q105" i="16"/>
  <c r="P62" i="16"/>
  <c r="P54" i="16"/>
  <c r="P46" i="16"/>
  <c r="P38" i="16"/>
  <c r="P30" i="16"/>
  <c r="P65" i="16"/>
  <c r="P57" i="16"/>
  <c r="P49" i="16"/>
  <c r="P41" i="16"/>
  <c r="P33" i="16"/>
  <c r="P25" i="16"/>
  <c r="P37" i="16" l="1"/>
  <c r="P53" i="16"/>
  <c r="P26" i="16"/>
  <c r="P42" i="16"/>
  <c r="P58" i="16"/>
  <c r="Q99" i="16"/>
  <c r="Q83" i="16"/>
  <c r="Q67" i="16"/>
  <c r="Q51" i="16"/>
  <c r="Q39" i="16"/>
  <c r="Q31" i="16"/>
  <c r="Q23" i="16"/>
  <c r="Q15" i="16"/>
  <c r="Q100" i="16"/>
  <c r="Q84" i="16"/>
  <c r="Q68" i="16"/>
  <c r="Q52" i="16"/>
  <c r="Q40" i="16"/>
  <c r="Q32" i="16"/>
  <c r="Q24" i="16"/>
  <c r="Q16" i="16"/>
  <c r="P31" i="16"/>
  <c r="P47" i="16"/>
  <c r="P63" i="16"/>
  <c r="P40" i="16"/>
  <c r="P56" i="16"/>
  <c r="P77" i="16"/>
  <c r="P93" i="16"/>
  <c r="P109" i="16"/>
  <c r="P125" i="16"/>
  <c r="P141" i="16"/>
  <c r="P157" i="16"/>
  <c r="P173" i="16"/>
  <c r="P72" i="16"/>
  <c r="P88" i="16"/>
  <c r="P104" i="16"/>
  <c r="P71" i="16"/>
  <c r="P103" i="16"/>
  <c r="P135" i="16"/>
  <c r="P167" i="16"/>
  <c r="P66" i="16"/>
  <c r="P98" i="16"/>
  <c r="P120" i="16"/>
  <c r="P136" i="16"/>
  <c r="P152" i="16"/>
  <c r="P168" i="16"/>
  <c r="P189" i="16"/>
  <c r="P205" i="16"/>
  <c r="P221" i="16"/>
  <c r="P107" i="16"/>
  <c r="P171" i="16"/>
  <c r="P102" i="16"/>
  <c r="P138" i="16"/>
  <c r="P170" i="16"/>
  <c r="P207" i="16"/>
  <c r="P231" i="16"/>
  <c r="P247" i="16"/>
  <c r="P263" i="16"/>
  <c r="P279" i="16"/>
  <c r="P295" i="16"/>
  <c r="P67" i="16"/>
  <c r="P150" i="16"/>
  <c r="P219" i="16"/>
  <c r="P253" i="16"/>
  <c r="P285" i="16"/>
  <c r="P313" i="16"/>
  <c r="P329" i="16"/>
  <c r="P345" i="16"/>
  <c r="P361" i="16"/>
  <c r="P194" i="16"/>
  <c r="P210" i="16"/>
  <c r="P226" i="16"/>
  <c r="P242" i="16"/>
  <c r="P126" i="16"/>
  <c r="P241" i="16"/>
  <c r="P305" i="16"/>
  <c r="P339" i="16"/>
  <c r="P188" i="16"/>
  <c r="P220" i="16"/>
  <c r="P248" i="16"/>
  <c r="P264" i="16"/>
  <c r="P280" i="16"/>
  <c r="P296" i="16"/>
  <c r="P312" i="16"/>
  <c r="P233" i="16"/>
  <c r="P335" i="16"/>
  <c r="P216" i="16"/>
  <c r="P262" i="16"/>
  <c r="P294" i="16"/>
  <c r="P320" i="16"/>
  <c r="P336" i="16"/>
  <c r="P352" i="16"/>
  <c r="P362" i="16"/>
  <c r="P142" i="16"/>
  <c r="P211" i="16"/>
  <c r="P274" i="16"/>
  <c r="P322" i="16"/>
  <c r="P240" i="16"/>
  <c r="P342" i="16"/>
  <c r="P306" i="16"/>
  <c r="P330" i="16"/>
  <c r="P29" i="16"/>
  <c r="P45" i="16"/>
  <c r="P61" i="16"/>
  <c r="P34" i="16"/>
  <c r="P50" i="16"/>
  <c r="Q107" i="16"/>
  <c r="Q91" i="16"/>
  <c r="Q75" i="16"/>
  <c r="Q59" i="16"/>
  <c r="Q43" i="16"/>
  <c r="Q35" i="16"/>
  <c r="Q27" i="16"/>
  <c r="Q18" i="16"/>
  <c r="Q11" i="16"/>
  <c r="Q92" i="16"/>
  <c r="Q76" i="16"/>
  <c r="Q60" i="16"/>
  <c r="Q44" i="16"/>
  <c r="Q36" i="16"/>
  <c r="Q28" i="16"/>
  <c r="Q20" i="16"/>
  <c r="Q12" i="16"/>
  <c r="P39" i="16"/>
  <c r="P55" i="16"/>
  <c r="P32" i="16"/>
  <c r="P48" i="16"/>
  <c r="P64" i="16"/>
  <c r="P69" i="16"/>
  <c r="P85" i="16"/>
  <c r="P101" i="16"/>
  <c r="P117" i="16"/>
  <c r="P133" i="16"/>
  <c r="P149" i="16"/>
  <c r="P165" i="16"/>
  <c r="P181" i="16"/>
  <c r="P80" i="16"/>
  <c r="P96" i="16"/>
  <c r="P87" i="16"/>
  <c r="P119" i="16"/>
  <c r="P151" i="16"/>
  <c r="P183" i="16"/>
  <c r="P82" i="16"/>
  <c r="P112" i="16"/>
  <c r="P128" i="16"/>
  <c r="P144" i="16"/>
  <c r="P160" i="16"/>
  <c r="P178" i="16"/>
  <c r="P197" i="16"/>
  <c r="P213" i="16"/>
  <c r="P75" i="16"/>
  <c r="P139" i="16"/>
  <c r="P70" i="16"/>
  <c r="P122" i="16"/>
  <c r="P154" i="16"/>
  <c r="P191" i="16"/>
  <c r="P223" i="16"/>
  <c r="P239" i="16"/>
  <c r="P255" i="16"/>
  <c r="P271" i="16"/>
  <c r="P287" i="16"/>
  <c r="P303" i="16"/>
  <c r="P131" i="16"/>
  <c r="P118" i="16"/>
  <c r="P187" i="16"/>
  <c r="P237" i="16"/>
  <c r="P269" i="16"/>
  <c r="P301" i="16"/>
  <c r="P321" i="16"/>
  <c r="P337" i="16"/>
  <c r="P353" i="16"/>
  <c r="P186" i="16"/>
  <c r="P202" i="16"/>
  <c r="P218" i="16"/>
  <c r="P234" i="16"/>
  <c r="P147" i="16"/>
  <c r="P195" i="16"/>
  <c r="P273" i="16"/>
  <c r="P323" i="16"/>
  <c r="P355" i="16"/>
  <c r="P204" i="16"/>
  <c r="P236" i="16"/>
  <c r="P256" i="16"/>
  <c r="P272" i="16"/>
  <c r="P288" i="16"/>
  <c r="P304" i="16"/>
  <c r="P110" i="16"/>
  <c r="P297" i="16"/>
  <c r="P184" i="16"/>
  <c r="P246" i="16"/>
  <c r="P278" i="16"/>
  <c r="P310" i="16"/>
  <c r="P328" i="16"/>
  <c r="P344" i="16"/>
  <c r="P360" i="16"/>
  <c r="P179" i="16"/>
  <c r="P208" i="16"/>
  <c r="P249" i="16"/>
  <c r="P250" i="16"/>
  <c r="P192" i="16"/>
  <c r="P266" i="16"/>
  <c r="P334" i="16"/>
  <c r="P318" i="16"/>
  <c r="P350" i="16"/>
  <c r="Q101" i="16"/>
  <c r="Q85" i="16"/>
  <c r="Q69" i="16"/>
  <c r="Q45" i="16"/>
  <c r="Q102" i="16"/>
  <c r="Q86" i="16"/>
  <c r="Q70" i="16"/>
  <c r="Q46" i="16"/>
  <c r="Q93" i="16"/>
  <c r="Q77" i="16"/>
  <c r="Q61" i="16"/>
  <c r="Q53" i="16"/>
  <c r="Q94" i="16"/>
  <c r="Q78" i="16"/>
  <c r="Q62" i="16"/>
  <c r="Q54" i="16"/>
  <c r="Q103" i="16"/>
  <c r="Q95" i="16"/>
  <c r="Q87" i="16"/>
  <c r="Q79" i="16"/>
  <c r="Q71" i="16"/>
  <c r="Q63" i="16"/>
  <c r="Q55" i="16"/>
  <c r="Q47" i="16"/>
  <c r="Q104" i="16"/>
  <c r="Q96" i="16"/>
  <c r="Q88" i="16"/>
  <c r="Q80" i="16"/>
  <c r="Q72" i="16"/>
  <c r="Q64" i="16"/>
  <c r="Q56" i="16"/>
  <c r="Q48" i="16"/>
  <c r="AC24" i="16"/>
  <c r="V38" i="8"/>
  <c r="AC19" i="16"/>
  <c r="AC43" i="16"/>
  <c r="AC38" i="16"/>
  <c r="AC44" i="16"/>
  <c r="AC13" i="16"/>
  <c r="AC47" i="16"/>
  <c r="AC23" i="16"/>
  <c r="AB9" i="16"/>
  <c r="AC18" i="16"/>
  <c r="AC27" i="16"/>
  <c r="AC164" i="16"/>
  <c r="AC146" i="16"/>
  <c r="AC135" i="16"/>
  <c r="AC127" i="16"/>
  <c r="AC92" i="16"/>
  <c r="AC74" i="16"/>
  <c r="Q115" i="16"/>
  <c r="AC211" i="16"/>
  <c r="AC210" i="16"/>
  <c r="Q200" i="16"/>
  <c r="Q248" i="16"/>
  <c r="Q296" i="16"/>
  <c r="Q206" i="16"/>
  <c r="R346" i="16"/>
  <c r="Q328" i="16"/>
  <c r="Q279" i="16"/>
  <c r="R354" i="16"/>
  <c r="Q332" i="16"/>
  <c r="Q295" i="16"/>
  <c r="Q123" i="16"/>
  <c r="Q130" i="16"/>
  <c r="Q264" i="16"/>
  <c r="R277" i="16"/>
  <c r="Q360" i="16"/>
  <c r="Q288" i="16"/>
  <c r="Q343" i="16"/>
  <c r="Q195" i="16"/>
  <c r="Q138" i="16"/>
  <c r="R357" i="16"/>
  <c r="AC152" i="16"/>
  <c r="AC203" i="16"/>
  <c r="AC206" i="16"/>
  <c r="AC207" i="16"/>
  <c r="AC209" i="16"/>
  <c r="AC155" i="16"/>
  <c r="AC197" i="16"/>
  <c r="AC205" i="16"/>
  <c r="Q304" i="16"/>
  <c r="Q228" i="16"/>
  <c r="Q155" i="16"/>
  <c r="Q114" i="16"/>
  <c r="R274" i="16"/>
  <c r="R65" i="16"/>
  <c r="Q348" i="16"/>
  <c r="Q268" i="16"/>
  <c r="Q303" i="16"/>
  <c r="Q239" i="16"/>
  <c r="Q162" i="16"/>
  <c r="Q352" i="16"/>
  <c r="Q316" i="16"/>
  <c r="Q272" i="16"/>
  <c r="Q240" i="16"/>
  <c r="Q335" i="16"/>
  <c r="Q247" i="16"/>
  <c r="Q163" i="16"/>
  <c r="Q122" i="16"/>
  <c r="R282" i="16"/>
  <c r="R197" i="16"/>
  <c r="Q336" i="16"/>
  <c r="Q312" i="16"/>
  <c r="Q284" i="16"/>
  <c r="Q252" i="16"/>
  <c r="Q212" i="16"/>
  <c r="Q327" i="16"/>
  <c r="Q263" i="16"/>
  <c r="Q190" i="16"/>
  <c r="Q131" i="16"/>
  <c r="Q178" i="16"/>
  <c r="R306" i="16"/>
  <c r="R341" i="16"/>
  <c r="R198" i="16"/>
  <c r="Q344" i="16"/>
  <c r="Q320" i="16"/>
  <c r="Q300" i="16"/>
  <c r="Q280" i="16"/>
  <c r="Q256" i="16"/>
  <c r="Q236" i="16"/>
  <c r="Q359" i="16"/>
  <c r="Q311" i="16"/>
  <c r="Q271" i="16"/>
  <c r="Q231" i="16"/>
  <c r="Q179" i="16"/>
  <c r="Q170" i="16"/>
  <c r="R322" i="16"/>
  <c r="R242" i="16"/>
  <c r="R261" i="16"/>
  <c r="R119" i="16"/>
  <c r="Q215" i="16"/>
  <c r="Q187" i="16"/>
  <c r="Q147" i="16"/>
  <c r="Q146" i="16"/>
  <c r="R314" i="16"/>
  <c r="R258" i="16"/>
  <c r="R293" i="16"/>
  <c r="R171" i="16"/>
  <c r="R55" i="16"/>
  <c r="Q356" i="16"/>
  <c r="Q340" i="16"/>
  <c r="Q324" i="16"/>
  <c r="Q308" i="16"/>
  <c r="Q292" i="16"/>
  <c r="Q276" i="16"/>
  <c r="Q260" i="16"/>
  <c r="Q244" i="16"/>
  <c r="Q220" i="16"/>
  <c r="Q351" i="16"/>
  <c r="Q319" i="16"/>
  <c r="Q287" i="16"/>
  <c r="Q255" i="16"/>
  <c r="Q223" i="16"/>
  <c r="Q203" i="16"/>
  <c r="Q171" i="16"/>
  <c r="Q139" i="16"/>
  <c r="Q154" i="16"/>
  <c r="R338" i="16"/>
  <c r="R290" i="16"/>
  <c r="R250" i="16"/>
  <c r="R325" i="16"/>
  <c r="R223" i="16"/>
  <c r="R230" i="16"/>
  <c r="R78" i="16"/>
  <c r="AC363" i="16"/>
  <c r="AC80" i="16"/>
  <c r="AC94" i="16"/>
  <c r="AC108" i="16"/>
  <c r="AC196" i="16"/>
  <c r="AC202" i="16"/>
  <c r="AC204" i="16"/>
  <c r="AC208"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18" i="8" s="1"/>
  <c r="X92" i="8"/>
  <c r="AL92" i="8" s="1"/>
  <c r="AU11" i="16"/>
  <c r="AH92" i="8" s="1"/>
  <c r="AH94" i="8"/>
  <c r="E52" i="8"/>
  <c r="K38" i="8"/>
  <c r="M121" i="8"/>
  <c r="X93" i="8"/>
  <c r="AL93" i="8" s="1"/>
  <c r="M118" i="8"/>
  <c r="M119" i="8"/>
  <c r="O121" i="8"/>
  <c r="O119" i="8"/>
  <c r="O120" i="8"/>
  <c r="O118" i="8"/>
  <c r="Q120" i="8"/>
  <c r="AM14" i="16"/>
  <c r="AN14" i="16" s="1"/>
  <c r="X94" i="8"/>
  <c r="AL94" i="8" s="1"/>
  <c r="AT14" i="16"/>
  <c r="AU14" i="16" s="1"/>
  <c r="U95" i="8"/>
  <c r="AS15" i="16"/>
  <c r="Q121" i="8" l="1"/>
  <c r="Q119"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<sst xmlns="http://schemas.openxmlformats.org/spreadsheetml/2006/main" count="9800" uniqueCount="904">
  <si>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</si>
  <si>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</si>
  <si>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</si>
  <si>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</si>
  <si>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</si>
  <si>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</si>
  <si>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</si>
  <si>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</si>
  <si>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</si>
  <si>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</si>
  <si>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</si>
  <si>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</si>
  <si>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</si>
  <si>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</si>
  <si>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</si>
  <si>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</si>
  <si>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</si>
  <si>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</si>
  <si>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</si>
  <si>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</si>
  <si>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</si>
  <si>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</si>
  <si>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</si>
  <si>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</si>
  <si>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</si>
  <si>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</si>
  <si>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</si>
  <si>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</si>
  <si>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</si>
  <si>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</si>
  <si>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</si>
  <si>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</si>
  <si>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</si>
  <si>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</si>
  <si>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</si>
  <si>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</si>
  <si>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</si>
  <si>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</si>
  <si>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</si>
  <si>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</si>
  <si>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</si>
  <si>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</si>
  <si>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</si>
  <si>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</si>
  <si>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</si>
  <si>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</si>
  <si>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</si>
  <si>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</si>
  <si>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</si>
  <si>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</si>
  <si>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</si>
  <si>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</si>
  <si>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</si>
  <si>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</si>
  <si>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</si>
  <si>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</si>
  <si>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</si>
  <si>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</si>
  <si>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</si>
  <si>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</si>
  <si>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</si>
  <si>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</si>
  <si>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</si>
  <si>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</si>
  <si>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</si>
  <si>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</si>
  <si>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</si>
  <si>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</si>
  <si>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</si>
  <si>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</si>
  <si>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</si>
  <si>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</si>
  <si>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</si>
  <si>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</si>
  <si>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</si>
  <si>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</si>
  <si>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</si>
  <si>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</si>
  <si>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</si>
  <si>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</si>
  <si>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</si>
  <si>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</si>
  <si>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</si>
  <si>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</si>
  <si>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</si>
  <si>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</si>
  <si>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</si>
  <si>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</si>
  <si>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</si>
  <si>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</si>
  <si>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</si>
  <si>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</si>
  <si>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</si>
  <si>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</si>
  <si>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</si>
  <si>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</si>
  <si>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</si>
  <si>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</si>
  <si>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</si>
  <si>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</si>
  <si>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</si>
  <si>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</si>
  <si>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</si>
  <si>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</si>
  <si>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</si>
  <si>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</si>
  <si>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</si>
  <si>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</si>
  <si>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</si>
  <si>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</si>
  <si>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</si>
  <si>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</si>
  <si>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</si>
  <si>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</si>
  <si>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</si>
  <si>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</si>
  <si>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</si>
  <si>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</si>
  <si>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</si>
  <si>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</si>
  <si>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</si>
  <si>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</si>
  <si>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</si>
  <si>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</si>
  <si>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</si>
  <si>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</si>
  <si>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</si>
  <si>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</si>
  <si>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</si>
  <si>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</si>
  <si>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</si>
  <si>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</si>
  <si>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</si>
  <si>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</si>
  <si>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</si>
  <si>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</si>
  <si>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</si>
  <si>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</si>
  <si>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</si>
  <si>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</si>
  <si>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</si>
  <si>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</si>
  <si>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</si>
  <si>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</si>
  <si>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</si>
  <si>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</si>
  <si>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</si>
  <si>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</si>
  <si>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</si>
  <si>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</si>
  <si>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</si>
  <si>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</si>
  <si>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</si>
  <si>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</si>
  <si>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</si>
  <si>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</si>
  <si>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</si>
  <si>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</si>
  <si>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</si>
  <si>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</si>
  <si>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</si>
  <si>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</si>
  <si>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</si>
  <si>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</si>
  <si>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</si>
  <si>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</si>
  <si>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</si>
  <si>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</si>
  <si>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</si>
  <si>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</si>
  <si>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</si>
  <si>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</si>
  <si>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</si>
  <si>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</si>
  <si>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</si>
  <si>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</si>
  <si>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</si>
  <si>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</si>
  <si>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</si>
  <si>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</si>
  <si>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</si>
  <si>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</si>
  <si>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</si>
  <si>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</si>
  <si>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</si>
  <si>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</si>
  <si>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</si>
  <si>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</si>
  <si>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</si>
  <si>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</si>
  <si>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</si>
  <si>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</si>
  <si>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</si>
  <si>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</si>
  <si>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</si>
  <si>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</si>
  <si>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</si>
  <si>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</si>
  <si>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</si>
  <si>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</si>
  <si>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</si>
  <si>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</si>
  <si>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</si>
  <si>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</si>
  <si>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</si>
  <si>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</si>
  <si>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</si>
  <si>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</si>
  <si>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</si>
  <si>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</si>
  <si>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</si>
  <si>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</si>
  <si>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</si>
  <si>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</si>
  <si>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</si>
  <si>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</si>
  <si>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</si>
  <si>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</si>
  <si>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</si>
  <si>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</si>
  <si>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</si>
  <si>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</si>
  <si>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</si>
  <si>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</si>
  <si>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</si>
  <si>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</si>
  <si>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</si>
  <si>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</si>
  <si>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</si>
  <si>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</si>
  <si>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</si>
  <si>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</si>
  <si>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</si>
  <si>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</si>
  <si>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</si>
  <si>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</si>
  <si>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</si>
  <si>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</si>
  <si>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</si>
  <si>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</si>
  <si>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</si>
  <si>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</si>
  <si>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</si>
  <si>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</si>
  <si>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</si>
  <si>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</si>
  <si>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</si>
  <si>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</si>
  <si>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</si>
  <si>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</si>
  <si>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</si>
  <si>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</si>
  <si>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</si>
  <si>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</si>
  <si>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</si>
  <si>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</si>
  <si>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</si>
  <si>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</si>
  <si>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</si>
  <si>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</si>
  <si>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</si>
  <si>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</si>
  <si>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</si>
  <si>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</si>
  <si>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</si>
  <si>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</si>
  <si>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</si>
  <si>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</si>
  <si>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</si>
  <si>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</si>
  <si>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</si>
  <si>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</si>
  <si>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</si>
  <si>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</si>
  <si>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</si>
  <si>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</si>
  <si>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</si>
  <si>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</si>
  <si>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</si>
  <si>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</si>
  <si>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</si>
  <si>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</si>
  <si>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</si>
  <si>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</si>
  <si>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</si>
  <si>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</si>
  <si>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</si>
  <si>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</si>
  <si>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</si>
  <si>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</si>
  <si>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</si>
  <si>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</si>
  <si>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</si>
  <si>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</si>
  <si>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</si>
  <si>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</si>
  <si>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</si>
  <si>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</si>
  <si>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</si>
  <si>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</si>
  <si>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</si>
  <si>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</si>
  <si>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</si>
  <si>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</si>
  <si>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</si>
  <si>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</si>
  <si>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</si>
  <si>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</si>
  <si>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</si>
  <si>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</si>
  <si>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</si>
  <si>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</si>
  <si>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</si>
  <si>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</si>
  <si>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</si>
  <si>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</si>
  <si>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</si>
  <si>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</si>
  <si>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</si>
  <si>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</si>
  <si>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</si>
  <si>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</si>
  <si>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</si>
  <si>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</si>
  <si>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</si>
  <si>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</si>
  <si>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</si>
  <si>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</si>
  <si>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</si>
  <si>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</si>
  <si>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</si>
  <si>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</si>
  <si>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</si>
  <si>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</si>
  <si>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</si>
  <si>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</si>
  <si>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</si>
  <si>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</si>
  <si>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</si>
  <si>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</si>
  <si>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</si>
  <si>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</si>
  <si>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</si>
  <si>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</si>
  <si>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</si>
  <si>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</si>
  <si>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</si>
  <si>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</si>
  <si>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</si>
  <si>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</si>
  <si>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</si>
  <si>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</si>
  <si>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</si>
  <si>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</si>
  <si>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</si>
  <si>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</si>
  <si>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</si>
  <si>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</si>
  <si>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</si>
  <si>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</si>
  <si>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</si>
  <si>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</si>
  <si>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</si>
  <si>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</si>
  <si>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</si>
  <si>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</si>
  <si>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</si>
  <si>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</si>
  <si>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</si>
  <si>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</si>
  <si>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</si>
  <si>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</si>
  <si>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</si>
  <si>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</si>
  <si>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</si>
  <si>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</si>
  <si>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</si>
  <si>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</si>
  <si>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</si>
  <si>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</si>
  <si>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</si>
  <si>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</si>
  <si>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</si>
  <si>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</si>
  <si>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</si>
  <si>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</si>
  <si>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</si>
  <si>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</si>
  <si>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</si>
  <si>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</si>
  <si>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</si>
  <si>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</si>
  <si>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</si>
  <si>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</si>
  <si>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</si>
  <si>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</si>
  <si>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</si>
  <si>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</si>
  <si>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</si>
  <si>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</si>
  <si>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</si>
  <si>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</si>
  <si>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</si>
  <si>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</si>
  <si>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</si>
  <si>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</si>
  <si>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</si>
  <si>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</si>
  <si>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</si>
  <si>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</si>
  <si>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</si>
  <si>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</si>
  <si>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</si>
  <si>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</si>
  <si>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</si>
  <si>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</si>
  <si>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</si>
  <si>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</si>
  <si>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</si>
  <si>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</si>
  <si>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</si>
  <si>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</si>
  <si>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</si>
  <si>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</si>
  <si>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</si>
  <si>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</si>
  <si>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</si>
  <si>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</si>
  <si>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</si>
  <si>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</si>
  <si>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</si>
  <si>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</si>
  <si>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</si>
  <si>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</si>
  <si>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</si>
  <si>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</si>
  <si>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</si>
  <si>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</si>
  <si>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</si>
  <si>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</si>
  <si>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</si>
  <si>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</si>
  <si>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</si>
  <si>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</si>
  <si>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</si>
  <si>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</si>
  <si>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</si>
  <si>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</si>
  <si>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</si>
  <si>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</si>
  <si>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</si>
  <si>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</si>
  <si>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</si>
  <si>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</si>
  <si>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</si>
  <si>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</si>
  <si>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</si>
  <si>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</si>
  <si>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</si>
  <si>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</si>
  <si>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</si>
  <si>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</si>
  <si>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</si>
  <si>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</si>
  <si>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</si>
  <si>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</si>
  <si>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</si>
  <si>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</si>
  <si>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</si>
  <si>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</si>
  <si>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</si>
  <si>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</si>
  <si>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</si>
  <si>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</si>
  <si>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</si>
  <si>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</si>
  <si>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</si>
  <si>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</si>
  <si>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</si>
  <si>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</si>
  <si>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</si>
  <si>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</si>
  <si>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</si>
  <si>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</si>
  <si>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</si>
  <si>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</si>
  <si>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</si>
  <si>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</si>
  <si>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</si>
  <si>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</si>
  <si>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</si>
  <si>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</si>
  <si>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</si>
  <si>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</si>
  <si>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</si>
  <si>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</si>
  <si>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</si>
  <si>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</si>
  <si>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</si>
  <si>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</si>
  <si>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</si>
  <si>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</si>
  <si>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</si>
  <si>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</si>
  <si>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</si>
  <si>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</si>
  <si>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</si>
  <si>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</si>
  <si>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</si>
  <si>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</si>
  <si>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</si>
  <si>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</si>
  <si>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</si>
  <si>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</si>
  <si>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</si>
  <si>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</si>
  <si>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</si>
  <si>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</si>
  <si>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</si>
  <si>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</si>
  <si>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</si>
  <si>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</si>
  <si>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</si>
  <si>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</si>
  <si>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</si>
  <si>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</si>
  <si>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</si>
  <si>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</si>
  <si>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</si>
  <si>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</si>
  <si>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</si>
  <si>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</si>
  <si>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</si>
  <si>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</si>
  <si>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</si>
  <si>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</si>
  <si>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</si>
  <si>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</si>
  <si>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</si>
  <si>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</si>
  <si>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</si>
  <si>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</si>
  <si>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</si>
  <si>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</si>
  <si>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</si>
  <si>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</si>
  <si>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</si>
  <si>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</si>
  <si>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</si>
  <si>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</si>
  <si>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</si>
  <si>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</si>
  <si>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</si>
  <si>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</si>
  <si>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</si>
  <si>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</si>
  <si>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</si>
  <si>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</si>
  <si>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</si>
  <si>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</si>
  <si>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</si>
  <si>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</si>
  <si>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</si>
  <si>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</si>
  <si>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</si>
  <si>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</si>
  <si>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</si>
  <si>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</si>
  <si>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</si>
  <si>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</si>
  <si>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</si>
  <si>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</si>
  <si>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</si>
  <si>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</si>
  <si>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</si>
  <si>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</si>
  <si>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</si>
  <si>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</si>
  <si>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</si>
  <si>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</si>
  <si>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</si>
  <si>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</si>
  <si>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</si>
  <si>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</si>
  <si>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</si>
  <si>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</si>
  <si>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</si>
  <si>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</si>
  <si>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</si>
  <si>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</si>
  <si>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</si>
  <si>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</si>
  <si>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</si>
  <si>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</si>
  <si>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</si>
  <si>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</si>
  <si>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</si>
  <si>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</si>
  <si>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</si>
  <si>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</si>
  <si>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</si>
  <si>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</si>
  <si>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</si>
  <si>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</si>
  <si>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</si>
  <si>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</si>
  <si>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</si>
  <si>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</si>
  <si>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</si>
  <si>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</si>
  <si>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</si>
  <si>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</si>
  <si>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</si>
  <si>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</si>
  <si>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</si>
  <si>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</si>
  <si>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</si>
  <si>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</si>
  <si>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</si>
  <si>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</si>
  <si>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</si>
  <si>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</si>
  <si>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</si>
  <si>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</si>
  <si>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</si>
  <si>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</si>
  <si>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</si>
  <si>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</si>
  <si>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</si>
  <si>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</si>
  <si>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</si>
  <si>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</si>
  <si>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</si>
  <si>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</si>
  <si>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</si>
  <si>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</si>
  <si>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</si>
  <si>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</si>
  <si>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</si>
  <si>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</si>
  <si>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</si>
  <si>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</si>
  <si>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</si>
  <si>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</si>
  <si>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</si>
  <si>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</si>
  <si>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</si>
  <si>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</si>
  <si>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</si>
  <si>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</si>
  <si>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</si>
  <si>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</si>
  <si>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</si>
  <si>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</si>
  <si>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</si>
  <si>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</si>
  <si>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</si>
  <si>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</si>
  <si>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</si>
  <si>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</si>
  <si>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</si>
  <si>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</si>
  <si>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</si>
  <si>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</si>
  <si>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</si>
  <si>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</si>
  <si>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</si>
  <si>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</si>
  <si>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</si>
  <si>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</si>
  <si>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</si>
  <si>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</si>
  <si>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</si>
  <si>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</si>
  <si>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</si>
  <si>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</si>
  <si>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</si>
  <si>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</si>
  <si>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</si>
  <si>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</si>
  <si>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</si>
  <si>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</si>
  <si>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</si>
  <si>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</si>
  <si>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</si>
  <si>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</si>
  <si>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</si>
  <si>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</si>
  <si>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</si>
  <si>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</si>
  <si>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</si>
  <si>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</si>
  <si>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</si>
  <si>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</si>
  <si>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</si>
  <si>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</si>
  <si>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</si>
  <si>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</si>
  <si>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</si>
  <si>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</si>
  <si>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</si>
  <si>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</si>
  <si>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</si>
  <si>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</si>
  <si>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</si>
  <si>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</si>
  <si>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</si>
  <si>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</si>
  <si>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</si>
  <si>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</si>
  <si>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</si>
  <si>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</si>
  <si>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</si>
  <si>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</si>
  <si>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</si>
  <si>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</si>
  <si>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</si>
  <si>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</si>
  <si>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</si>
  <si>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</si>
  <si>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</si>
  <si>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</si>
  <si>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</si>
  <si>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</si>
  <si>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</si>
  <si>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</si>
  <si>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</si>
  <si>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</si>
  <si>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</si>
  <si>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</si>
  <si>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</si>
  <si>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</si>
  <si>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</si>
  <si>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</si>
  <si>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</si>
  <si>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</si>
  <si>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</si>
  <si>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</si>
  <si>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</si>
  <si>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</si>
  <si>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</si>
  <si>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</si>
  <si>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</si>
  <si>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</si>
  <si>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</si>
  <si>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</si>
  <si>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</si>
  <si>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</si>
  <si>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</si>
  <si>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</si>
  <si>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</si>
  <si>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</si>
  <si>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</si>
  <si>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</si>
  <si>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</si>
  <si>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</si>
  <si>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</si>
  <si>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</si>
  <si>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</si>
  <si>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</si>
  <si>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</si>
  <si>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</si>
  <si>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</si>
  <si>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</si>
  <si>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</si>
  <si>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</si>
  <si>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</si>
  <si>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</si>
  <si>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</si>
  <si>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</si>
  <si>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</si>
  <si>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</si>
  <si>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</si>
  <si>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</si>
  <si>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</si>
  <si>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</si>
  <si>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</si>
  <si>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</si>
  <si>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</si>
  <si>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</si>
  <si>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</si>
  <si>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</si>
  <si>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</si>
  <si>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</si>
  <si>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</si>
  <si>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</si>
  <si>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</si>
  <si>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</si>
  <si>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</si>
  <si>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</si>
  <si>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</si>
  <si>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</si>
  <si>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</si>
  <si>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</si>
  <si>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</si>
  <si>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</si>
  <si>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</si>
  <si>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</si>
  <si>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</si>
  <si>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</si>
  <si>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</si>
  <si>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</si>
  <si>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</si>
  <si>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</si>
  <si>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</si>
  <si>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</si>
  <si>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</si>
  <si>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</si>
  <si>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</si>
  <si>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</si>
  <si>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</si>
  <si>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</si>
  <si>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</si>
  <si>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</si>
  <si>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</si>
  <si>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</si>
  <si>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</si>
  <si>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</si>
  <si>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</si>
  <si>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</si>
  <si>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</si>
  <si>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</si>
  <si>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</si>
  <si>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</si>
  <si>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</si>
  <si>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</si>
  <si>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</si>
  <si>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</si>
  <si>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</si>
  <si>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</si>
  <si>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</si>
  <si>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</si>
  <si>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</si>
  <si>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</si>
  <si>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</si>
  <si>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</si>
  <si>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</si>
  <si>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</si>
  <si>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</si>
  <si>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</si>
  <si>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</si>
  <si>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</si>
  <si>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</si>
  <si>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</si>
  <si>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</si>
  <si>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</si>
  <si>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</si>
  <si>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</si>
  <si>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</si>
  <si>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</si>
  <si>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</si>
  <si>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</si>
  <si>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</si>
  <si>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</si>
  <si>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</si>
  <si>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</si>
  <si>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</si>
  <si>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</si>
  <si>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</si>
  <si>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</si>
  <si>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</si>
  <si>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</si>
  <si>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</si>
  <si>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</si>
  <si>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</si>
  <si>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</si>
  <si>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</si>
  <si>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</si>
  <si>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</si>
  <si>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</si>
  <si>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</si>
  <si>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</si>
  <si>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</si>
  <si>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</si>
  <si>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</si>
  <si>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</si>
  <si>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</si>
  <si>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</si>
  <si>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</si>
  <si>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</si>
  <si>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</si>
  <si>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</si>
  <si>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</si>
  <si>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A</t>
  </si>
  <si>
    <t>%.</t>
  </si>
  <si>
    <t>..</t>
  </si>
  <si>
    <t>%%</t>
  </si>
  <si>
    <t>Check Rows 8,9,10,11 are correct</t>
  </si>
  <si>
    <t>Check Table matches Rows 8,9,10,11</t>
  </si>
  <si>
    <t>Check no of councils in text under Quartiles graph is correct</t>
  </si>
  <si>
    <t>Quartiles are showing (polarity &amp; score)</t>
  </si>
  <si>
    <t>Housing Benefit - New Claims</t>
  </si>
  <si>
    <t>Housing Benefit - Change of Circumstances</t>
  </si>
  <si>
    <t>www.gov.uk</t>
  </si>
  <si>
    <t>Speed of Processing</t>
  </si>
  <si>
    <t>Q1 2014/15</t>
  </si>
  <si>
    <t>Q2 2014/15</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</si>
  <si>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</si>
  <si>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</si>
  <si>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</si>
  <si>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</si>
  <si>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</si>
  <si>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</si>
  <si>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Q3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</si>
</sst>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3" fillId="0" borderId="0" applyFont="0" applyFill="0" applyBorder="0" applyAlignment="0" applyProtection="0"/>
    <xf numFmtId="0" fontId="26" fillId="0" borderId="0"/>
    <xf numFmtId="0" fontId="26" fillId="0" borderId="0"/>
    <xf numFmtId="9" fontId="16" fillId="0" borderId="0" applyFont="0" applyFill="0" applyBorder="0" applyAlignment="0" applyProtection="0"/>
    <xf numFmtId="0" fontId="31" fillId="0" borderId="0"/>
    <xf numFmtId="0" fontId="9" fillId="0" borderId="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7" borderId="10" applyNumberFormat="0" applyFont="0" applyAlignment="0" applyProtection="0"/>
    <xf numFmtId="0" fontId="8" fillId="7" borderId="10" applyNumberFormat="0" applyFont="0" applyAlignment="0" applyProtection="0"/>
    <xf numFmtId="9" fontId="8" fillId="0" borderId="0" applyFont="0" applyFill="0" applyBorder="0" applyAlignment="0" applyProtection="0"/>
    <xf numFmtId="37" fontId="9" fillId="0" borderId="0"/>
    <xf numFmtId="9"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43" fillId="0" borderId="0"/>
    <xf numFmtId="44" fontId="43" fillId="0" borderId="0" applyFont="0" applyFill="0" applyBorder="0" applyAlignment="0" applyProtection="0"/>
    <xf numFmtId="169" fontId="9" fillId="0" borderId="0" applyFont="0" applyFill="0" applyBorder="0" applyAlignment="0" applyProtection="0"/>
    <xf numFmtId="0" fontId="52" fillId="24"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367">
    <xf numFmtId="0" fontId="0" fillId="0" borderId="0" xfId="0"/>
    <xf numFmtId="0" fontId="10" fillId="0" borderId="0" xfId="0" applyFont="1"/>
    <xf numFmtId="0" fontId="0" fillId="0" borderId="0" xfId="0" applyAlignment="1">
      <alignment horizontal="center"/>
    </xf>
    <xf numFmtId="0" fontId="0" fillId="0" borderId="0" xfId="0" applyAlignment="1">
      <alignment horizontal="left"/>
    </xf>
    <xf numFmtId="0" fontId="9"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4" fillId="0" borderId="0" xfId="0" applyFont="1"/>
    <xf numFmtId="0" fontId="18" fillId="0" borderId="6" xfId="0" applyFont="1" applyBorder="1" applyAlignment="1">
      <alignment horizontal="center"/>
    </xf>
    <xf numFmtId="2" fontId="0" fillId="0" borderId="0" xfId="0" applyNumberFormat="1" applyAlignment="1">
      <alignment horizontal="center"/>
    </xf>
    <xf numFmtId="0" fontId="9" fillId="0" borderId="0" xfId="0" applyFont="1" applyBorder="1" applyAlignment="1">
      <alignment horizontal="center" vertical="center" textRotation="90"/>
    </xf>
    <xf numFmtId="0" fontId="18"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9" fillId="0" borderId="0" xfId="0" applyFont="1" applyBorder="1" applyAlignment="1">
      <alignment horizontal="center"/>
    </xf>
    <xf numFmtId="0" fontId="19" fillId="0" borderId="6" xfId="0" applyFont="1" applyBorder="1" applyAlignment="1">
      <alignment horizontal="center"/>
    </xf>
    <xf numFmtId="0" fontId="20" fillId="0" borderId="0" xfId="0" applyFont="1"/>
    <xf numFmtId="0" fontId="9" fillId="0" borderId="0" xfId="0" applyFont="1" applyAlignment="1"/>
    <xf numFmtId="0" fontId="10" fillId="0" borderId="0" xfId="0" applyFont="1" applyAlignment="1"/>
    <xf numFmtId="0" fontId="13" fillId="0" borderId="0" xfId="0" applyFont="1" applyAlignment="1">
      <alignment horizontal="left"/>
    </xf>
    <xf numFmtId="0" fontId="0" fillId="0" borderId="7" xfId="0" applyBorder="1"/>
    <xf numFmtId="2" fontId="27" fillId="0" borderId="0" xfId="0" applyNumberFormat="1" applyFont="1" applyAlignment="1"/>
    <xf numFmtId="0" fontId="0" fillId="20" borderId="0" xfId="0" applyFill="1"/>
    <xf numFmtId="0" fontId="30" fillId="0" borderId="0" xfId="0" applyFont="1" applyAlignment="1">
      <alignment wrapText="1"/>
    </xf>
    <xf numFmtId="0" fontId="30" fillId="0" borderId="0" xfId="0" applyFont="1" applyAlignment="1">
      <alignment horizontal="left" wrapText="1"/>
    </xf>
    <xf numFmtId="0" fontId="0" fillId="0" borderId="0" xfId="0" applyFill="1"/>
    <xf numFmtId="0" fontId="9" fillId="0" borderId="0" xfId="0" applyFont="1" applyFill="1" applyAlignment="1">
      <alignment horizontal="left"/>
    </xf>
    <xf numFmtId="0" fontId="9" fillId="0" borderId="0" xfId="5" applyNumberFormat="1" applyFont="1" applyFill="1" applyAlignment="1">
      <alignment horizontal="center"/>
    </xf>
    <xf numFmtId="0" fontId="32" fillId="0" borderId="0" xfId="0" applyFont="1" applyFill="1"/>
    <xf numFmtId="0" fontId="9" fillId="0" borderId="0" xfId="5" applyFont="1" applyFill="1" applyAlignment="1">
      <alignment horizontal="center"/>
    </xf>
    <xf numFmtId="0" fontId="0" fillId="0" borderId="0" xfId="5" applyNumberFormat="1" applyFont="1" applyFill="1" applyAlignment="1">
      <alignment horizontal="center"/>
    </xf>
    <xf numFmtId="0" fontId="28" fillId="0" borderId="0" xfId="0" applyFont="1" applyFill="1" applyAlignment="1">
      <alignment horizontal="left"/>
    </xf>
    <xf numFmtId="0" fontId="33" fillId="0" borderId="0" xfId="0" applyFont="1"/>
    <xf numFmtId="0" fontId="28" fillId="0" borderId="0" xfId="0" applyFont="1" applyFill="1" applyBorder="1"/>
    <xf numFmtId="0" fontId="29" fillId="0" borderId="0" xfId="0" applyFont="1" applyFill="1"/>
    <xf numFmtId="0" fontId="10" fillId="0" borderId="0" xfId="0" applyFont="1" applyFill="1" applyBorder="1"/>
    <xf numFmtId="0" fontId="0" fillId="0" borderId="0" xfId="0" applyFont="1" applyFill="1"/>
    <xf numFmtId="0" fontId="10" fillId="0" borderId="4" xfId="0" applyFont="1" applyFill="1" applyBorder="1"/>
    <xf numFmtId="0" fontId="0" fillId="0" borderId="0" xfId="0" applyFont="1"/>
    <xf numFmtId="0" fontId="0" fillId="0" borderId="0" xfId="0" applyFont="1" applyFill="1" applyAlignment="1">
      <alignment horizontal="left"/>
    </xf>
    <xf numFmtId="0" fontId="10"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0" fillId="0" borderId="0" xfId="0" applyNumberFormat="1" applyFont="1" applyFill="1" applyBorder="1" applyAlignment="1">
      <alignment horizontal="right"/>
    </xf>
    <xf numFmtId="0" fontId="28" fillId="0" borderId="1" xfId="0" applyNumberFormat="1" applyFont="1" applyFill="1" applyBorder="1" applyAlignment="1">
      <alignment horizontal="left"/>
    </xf>
    <xf numFmtId="0" fontId="10" fillId="0" borderId="0" xfId="0" applyNumberFormat="1" applyFont="1" applyFill="1" applyBorder="1"/>
    <xf numFmtId="0" fontId="10"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8" fillId="0" borderId="0" xfId="0" applyFont="1" applyFill="1" applyBorder="1" applyAlignment="1">
      <alignment horizontal="left"/>
    </xf>
    <xf numFmtId="0" fontId="0" fillId="22" borderId="0" xfId="0" applyFont="1" applyFill="1"/>
    <xf numFmtId="0" fontId="17" fillId="0" borderId="0" xfId="0" applyFont="1" applyFill="1" applyBorder="1"/>
    <xf numFmtId="0" fontId="28"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7" fillId="0" borderId="0" xfId="0" applyNumberFormat="1" applyFont="1" applyFill="1" applyBorder="1" applyAlignment="1">
      <alignment horizontal="left"/>
    </xf>
    <xf numFmtId="0" fontId="10" fillId="0" borderId="3" xfId="0" applyNumberFormat="1" applyFont="1" applyFill="1" applyBorder="1" applyAlignment="1">
      <alignment horizontal="left"/>
    </xf>
    <xf numFmtId="0" fontId="10" fillId="0" borderId="4" xfId="0" applyNumberFormat="1" applyFont="1" applyFill="1" applyBorder="1"/>
    <xf numFmtId="0" fontId="10" fillId="0" borderId="4" xfId="0" applyNumberFormat="1" applyFont="1" applyFill="1" applyBorder="1" applyAlignment="1">
      <alignment horizontal="right"/>
    </xf>
    <xf numFmtId="0" fontId="10" fillId="0" borderId="3" xfId="0" applyFont="1" applyFill="1" applyBorder="1"/>
    <xf numFmtId="0" fontId="10" fillId="0" borderId="4" xfId="0" applyNumberFormat="1" applyFont="1" applyFill="1" applyBorder="1" applyAlignment="1">
      <alignment horizontal="left"/>
    </xf>
    <xf numFmtId="0" fontId="10"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8" fillId="22" borderId="0" xfId="0" applyFont="1" applyFill="1"/>
    <xf numFmtId="0" fontId="37" fillId="0" borderId="0" xfId="0" applyFont="1" applyFill="1"/>
    <xf numFmtId="0" fontId="37" fillId="0" borderId="4" xfId="0" applyFont="1" applyFill="1" applyBorder="1"/>
    <xf numFmtId="0" fontId="38" fillId="0" borderId="0" xfId="0" applyFont="1" applyFill="1"/>
    <xf numFmtId="0" fontId="38" fillId="0" borderId="0" xfId="0" quotePrefix="1" applyFont="1" applyFill="1"/>
    <xf numFmtId="0" fontId="38" fillId="0" borderId="9" xfId="0" applyFont="1" applyFill="1" applyBorder="1"/>
    <xf numFmtId="0" fontId="0" fillId="22" borderId="1" xfId="0" applyFill="1" applyBorder="1"/>
    <xf numFmtId="0" fontId="10" fillId="22" borderId="0" xfId="0" applyNumberFormat="1" applyFont="1" applyFill="1" applyBorder="1" applyAlignment="1">
      <alignment horizontal="right"/>
    </xf>
    <xf numFmtId="0" fontId="0" fillId="22" borderId="8" xfId="0" applyFill="1" applyBorder="1"/>
    <xf numFmtId="0" fontId="10" fillId="22" borderId="0" xfId="0" applyFont="1" applyFill="1" applyBorder="1" applyAlignment="1">
      <alignment horizontal="left"/>
    </xf>
    <xf numFmtId="0" fontId="28" fillId="22" borderId="1" xfId="0" applyFont="1" applyFill="1" applyBorder="1"/>
    <xf numFmtId="0" fontId="10"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10" fillId="0" borderId="0" xfId="51" applyFont="1"/>
    <xf numFmtId="37" fontId="9" fillId="0" borderId="0" xfId="51"/>
    <xf numFmtId="37" fontId="9" fillId="0" borderId="0" xfId="51" applyFont="1"/>
    <xf numFmtId="37" fontId="0" fillId="0" borderId="0" xfId="51" applyFont="1"/>
    <xf numFmtId="2" fontId="0" fillId="22" borderId="0" xfId="0" applyNumberFormat="1" applyFill="1" applyBorder="1"/>
    <xf numFmtId="2" fontId="10"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10"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7" fillId="22" borderId="0" xfId="0" applyNumberFormat="1" applyFont="1" applyFill="1" applyBorder="1"/>
    <xf numFmtId="0" fontId="17" fillId="22" borderId="0" xfId="0" applyNumberFormat="1" applyFont="1" applyFill="1" applyBorder="1" applyAlignment="1">
      <alignment vertical="top"/>
    </xf>
    <xf numFmtId="0" fontId="28" fillId="0" borderId="1" xfId="0" applyNumberFormat="1" applyFont="1" applyFill="1" applyBorder="1" applyAlignment="1">
      <alignment wrapText="1"/>
    </xf>
    <xf numFmtId="0" fontId="28" fillId="0" borderId="0" xfId="0" applyNumberFormat="1" applyFont="1" applyFill="1" applyBorder="1" applyAlignment="1">
      <alignment wrapText="1"/>
    </xf>
    <xf numFmtId="165" fontId="42" fillId="0" borderId="0" xfId="54" applyNumberFormat="1" applyFont="1" applyFill="1" applyBorder="1" applyAlignment="1">
      <alignment horizontal="right"/>
    </xf>
    <xf numFmtId="0" fontId="0" fillId="22" borderId="0" xfId="4" applyNumberFormat="1" applyFont="1" applyFill="1"/>
    <xf numFmtId="0" fontId="10" fillId="22" borderId="0" xfId="4" applyNumberFormat="1" applyFont="1" applyFill="1" applyBorder="1" applyAlignment="1">
      <alignment horizontal="right"/>
    </xf>
    <xf numFmtId="0" fontId="10" fillId="0" borderId="0" xfId="4" applyNumberFormat="1" applyFont="1" applyFill="1"/>
    <xf numFmtId="0" fontId="0" fillId="0" borderId="0" xfId="4" applyNumberFormat="1" applyFont="1" applyFill="1" applyBorder="1" applyAlignment="1">
      <alignment horizontal="right"/>
    </xf>
    <xf numFmtId="0" fontId="10" fillId="0" borderId="0" xfId="4" applyNumberFormat="1" applyFont="1" applyFill="1" applyBorder="1" applyAlignment="1">
      <alignment horizontal="right"/>
    </xf>
    <xf numFmtId="0" fontId="10"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21" fillId="23" borderId="6" xfId="54" applyNumberFormat="1" applyFont="1" applyFill="1" applyBorder="1"/>
    <xf numFmtId="43" fontId="39" fillId="23" borderId="6" xfId="54" applyNumberFormat="1" applyFont="1" applyFill="1" applyBorder="1" applyAlignment="1">
      <alignment horizontal="center"/>
    </xf>
    <xf numFmtId="43" fontId="21" fillId="23" borderId="6" xfId="54" applyNumberFormat="1" applyFont="1" applyFill="1" applyBorder="1" applyAlignment="1"/>
    <xf numFmtId="43" fontId="0" fillId="0" borderId="6" xfId="54" applyNumberFormat="1" applyFont="1" applyBorder="1"/>
    <xf numFmtId="43" fontId="18"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9" fillId="0" borderId="6" xfId="54" applyNumberFormat="1" applyFont="1" applyBorder="1" applyAlignment="1">
      <alignment horizontal="center"/>
    </xf>
    <xf numFmtId="43" fontId="0" fillId="0" borderId="6" xfId="54" applyNumberFormat="1" applyFont="1" applyBorder="1" applyAlignment="1">
      <alignment horizontal="center"/>
    </xf>
    <xf numFmtId="2" fontId="17" fillId="0" borderId="0" xfId="0" applyNumberFormat="1" applyFont="1" applyFill="1"/>
    <xf numFmtId="2" fontId="0" fillId="0" borderId="0" xfId="0" applyNumberFormat="1" applyFont="1" applyFill="1"/>
    <xf numFmtId="0" fontId="10" fillId="22" borderId="0" xfId="4" applyNumberFormat="1" applyFont="1" applyFill="1"/>
    <xf numFmtId="0" fontId="10" fillId="22" borderId="0" xfId="4" applyNumberFormat="1" applyFont="1" applyFill="1" applyBorder="1"/>
    <xf numFmtId="0" fontId="9"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9" fillId="0" borderId="0" xfId="54" applyNumberFormat="1" applyFont="1" applyBorder="1" applyAlignment="1">
      <alignment vertical="center" textRotation="90"/>
    </xf>
    <xf numFmtId="43" fontId="0" fillId="0" borderId="15" xfId="54" applyNumberFormat="1" applyFont="1" applyBorder="1"/>
    <xf numFmtId="43" fontId="18"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9" fillId="0" borderId="0" xfId="0" applyFont="1" applyAlignment="1">
      <alignment vertical="top" wrapText="1"/>
    </xf>
    <xf numFmtId="0" fontId="9" fillId="0" borderId="4" xfId="0" applyFont="1" applyBorder="1" applyAlignment="1">
      <alignment vertical="top" wrapText="1"/>
    </xf>
    <xf numFmtId="0" fontId="28" fillId="0" borderId="0" xfId="0" applyFont="1"/>
    <xf numFmtId="0" fontId="9" fillId="0" borderId="0" xfId="0" applyFont="1" applyFill="1" applyBorder="1"/>
    <xf numFmtId="168" fontId="51" fillId="0" borderId="0" xfId="37" applyNumberFormat="1" applyFont="1" applyFill="1" applyBorder="1" applyAlignment="1" applyProtection="1">
      <alignment horizontal="left"/>
    </xf>
    <xf numFmtId="0" fontId="29" fillId="0" borderId="0" xfId="0" applyFont="1" applyFill="1" applyBorder="1"/>
    <xf numFmtId="0" fontId="44" fillId="0" borderId="0" xfId="37" applyFont="1" applyFill="1" applyBorder="1" applyAlignment="1" applyProtection="1">
      <alignment horizontal="left" vertical="top" wrapText="1" readingOrder="1"/>
      <protection locked="0"/>
    </xf>
    <xf numFmtId="0" fontId="45" fillId="0" borderId="0" xfId="0" applyFont="1" applyFill="1" applyBorder="1" applyAlignment="1" applyProtection="1">
      <alignmen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47" fillId="0" borderId="0" xfId="0" applyFont="1" applyFill="1" applyBorder="1" applyAlignment="1" applyProtection="1">
      <alignment vertical="top" wrapText="1" readingOrder="1"/>
      <protection locked="0"/>
    </xf>
    <xf numFmtId="0" fontId="0" fillId="0" borderId="0" xfId="0" applyFont="1" applyFill="1" applyBorder="1"/>
    <xf numFmtId="167" fontId="48" fillId="0" borderId="0" xfId="37" applyNumberFormat="1" applyFont="1" applyFill="1" applyBorder="1" applyAlignment="1" applyProtection="1">
      <alignment horizontal="right" vertical="top" wrapText="1" readingOrder="1"/>
      <protection locked="0"/>
    </xf>
    <xf numFmtId="0" fontId="47" fillId="0" borderId="0" xfId="37" applyFont="1" applyFill="1" applyBorder="1" applyAlignment="1" applyProtection="1">
      <alignment vertical="top" wrapText="1" readingOrder="1"/>
      <protection locked="0"/>
    </xf>
    <xf numFmtId="0" fontId="9" fillId="0" borderId="0" xfId="37" applyFill="1" applyBorder="1" applyAlignment="1">
      <alignment readingOrder="1"/>
    </xf>
    <xf numFmtId="49" fontId="11" fillId="0" borderId="0" xfId="57" applyNumberFormat="1" applyFont="1" applyFill="1" applyBorder="1" applyAlignment="1">
      <alignment horizontal="right"/>
    </xf>
    <xf numFmtId="49" fontId="53" fillId="0" borderId="0" xfId="58" applyNumberFormat="1" applyFont="1" applyFill="1" applyBorder="1" applyAlignment="1">
      <alignment horizontal="right"/>
    </xf>
    <xf numFmtId="0" fontId="49" fillId="0" borderId="0" xfId="0" applyFont="1" applyFill="1" applyBorder="1"/>
    <xf numFmtId="0" fontId="28" fillId="22" borderId="0" xfId="0" applyFont="1" applyFill="1"/>
    <xf numFmtId="0" fontId="28" fillId="0" borderId="0" xfId="0" applyFont="1" applyFill="1"/>
    <xf numFmtId="0" fontId="0" fillId="22" borderId="0" xfId="0" quotePrefix="1" applyFill="1"/>
    <xf numFmtId="0" fontId="10" fillId="22" borderId="13" xfId="0" applyFont="1" applyFill="1" applyBorder="1"/>
    <xf numFmtId="0" fontId="10" fillId="22" borderId="4" xfId="0" applyFont="1" applyFill="1" applyBorder="1"/>
    <xf numFmtId="0" fontId="0" fillId="22" borderId="4" xfId="0" applyFont="1" applyFill="1" applyBorder="1"/>
    <xf numFmtId="0" fontId="44"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9" fillId="0" borderId="0" xfId="37" applyFill="1" applyBorder="1"/>
    <xf numFmtId="0" fontId="12" fillId="22" borderId="0" xfId="0" applyFont="1" applyFill="1" applyBorder="1"/>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0" fontId="48" fillId="0" borderId="0" xfId="37" applyFont="1" applyFill="1" applyBorder="1" applyAlignment="1" applyProtection="1">
      <alignment horizontal="right" vertical="top" wrapText="1" readingOrder="1"/>
      <protection locked="0"/>
    </xf>
    <xf numFmtId="0" fontId="22" fillId="0" borderId="0" xfId="0" applyFont="1" applyAlignment="1"/>
    <xf numFmtId="0" fontId="54" fillId="0" borderId="0" xfId="0" applyFont="1"/>
    <xf numFmtId="0" fontId="10" fillId="25" borderId="16" xfId="60" applyFont="1" applyFill="1" applyBorder="1" applyProtection="1"/>
    <xf numFmtId="170" fontId="10" fillId="25" borderId="16" xfId="60" applyNumberFormat="1" applyFont="1" applyFill="1" applyBorder="1" applyAlignment="1" applyProtection="1">
      <alignment horizontal="left"/>
    </xf>
    <xf numFmtId="0" fontId="9" fillId="25" borderId="0" xfId="0" applyFont="1" applyFill="1" applyBorder="1"/>
    <xf numFmtId="0" fontId="10" fillId="25" borderId="22" xfId="60" applyFont="1" applyFill="1" applyBorder="1" applyAlignment="1" applyProtection="1">
      <protection locked="0"/>
    </xf>
    <xf numFmtId="0" fontId="10" fillId="25" borderId="17" xfId="60" applyFont="1" applyFill="1" applyBorder="1" applyAlignment="1" applyProtection="1">
      <alignment wrapText="1"/>
    </xf>
    <xf numFmtId="0" fontId="10" fillId="25" borderId="17" xfId="60" applyFont="1" applyFill="1" applyBorder="1" applyAlignment="1" applyProtection="1"/>
    <xf numFmtId="0" fontId="5" fillId="0" borderId="18" xfId="60" applyFill="1" applyBorder="1" applyAlignment="1" applyProtection="1">
      <protection locked="0"/>
    </xf>
    <xf numFmtId="0" fontId="10" fillId="25" borderId="16" xfId="60" applyFont="1" applyFill="1" applyBorder="1" applyAlignment="1" applyProtection="1">
      <alignment horizontal="left"/>
    </xf>
    <xf numFmtId="0" fontId="42" fillId="25" borderId="21" xfId="60" applyFont="1" applyFill="1" applyBorder="1" applyAlignment="1" applyProtection="1">
      <protection locked="0"/>
    </xf>
    <xf numFmtId="167" fontId="45" fillId="0" borderId="0" xfId="37" applyNumberFormat="1" applyFont="1" applyFill="1" applyBorder="1" applyAlignment="1" applyProtection="1">
      <alignment horizontal="right" vertical="top" wrapText="1" readingOrder="1"/>
      <protection locked="0"/>
    </xf>
    <xf numFmtId="0" fontId="11" fillId="22" borderId="0" xfId="0" applyFont="1" applyFill="1" applyBorder="1"/>
    <xf numFmtId="0" fontId="42" fillId="0" borderId="0" xfId="0" applyFont="1" applyFill="1" applyBorder="1" applyAlignment="1" applyProtection="1">
      <alignment vertical="top" wrapText="1" readingOrder="1"/>
      <protection locked="0"/>
    </xf>
    <xf numFmtId="0" fontId="0" fillId="25" borderId="0" xfId="0" applyFont="1" applyFill="1" applyBorder="1"/>
    <xf numFmtId="0" fontId="48" fillId="0" borderId="0" xfId="37"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vertical="top" wrapText="1" readingOrder="1"/>
      <protection locked="0"/>
    </xf>
    <xf numFmtId="167" fontId="45" fillId="0" borderId="0" xfId="37" applyNumberFormat="1" applyFont="1" applyFill="1" applyBorder="1" applyAlignment="1" applyProtection="1">
      <alignment vertical="top" wrapText="1" readingOrder="1"/>
      <protection locked="0"/>
    </xf>
    <xf numFmtId="0" fontId="50"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wrapText="1" readingOrder="1"/>
      <protection locked="0"/>
    </xf>
    <xf numFmtId="167" fontId="46" fillId="0" borderId="0" xfId="37" applyNumberFormat="1" applyFont="1" applyAlignment="1" applyProtection="1">
      <alignment horizontal="right" vertical="top" wrapText="1" readingOrder="1"/>
      <protection locked="0"/>
    </xf>
    <xf numFmtId="0" fontId="48" fillId="0" borderId="0" xfId="37" applyFont="1" applyAlignment="1" applyProtection="1">
      <alignment horizontal="right" vertical="top" wrapText="1" readingOrder="1"/>
      <protection locked="0"/>
    </xf>
    <xf numFmtId="167" fontId="48" fillId="0" borderId="0" xfId="37" applyNumberFormat="1" applyFont="1" applyAlignment="1" applyProtection="1">
      <alignment horizontal="right" vertical="top" wrapText="1" readingOrder="1"/>
      <protection locked="0"/>
    </xf>
    <xf numFmtId="0" fontId="48" fillId="0" borderId="4" xfId="37" applyFont="1" applyBorder="1" applyAlignment="1" applyProtection="1">
      <alignment horizontal="right" vertical="top" wrapText="1" readingOrder="1"/>
      <protection locked="0"/>
    </xf>
    <xf numFmtId="0" fontId="48" fillId="0" borderId="0" xfId="37" applyFont="1" applyBorder="1" applyAlignment="1" applyProtection="1">
      <alignment horizontal="right" vertical="top" wrapText="1" readingOrder="1"/>
      <protection locked="0"/>
    </xf>
    <xf numFmtId="0" fontId="44" fillId="0" borderId="0" xfId="37" applyFont="1" applyBorder="1" applyAlignment="1" applyProtection="1">
      <alignment wrapText="1" readingOrder="1"/>
      <protection locked="0"/>
    </xf>
    <xf numFmtId="0" fontId="44" fillId="0" borderId="0" xfId="37" applyFont="1" applyBorder="1" applyAlignment="1" applyProtection="1">
      <alignment horizontal="left" vertical="top" wrapText="1" readingOrder="1"/>
      <protection locked="0"/>
    </xf>
    <xf numFmtId="0" fontId="9" fillId="0" borderId="0" xfId="37"/>
    <xf numFmtId="0" fontId="9" fillId="0" borderId="0" xfId="37" applyAlignment="1">
      <alignment readingOrder="1"/>
    </xf>
    <xf numFmtId="0" fontId="0" fillId="0" borderId="16" xfId="60" applyFont="1" applyFill="1" applyBorder="1" applyProtection="1">
      <protection locked="0"/>
    </xf>
    <xf numFmtId="0" fontId="47" fillId="0" borderId="4" xfId="37" applyFont="1" applyBorder="1" applyAlignment="1" applyProtection="1">
      <alignment horizontal="right" vertical="top" wrapText="1" readingOrder="1"/>
      <protection locked="0"/>
    </xf>
    <xf numFmtId="0" fontId="47" fillId="0" borderId="0" xfId="37" applyFont="1" applyBorder="1" applyAlignment="1" applyProtection="1">
      <alignment horizontal="right" vertical="top" wrapText="1" readingOrder="1"/>
      <protection locked="0"/>
    </xf>
    <xf numFmtId="0" fontId="55" fillId="22" borderId="0" xfId="0" applyNumberFormat="1" applyFont="1" applyFill="1"/>
    <xf numFmtId="0" fontId="56" fillId="22" borderId="0" xfId="0" applyFont="1" applyFill="1"/>
    <xf numFmtId="0" fontId="56" fillId="22" borderId="0" xfId="0" applyFont="1" applyFill="1" applyAlignment="1">
      <alignment horizontal="right"/>
    </xf>
    <xf numFmtId="10" fontId="9" fillId="22" borderId="0" xfId="4" applyNumberFormat="1" applyFont="1" applyFill="1" applyAlignment="1">
      <alignment horizontal="right"/>
    </xf>
    <xf numFmtId="0" fontId="9" fillId="25" borderId="0" xfId="0" applyFont="1" applyFill="1" applyBorder="1" applyAlignment="1">
      <alignment wrapText="1"/>
    </xf>
    <xf numFmtId="0" fontId="11" fillId="22" borderId="4" xfId="0" applyFont="1" applyFill="1" applyBorder="1"/>
    <xf numFmtId="0" fontId="10" fillId="25" borderId="23" xfId="60" applyFont="1" applyFill="1" applyBorder="1" applyProtection="1"/>
    <xf numFmtId="0" fontId="10" fillId="0" borderId="0" xfId="0" applyFont="1" applyFill="1" applyBorder="1" applyProtection="1"/>
    <xf numFmtId="0" fontId="9" fillId="0" borderId="0" xfId="0" applyFont="1" applyFill="1" applyBorder="1" applyAlignment="1" applyProtection="1">
      <alignment wrapText="1"/>
      <protection locked="0"/>
    </xf>
    <xf numFmtId="0" fontId="9" fillId="0" borderId="0" xfId="0" applyFont="1" applyFill="1" applyBorder="1" applyProtection="1">
      <protection locked="0"/>
    </xf>
    <xf numFmtId="0" fontId="0" fillId="0" borderId="0" xfId="0" applyFill="1" applyBorder="1" applyProtection="1">
      <protection locked="0"/>
    </xf>
    <xf numFmtId="0" fontId="57" fillId="22" borderId="1" xfId="0" applyFont="1" applyFill="1" applyBorder="1"/>
    <xf numFmtId="0" fontId="57" fillId="22" borderId="0" xfId="0" applyFont="1" applyFill="1"/>
    <xf numFmtId="0" fontId="57" fillId="22" borderId="1" xfId="0" applyNumberFormat="1" applyFont="1" applyFill="1" applyBorder="1" applyAlignment="1">
      <alignment horizontal="left"/>
    </xf>
    <xf numFmtId="165" fontId="58" fillId="22" borderId="0" xfId="54" applyNumberFormat="1" applyFont="1" applyFill="1" applyBorder="1" applyAlignment="1">
      <alignment horizontal="right"/>
    </xf>
    <xf numFmtId="0" fontId="58" fillId="22" borderId="0" xfId="0" applyFont="1" applyFill="1" applyBorder="1"/>
    <xf numFmtId="0" fontId="58" fillId="22" borderId="3" xfId="0" applyFont="1" applyFill="1" applyBorder="1"/>
    <xf numFmtId="0" fontId="58" fillId="22" borderId="4" xfId="0" applyFont="1" applyFill="1" applyBorder="1"/>
    <xf numFmtId="0" fontId="57" fillId="22" borderId="0" xfId="0" applyFont="1" applyFill="1" applyBorder="1"/>
    <xf numFmtId="1" fontId="57" fillId="22" borderId="0" xfId="0" applyNumberFormat="1" applyFont="1" applyFill="1" applyBorder="1" applyAlignment="1">
      <alignment horizontal="left"/>
    </xf>
    <xf numFmtId="0" fontId="57" fillId="22" borderId="0" xfId="0" applyNumberFormat="1" applyFont="1" applyFill="1" applyBorder="1" applyAlignment="1">
      <alignment horizontal="left"/>
    </xf>
    <xf numFmtId="0" fontId="57" fillId="22" borderId="8" xfId="0" applyFont="1" applyFill="1" applyBorder="1"/>
    <xf numFmtId="0" fontId="57" fillId="22" borderId="9" xfId="0" applyFont="1" applyFill="1" applyBorder="1"/>
    <xf numFmtId="0" fontId="57" fillId="22" borderId="1" xfId="0" applyNumberFormat="1" applyFont="1" applyFill="1" applyBorder="1" applyAlignment="1">
      <alignment wrapText="1"/>
    </xf>
    <xf numFmtId="0" fontId="57" fillId="22" borderId="0" xfId="0" applyNumberFormat="1" applyFont="1" applyFill="1" applyBorder="1" applyAlignment="1">
      <alignment wrapText="1"/>
    </xf>
    <xf numFmtId="1" fontId="57" fillId="22" borderId="1" xfId="0" applyNumberFormat="1" applyFont="1" applyFill="1" applyBorder="1" applyAlignment="1">
      <alignment horizontal="left"/>
    </xf>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0" fillId="22" borderId="8" xfId="0" applyFont="1" applyFill="1" applyBorder="1"/>
    <xf numFmtId="0" fontId="10" fillId="22" borderId="7" xfId="0" applyFont="1" applyFill="1" applyBorder="1"/>
    <xf numFmtId="0" fontId="60" fillId="0" borderId="26" xfId="60" applyFont="1" applyFill="1" applyBorder="1" applyAlignment="1" applyProtection="1">
      <alignment wrapText="1"/>
      <protection locked="0"/>
    </xf>
    <xf numFmtId="0" fontId="60" fillId="0" borderId="27" xfId="60" applyFont="1" applyFill="1" applyBorder="1" applyAlignment="1" applyProtection="1">
      <alignment wrapText="1"/>
      <protection locked="0"/>
    </xf>
    <xf numFmtId="0" fontId="60" fillId="0" borderId="28" xfId="60" applyFont="1" applyFill="1" applyBorder="1" applyAlignment="1" applyProtection="1">
      <alignment wrapText="1"/>
      <protection locked="0"/>
    </xf>
    <xf numFmtId="0" fontId="60" fillId="0" borderId="24" xfId="60" applyFont="1" applyFill="1" applyBorder="1" applyAlignment="1" applyProtection="1">
      <alignment wrapText="1"/>
      <protection locked="0"/>
    </xf>
    <xf numFmtId="0" fontId="60" fillId="0" borderId="29" xfId="60" applyFont="1" applyFill="1" applyBorder="1" applyAlignment="1" applyProtection="1">
      <alignment wrapText="1"/>
      <protection locked="0"/>
    </xf>
    <xf numFmtId="0" fontId="60" fillId="0" borderId="25" xfId="60" applyFont="1" applyFill="1" applyBorder="1" applyAlignment="1" applyProtection="1">
      <alignment wrapText="1"/>
      <protection locked="0"/>
    </xf>
    <xf numFmtId="0" fontId="60" fillId="0" borderId="30" xfId="60" applyFont="1" applyFill="1" applyBorder="1" applyAlignment="1" applyProtection="1">
      <alignment wrapText="1"/>
      <protection locked="0"/>
    </xf>
    <xf numFmtId="0" fontId="60" fillId="0" borderId="31" xfId="60" applyFont="1" applyFill="1" applyBorder="1" applyAlignment="1" applyProtection="1">
      <alignment vertical="top" wrapText="1"/>
      <protection locked="0"/>
    </xf>
    <xf numFmtId="0" fontId="10" fillId="22" borderId="32" xfId="0" applyFont="1" applyFill="1" applyBorder="1"/>
    <xf numFmtId="0" fontId="60" fillId="0" borderId="33" xfId="60" applyFont="1" applyFill="1" applyBorder="1" applyAlignment="1" applyProtection="1">
      <alignment wrapText="1"/>
      <protection locked="0"/>
    </xf>
    <xf numFmtId="0" fontId="60" fillId="0" borderId="34" xfId="60" applyFont="1" applyFill="1" applyBorder="1" applyAlignment="1" applyProtection="1">
      <alignment vertical="top" wrapText="1"/>
      <protection locked="0"/>
    </xf>
    <xf numFmtId="0" fontId="0" fillId="25" borderId="0" xfId="0" applyFill="1"/>
    <xf numFmtId="0" fontId="60" fillId="0" borderId="32" xfId="60" applyFont="1" applyFill="1" applyBorder="1" applyAlignment="1" applyProtection="1">
      <alignment wrapText="1"/>
      <protection locked="0"/>
    </xf>
    <xf numFmtId="0" fontId="60" fillId="0" borderId="36" xfId="60" applyFont="1" applyFill="1" applyBorder="1" applyAlignment="1" applyProtection="1">
      <alignment wrapText="1"/>
      <protection locked="0"/>
    </xf>
    <xf numFmtId="0" fontId="0" fillId="0" borderId="35" xfId="0" applyBorder="1" applyAlignment="1">
      <alignment horizontal="center"/>
    </xf>
    <xf numFmtId="0" fontId="59" fillId="25" borderId="0" xfId="0" applyFont="1" applyFill="1"/>
    <xf numFmtId="0" fontId="0" fillId="0" borderId="0" xfId="0" quotePrefix="1" applyAlignment="1">
      <alignment horizontal="left" indent="2"/>
    </xf>
    <xf numFmtId="0" fontId="4" fillId="0" borderId="16" xfId="60" applyFont="1" applyFill="1" applyBorder="1" applyAlignment="1" applyProtection="1">
      <alignment wrapText="1"/>
      <protection locked="0"/>
    </xf>
    <xf numFmtId="0" fontId="4"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3" fillId="0" borderId="16" xfId="60" applyFont="1" applyFill="1" applyBorder="1" applyAlignment="1" applyProtection="1">
      <alignment wrapText="1"/>
      <protection locked="0"/>
    </xf>
    <xf numFmtId="0" fontId="2" fillId="0" borderId="16" xfId="60" applyFont="1" applyFill="1" applyBorder="1" applyAlignment="1" applyProtection="1">
      <alignment wrapText="1"/>
      <protection locked="0"/>
    </xf>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10"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2" fillId="0" borderId="0" xfId="0" applyFont="1" applyAlignment="1">
      <alignment horizontal="center"/>
    </xf>
    <xf numFmtId="0" fontId="10" fillId="21" borderId="0" xfId="0" applyFont="1" applyFill="1" applyAlignment="1">
      <alignment horizontal="center"/>
    </xf>
    <xf numFmtId="2" fontId="0" fillId="0" borderId="0" xfId="52" applyNumberFormat="1" applyFont="1" applyAlignment="1">
      <alignment horizontal="center"/>
    </xf>
    <xf numFmtId="0" fontId="10" fillId="0" borderId="0" xfId="0" applyFont="1" applyAlignment="1">
      <alignment horizontal="center"/>
    </xf>
    <xf numFmtId="2" fontId="10" fillId="21" borderId="0" xfId="4" applyNumberFormat="1" applyFont="1" applyFill="1" applyAlignment="1">
      <alignment horizontal="center"/>
    </xf>
    <xf numFmtId="0" fontId="9" fillId="0" borderId="8" xfId="0" applyFont="1" applyBorder="1" applyAlignment="1">
      <alignment horizontal="left"/>
    </xf>
    <xf numFmtId="0" fontId="9" fillId="0" borderId="9" xfId="0" applyFont="1" applyBorder="1" applyAlignment="1">
      <alignment horizontal="left"/>
    </xf>
    <xf numFmtId="0" fontId="9" fillId="0" borderId="7" xfId="0" applyFont="1" applyBorder="1" applyAlignment="1">
      <alignment horizontal="left"/>
    </xf>
    <xf numFmtId="0" fontId="15" fillId="3" borderId="1"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43" fontId="21" fillId="21" borderId="6" xfId="54" applyNumberFormat="1" applyFont="1" applyFill="1" applyBorder="1" applyAlignment="1">
      <alignment horizontal="center"/>
    </xf>
    <xf numFmtId="43" fontId="21" fillId="23" borderId="6" xfId="54" applyNumberFormat="1" applyFont="1" applyFill="1" applyBorder="1" applyAlignment="1">
      <alignment horizontal="center"/>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7" xfId="0" applyFont="1" applyBorder="1" applyAlignment="1">
      <alignment horizontal="left" vertical="top"/>
    </xf>
    <xf numFmtId="0" fontId="10" fillId="0" borderId="1" xfId="0" applyFont="1" applyBorder="1" applyAlignment="1">
      <alignment horizontal="left" vertical="top"/>
    </xf>
    <xf numFmtId="0" fontId="10" fillId="0" borderId="0" xfId="0" applyFont="1" applyBorder="1" applyAlignment="1">
      <alignment horizontal="left" vertical="top"/>
    </xf>
    <xf numFmtId="0" fontId="10" fillId="0" borderId="2" xfId="0" applyFont="1" applyBorder="1" applyAlignment="1">
      <alignment horizontal="left" vertical="top"/>
    </xf>
    <xf numFmtId="0" fontId="23" fillId="6" borderId="4" xfId="0" applyFont="1" applyFill="1" applyBorder="1" applyAlignment="1">
      <alignment horizontal="center"/>
    </xf>
    <xf numFmtId="0" fontId="13" fillId="0" borderId="0" xfId="0" applyFont="1" applyAlignment="1">
      <alignment horizontal="left"/>
    </xf>
    <xf numFmtId="1" fontId="11" fillId="0" borderId="4" xfId="4" applyNumberFormat="1" applyFont="1" applyBorder="1" applyAlignment="1">
      <alignment horizontal="center"/>
    </xf>
    <xf numFmtId="0" fontId="23" fillId="23" borderId="4" xfId="0" applyFont="1" applyFill="1" applyBorder="1" applyAlignment="1">
      <alignment horizontal="center"/>
    </xf>
    <xf numFmtId="0" fontId="0" fillId="23" borderId="4" xfId="0" applyFill="1" applyBorder="1" applyAlignment="1">
      <alignment horizontal="center"/>
    </xf>
    <xf numFmtId="0" fontId="15" fillId="3" borderId="0" xfId="0" applyFont="1" applyFill="1" applyAlignment="1" applyProtection="1">
      <alignment horizontal="left" vertical="top" wrapText="1"/>
      <protection locked="0"/>
    </xf>
    <xf numFmtId="0" fontId="0" fillId="0" borderId="0" xfId="0" applyFont="1" applyAlignment="1">
      <alignment horizontal="left"/>
    </xf>
    <xf numFmtId="0" fontId="9" fillId="0" borderId="0" xfId="0" applyFont="1" applyAlignment="1">
      <alignment horizontal="left"/>
    </xf>
    <xf numFmtId="2" fontId="0" fillId="0" borderId="0" xfId="0" applyNumberFormat="1" applyBorder="1" applyAlignment="1">
      <alignment horizontal="center"/>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40" fillId="23" borderId="0" xfId="0" applyFont="1" applyFill="1" applyAlignment="1">
      <alignment horizontal="center" vertical="center"/>
    </xf>
    <xf numFmtId="43" fontId="0" fillId="0" borderId="6" xfId="54" applyNumberFormat="1" applyFont="1" applyBorder="1" applyAlignment="1">
      <alignment horizontal="center"/>
    </xf>
    <xf numFmtId="43" fontId="9" fillId="0" borderId="6" xfId="54" applyNumberFormat="1" applyFont="1" applyBorder="1" applyAlignment="1">
      <alignment horizontal="center"/>
    </xf>
    <xf numFmtId="164" fontId="0" fillId="0" borderId="6" xfId="54" applyNumberFormat="1" applyFont="1" applyBorder="1" applyAlignment="1">
      <alignment horizontal="center"/>
    </xf>
    <xf numFmtId="0" fontId="12" fillId="2" borderId="4" xfId="0" applyFont="1" applyFill="1" applyBorder="1" applyAlignment="1">
      <alignment horizontal="center"/>
    </xf>
    <xf numFmtId="43" fontId="9" fillId="0" borderId="15" xfId="54" applyNumberFormat="1" applyFont="1" applyBorder="1" applyAlignment="1">
      <alignment horizontal="center"/>
    </xf>
    <xf numFmtId="164" fontId="9"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9" fillId="0" borderId="0" xfId="54" applyNumberFormat="1" applyFont="1" applyBorder="1" applyAlignment="1">
      <alignment horizontal="center" vertical="center" textRotation="90"/>
    </xf>
    <xf numFmtId="0" fontId="9" fillId="0" borderId="0" xfId="0" applyFont="1" applyAlignment="1">
      <alignment horizontal="left" vertical="top" wrapText="1"/>
    </xf>
    <xf numFmtId="0" fontId="23" fillId="5" borderId="4" xfId="0" applyFont="1" applyFill="1" applyBorder="1" applyAlignment="1">
      <alignment horizontal="center"/>
    </xf>
    <xf numFmtId="164" fontId="0" fillId="0" borderId="15" xfId="54" applyNumberFormat="1" applyFont="1" applyBorder="1" applyAlignment="1">
      <alignment horizontal="center"/>
    </xf>
    <xf numFmtId="0" fontId="41" fillId="23" borderId="0" xfId="0" applyFont="1" applyFill="1" applyAlignment="1">
      <alignment horizontal="center" vertical="center"/>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43" fontId="0" fillId="0" borderId="15" xfId="54" applyNumberFormat="1" applyFont="1" applyBorder="1" applyAlignment="1">
      <alignment horizontal="center"/>
    </xf>
    <xf numFmtId="0" fontId="25" fillId="23" borderId="0" xfId="0" applyFont="1" applyFill="1" applyAlignment="1">
      <alignment horizontal="center" vertical="center"/>
    </xf>
    <xf numFmtId="0" fontId="10" fillId="3" borderId="1"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2" fontId="10" fillId="0" borderId="0" xfId="4" applyNumberFormat="1" applyFont="1" applyAlignment="1">
      <alignment horizontal="right"/>
    </xf>
    <xf numFmtId="166" fontId="0" fillId="0" borderId="0" xfId="54" applyNumberFormat="1" applyFont="1" applyAlignment="1">
      <alignment horizontal="center"/>
    </xf>
    <xf numFmtId="0" fontId="27" fillId="23" borderId="0" xfId="0" quotePrefix="1" applyNumberFormat="1" applyFont="1" applyFill="1" applyAlignment="1">
      <alignment horizontal="center"/>
    </xf>
    <xf numFmtId="0" fontId="28" fillId="22" borderId="1" xfId="0" applyNumberFormat="1" applyFont="1" applyFill="1" applyBorder="1" applyAlignment="1">
      <alignment horizontal="left" wrapText="1"/>
    </xf>
    <xf numFmtId="0" fontId="28" fillId="22" borderId="0" xfId="0" applyNumberFormat="1" applyFont="1" applyFill="1" applyBorder="1" applyAlignment="1">
      <alignment horizontal="left" wrapText="1"/>
    </xf>
    <xf numFmtId="0" fontId="57" fillId="22" borderId="1" xfId="0" applyFont="1" applyFill="1" applyBorder="1" applyAlignment="1">
      <alignment horizontal="left" vertical="top" wrapText="1"/>
    </xf>
    <xf numFmtId="0" fontId="57" fillId="22" borderId="0" xfId="0" applyFont="1" applyFill="1" applyBorder="1" applyAlignment="1">
      <alignment horizontal="left" vertical="top" wrapText="1"/>
    </xf>
    <xf numFmtId="0" fontId="57" fillId="22" borderId="2" xfId="0" applyFont="1" applyFill="1" applyBorder="1" applyAlignment="1">
      <alignment horizontal="left" vertical="top" wrapText="1"/>
    </xf>
    <xf numFmtId="0" fontId="10" fillId="25" borderId="19" xfId="60" applyFont="1" applyFill="1" applyBorder="1" applyAlignment="1" applyProtection="1">
      <alignment horizontal="left" vertical="center" wrapText="1"/>
    </xf>
    <xf numFmtId="0" fontId="10" fillId="25" borderId="20" xfId="60" applyFont="1" applyFill="1" applyBorder="1" applyAlignment="1" applyProtection="1">
      <alignment horizontal="left" vertical="center" wrapText="1"/>
    </xf>
    <xf numFmtId="167" fontId="45" fillId="0" borderId="0" xfId="37" applyNumberFormat="1" applyFont="1" applyFill="1" applyBorder="1" applyAlignment="1" applyProtection="1">
      <alignment horizontal="right" vertical="top" wrapText="1" readingOrder="1"/>
      <protection locked="0"/>
    </xf>
    <xf numFmtId="0" fontId="47" fillId="0" borderId="0" xfId="37" applyFont="1" applyFill="1" applyBorder="1" applyAlignment="1" applyProtection="1">
      <alignment horizontal="right" vertical="top" wrapText="1" readingOrder="1"/>
      <protection locked="0"/>
    </xf>
    <xf numFmtId="167" fontId="47"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7871"/>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25"/>
                <c:pt idx="124">
                  <c:v>u</c:v>
                </c:pt>
              </c:strCache>
            </c:strRef>
          </c:cat>
          <c:val>
            <c:numRef>
              <c:f>[0]!TopQuart</c:f>
              <c:numCache>
                <c:formatCode>General</c:formatCode>
                <c:ptCount val="201"/>
                <c:pt idx="0">
                  <c:v>4</c:v>
                </c:pt>
                <c:pt idx="1">
                  <c:v>5</c:v>
                </c:pt>
                <c:pt idx="2">
                  <c:v>5</c:v>
                </c:pt>
                <c:pt idx="3">
                  <c:v>6</c:v>
                </c:pt>
                <c:pt idx="4">
                  <c:v>8</c:v>
                </c:pt>
                <c:pt idx="5">
                  <c:v>9</c:v>
                </c:pt>
                <c:pt idx="6">
                  <c:v>9</c:v>
                </c:pt>
                <c:pt idx="7">
                  <c:v>10</c:v>
                </c:pt>
                <c:pt idx="8">
                  <c:v>10</c:v>
                </c:pt>
                <c:pt idx="9">
                  <c:v>11</c:v>
                </c:pt>
                <c:pt idx="10">
                  <c:v>11</c:v>
                </c:pt>
                <c:pt idx="11">
                  <c:v>11</c:v>
                </c:pt>
                <c:pt idx="12">
                  <c:v>11</c:v>
                </c:pt>
                <c:pt idx="13">
                  <c:v>11</c:v>
                </c:pt>
                <c:pt idx="14">
                  <c:v>11</c:v>
                </c:pt>
                <c:pt idx="15">
                  <c:v>11</c:v>
                </c:pt>
                <c:pt idx="16">
                  <c:v>12</c:v>
                </c:pt>
                <c:pt idx="17">
                  <c:v>12</c:v>
                </c:pt>
                <c:pt idx="18">
                  <c:v>12</c:v>
                </c:pt>
                <c:pt idx="19">
                  <c:v>12</c:v>
                </c:pt>
                <c:pt idx="20">
                  <c:v>12</c:v>
                </c:pt>
                <c:pt idx="21">
                  <c:v>13</c:v>
                </c:pt>
                <c:pt idx="22">
                  <c:v>14</c:v>
                </c:pt>
                <c:pt idx="23">
                  <c:v>14</c:v>
                </c:pt>
                <c:pt idx="24">
                  <c:v>14</c:v>
                </c:pt>
                <c:pt idx="25">
                  <c:v>14</c:v>
                </c:pt>
                <c:pt idx="26">
                  <c:v>14</c:v>
                </c:pt>
                <c:pt idx="27">
                  <c:v>14</c:v>
                </c:pt>
                <c:pt idx="28">
                  <c:v>14</c:v>
                </c:pt>
                <c:pt idx="29">
                  <c:v>14</c:v>
                </c:pt>
                <c:pt idx="30">
                  <c:v>14</c:v>
                </c:pt>
                <c:pt idx="31">
                  <c:v>14</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25"/>
                <c:pt idx="124">
                  <c:v>u</c:v>
                </c:pt>
              </c:strCache>
            </c:strRef>
          </c:cat>
          <c:val>
            <c:numRef>
              <c:f>[0]!SecQuart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17</c:v>
                </c:pt>
                <c:pt idx="70">
                  <c:v>17</c:v>
                </c:pt>
                <c:pt idx="71">
                  <c:v>17</c:v>
                </c:pt>
                <c:pt idx="72">
                  <c:v>17</c:v>
                </c:pt>
                <c:pt idx="73">
                  <c:v>17</c:v>
                </c:pt>
                <c:pt idx="74">
                  <c:v>17</c:v>
                </c:pt>
                <c:pt idx="75">
                  <c:v>17</c:v>
                </c:pt>
                <c:pt idx="76">
                  <c:v>17</c:v>
                </c:pt>
                <c:pt idx="77">
                  <c:v>17</c:v>
                </c:pt>
                <c:pt idx="78">
                  <c:v>17</c:v>
                </c:pt>
                <c:pt idx="79">
                  <c:v>18</c:v>
                </c:pt>
                <c:pt idx="80">
                  <c:v>18</c:v>
                </c:pt>
                <c:pt idx="81">
                  <c:v>18</c:v>
                </c:pt>
                <c:pt idx="82">
                  <c:v>18</c:v>
                </c:pt>
                <c:pt idx="83">
                  <c:v>18</c:v>
                </c:pt>
                <c:pt idx="84">
                  <c:v>18</c:v>
                </c:pt>
                <c:pt idx="85">
                  <c:v>18</c:v>
                </c:pt>
                <c:pt idx="86">
                  <c:v>18</c:v>
                </c:pt>
                <c:pt idx="87">
                  <c:v>18</c:v>
                </c:pt>
                <c:pt idx="88">
                  <c:v>18</c:v>
                </c:pt>
                <c:pt idx="89">
                  <c:v>18</c:v>
                </c:pt>
                <c:pt idx="90">
                  <c:v>18</c:v>
                </c:pt>
                <c:pt idx="91">
                  <c:v>18</c:v>
                </c:pt>
                <c:pt idx="92">
                  <c:v>18</c:v>
                </c:pt>
                <c:pt idx="93">
                  <c:v>18</c:v>
                </c:pt>
                <c:pt idx="94">
                  <c:v>19</c:v>
                </c:pt>
                <c:pt idx="95">
                  <c:v>19</c:v>
                </c:pt>
                <c:pt idx="96">
                  <c:v>19</c:v>
                </c:pt>
                <c:pt idx="97">
                  <c:v>19</c:v>
                </c:pt>
                <c:pt idx="98">
                  <c:v>19</c:v>
                </c:pt>
                <c:pt idx="99">
                  <c:v>19</c:v>
                </c:pt>
                <c:pt idx="100">
                  <c:v>19</c:v>
                </c:pt>
                <c:pt idx="101">
                  <c:v>19</c:v>
                </c:pt>
                <c:pt idx="102">
                  <c:v>19</c:v>
                </c:pt>
                <c:pt idx="103">
                  <c:v>19</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25"/>
                <c:pt idx="124">
                  <c:v>u</c:v>
                </c:pt>
              </c:strCache>
            </c:strRef>
          </c:cat>
          <c:val>
            <c:numRef>
              <c:f>[0]!ThirdQuart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21</c:v>
                </c:pt>
                <c:pt idx="125">
                  <c:v>21</c:v>
                </c:pt>
                <c:pt idx="126">
                  <c:v>21</c:v>
                </c:pt>
                <c:pt idx="127">
                  <c:v>21</c:v>
                </c:pt>
                <c:pt idx="128">
                  <c:v>21</c:v>
                </c:pt>
                <c:pt idx="129">
                  <c:v>21</c:v>
                </c:pt>
                <c:pt idx="130">
                  <c:v>21</c:v>
                </c:pt>
                <c:pt idx="131">
                  <c:v>21</c:v>
                </c:pt>
                <c:pt idx="132">
                  <c:v>21</c:v>
                </c:pt>
                <c:pt idx="133">
                  <c:v>21</c:v>
                </c:pt>
                <c:pt idx="134">
                  <c:v>22</c:v>
                </c:pt>
                <c:pt idx="135">
                  <c:v>22</c:v>
                </c:pt>
                <c:pt idx="136">
                  <c:v>22</c:v>
                </c:pt>
                <c:pt idx="137">
                  <c:v>22</c:v>
                </c:pt>
                <c:pt idx="138">
                  <c:v>22</c:v>
                </c:pt>
                <c:pt idx="139">
                  <c:v>22</c:v>
                </c:pt>
                <c:pt idx="140">
                  <c:v>22</c:v>
                </c:pt>
                <c:pt idx="141">
                  <c:v>22</c:v>
                </c:pt>
                <c:pt idx="142">
                  <c:v>22</c:v>
                </c:pt>
                <c:pt idx="143">
                  <c:v>23</c:v>
                </c:pt>
                <c:pt idx="144">
                  <c:v>23</c:v>
                </c:pt>
                <c:pt idx="145">
                  <c:v>23</c:v>
                </c:pt>
                <c:pt idx="146">
                  <c:v>23</c:v>
                </c:pt>
                <c:pt idx="147">
                  <c:v>23</c:v>
                </c:pt>
                <c:pt idx="148">
                  <c:v>23</c:v>
                </c:pt>
                <c:pt idx="149">
                  <c:v>23</c:v>
                </c:pt>
                <c:pt idx="150">
                  <c:v>23</c:v>
                </c:pt>
                <c:pt idx="151">
                  <c:v>23</c:v>
                </c:pt>
                <c:pt idx="152">
                  <c:v>23</c:v>
                </c:pt>
                <c:pt idx="153">
                  <c:v>23</c:v>
                </c:pt>
                <c:pt idx="154">
                  <c:v>23</c:v>
                </c:pt>
                <c:pt idx="155">
                  <c:v>23</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25"/>
                <c:pt idx="124">
                  <c:v>u</c:v>
                </c:pt>
              </c:strCache>
            </c:strRef>
          </c:cat>
          <c:val>
            <c:numRef>
              <c:f>[0]!BotQuart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24</c:v>
                </c:pt>
                <c:pt idx="157">
                  <c:v>24</c:v>
                </c:pt>
                <c:pt idx="158">
                  <c:v>24</c:v>
                </c:pt>
                <c:pt idx="159">
                  <c:v>24</c:v>
                </c:pt>
                <c:pt idx="160">
                  <c:v>24</c:v>
                </c:pt>
                <c:pt idx="161">
                  <c:v>24</c:v>
                </c:pt>
                <c:pt idx="162">
                  <c:v>24</c:v>
                </c:pt>
                <c:pt idx="163">
                  <c:v>24</c:v>
                </c:pt>
                <c:pt idx="164">
                  <c:v>25</c:v>
                </c:pt>
                <c:pt idx="165">
                  <c:v>25</c:v>
                </c:pt>
                <c:pt idx="166">
                  <c:v>25</c:v>
                </c:pt>
                <c:pt idx="167">
                  <c:v>25</c:v>
                </c:pt>
                <c:pt idx="168">
                  <c:v>25</c:v>
                </c:pt>
                <c:pt idx="169">
                  <c:v>25</c:v>
                </c:pt>
                <c:pt idx="170">
                  <c:v>25</c:v>
                </c:pt>
                <c:pt idx="171">
                  <c:v>25</c:v>
                </c:pt>
                <c:pt idx="172">
                  <c:v>25</c:v>
                </c:pt>
                <c:pt idx="173">
                  <c:v>25</c:v>
                </c:pt>
                <c:pt idx="174">
                  <c:v>26</c:v>
                </c:pt>
                <c:pt idx="175">
                  <c:v>26</c:v>
                </c:pt>
                <c:pt idx="176">
                  <c:v>26</c:v>
                </c:pt>
                <c:pt idx="177">
                  <c:v>26</c:v>
                </c:pt>
                <c:pt idx="178">
                  <c:v>26</c:v>
                </c:pt>
                <c:pt idx="179">
                  <c:v>26</c:v>
                </c:pt>
                <c:pt idx="180">
                  <c:v>26</c:v>
                </c:pt>
                <c:pt idx="181">
                  <c:v>27</c:v>
                </c:pt>
                <c:pt idx="182">
                  <c:v>27</c:v>
                </c:pt>
                <c:pt idx="183">
                  <c:v>27</c:v>
                </c:pt>
                <c:pt idx="184">
                  <c:v>27</c:v>
                </c:pt>
                <c:pt idx="185">
                  <c:v>27</c:v>
                </c:pt>
                <c:pt idx="186">
                  <c:v>28</c:v>
                </c:pt>
                <c:pt idx="187">
                  <c:v>28</c:v>
                </c:pt>
                <c:pt idx="188">
                  <c:v>28</c:v>
                </c:pt>
                <c:pt idx="189">
                  <c:v>29</c:v>
                </c:pt>
                <c:pt idx="190">
                  <c:v>29</c:v>
                </c:pt>
                <c:pt idx="191">
                  <c:v>29</c:v>
                </c:pt>
                <c:pt idx="192">
                  <c:v>29</c:v>
                </c:pt>
                <c:pt idx="193">
                  <c:v>30</c:v>
                </c:pt>
                <c:pt idx="194">
                  <c:v>31</c:v>
                </c:pt>
                <c:pt idx="195">
                  <c:v>32</c:v>
                </c:pt>
                <c:pt idx="196">
                  <c:v>32</c:v>
                </c:pt>
                <c:pt idx="197">
                  <c:v>33</c:v>
                </c:pt>
                <c:pt idx="198">
                  <c:v>33</c:v>
                </c:pt>
                <c:pt idx="199">
                  <c:v>34</c:v>
                </c:pt>
                <c:pt idx="200">
                  <c:v>49</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25"/>
                <c:pt idx="124">
                  <c:v>u</c:v>
                </c:pt>
              </c:strCache>
            </c:strRef>
          </c:cat>
          <c:val>
            <c:numRef>
              <c:f>[0]!MarkData</c:f>
              <c:numCache>
                <c:formatCode>0.00</c:formatCode>
                <c:ptCount val="201"/>
                <c:pt idx="0">
                  <c:v>4</c:v>
                </c:pt>
                <c:pt idx="1">
                  <c:v>5</c:v>
                </c:pt>
                <c:pt idx="2">
                  <c:v>5</c:v>
                </c:pt>
                <c:pt idx="3">
                  <c:v>6</c:v>
                </c:pt>
                <c:pt idx="4">
                  <c:v>8</c:v>
                </c:pt>
                <c:pt idx="5">
                  <c:v>9</c:v>
                </c:pt>
                <c:pt idx="6">
                  <c:v>9</c:v>
                </c:pt>
                <c:pt idx="7">
                  <c:v>10</c:v>
                </c:pt>
                <c:pt idx="8">
                  <c:v>10</c:v>
                </c:pt>
                <c:pt idx="9">
                  <c:v>11</c:v>
                </c:pt>
                <c:pt idx="10">
                  <c:v>11</c:v>
                </c:pt>
                <c:pt idx="11">
                  <c:v>11</c:v>
                </c:pt>
                <c:pt idx="12">
                  <c:v>11</c:v>
                </c:pt>
                <c:pt idx="13">
                  <c:v>11</c:v>
                </c:pt>
                <c:pt idx="14">
                  <c:v>11</c:v>
                </c:pt>
                <c:pt idx="15">
                  <c:v>11</c:v>
                </c:pt>
                <c:pt idx="16">
                  <c:v>12</c:v>
                </c:pt>
                <c:pt idx="17">
                  <c:v>12</c:v>
                </c:pt>
                <c:pt idx="18">
                  <c:v>12</c:v>
                </c:pt>
                <c:pt idx="19">
                  <c:v>12</c:v>
                </c:pt>
                <c:pt idx="20">
                  <c:v>12</c:v>
                </c:pt>
                <c:pt idx="21">
                  <c:v>13</c:v>
                </c:pt>
                <c:pt idx="22">
                  <c:v>14</c:v>
                </c:pt>
                <c:pt idx="23">
                  <c:v>14</c:v>
                </c:pt>
                <c:pt idx="24">
                  <c:v>14</c:v>
                </c:pt>
                <c:pt idx="25">
                  <c:v>14</c:v>
                </c:pt>
                <c:pt idx="26">
                  <c:v>14</c:v>
                </c:pt>
                <c:pt idx="27">
                  <c:v>14</c:v>
                </c:pt>
                <c:pt idx="28">
                  <c:v>14</c:v>
                </c:pt>
                <c:pt idx="29">
                  <c:v>14</c:v>
                </c:pt>
                <c:pt idx="30">
                  <c:v>14</c:v>
                </c:pt>
                <c:pt idx="31">
                  <c:v>14</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17</c:v>
                </c:pt>
                <c:pt idx="70">
                  <c:v>17</c:v>
                </c:pt>
                <c:pt idx="71">
                  <c:v>17</c:v>
                </c:pt>
                <c:pt idx="72">
                  <c:v>17</c:v>
                </c:pt>
                <c:pt idx="73">
                  <c:v>17</c:v>
                </c:pt>
                <c:pt idx="74">
                  <c:v>17</c:v>
                </c:pt>
                <c:pt idx="75">
                  <c:v>17</c:v>
                </c:pt>
                <c:pt idx="76">
                  <c:v>17</c:v>
                </c:pt>
                <c:pt idx="77">
                  <c:v>17</c:v>
                </c:pt>
                <c:pt idx="78">
                  <c:v>17</c:v>
                </c:pt>
                <c:pt idx="79">
                  <c:v>18</c:v>
                </c:pt>
                <c:pt idx="80">
                  <c:v>18</c:v>
                </c:pt>
                <c:pt idx="81">
                  <c:v>18</c:v>
                </c:pt>
                <c:pt idx="82">
                  <c:v>18</c:v>
                </c:pt>
                <c:pt idx="83">
                  <c:v>18</c:v>
                </c:pt>
                <c:pt idx="84">
                  <c:v>18</c:v>
                </c:pt>
                <c:pt idx="85">
                  <c:v>18</c:v>
                </c:pt>
                <c:pt idx="86">
                  <c:v>18</c:v>
                </c:pt>
                <c:pt idx="87">
                  <c:v>18</c:v>
                </c:pt>
                <c:pt idx="88">
                  <c:v>18</c:v>
                </c:pt>
                <c:pt idx="89">
                  <c:v>18</c:v>
                </c:pt>
                <c:pt idx="90">
                  <c:v>18</c:v>
                </c:pt>
                <c:pt idx="91">
                  <c:v>18</c:v>
                </c:pt>
                <c:pt idx="92">
                  <c:v>18</c:v>
                </c:pt>
                <c:pt idx="93">
                  <c:v>18</c:v>
                </c:pt>
                <c:pt idx="94">
                  <c:v>19</c:v>
                </c:pt>
                <c:pt idx="95">
                  <c:v>19</c:v>
                </c:pt>
                <c:pt idx="96">
                  <c:v>19</c:v>
                </c:pt>
                <c:pt idx="97">
                  <c:v>19</c:v>
                </c:pt>
                <c:pt idx="98">
                  <c:v>19</c:v>
                </c:pt>
                <c:pt idx="99">
                  <c:v>19</c:v>
                </c:pt>
                <c:pt idx="100">
                  <c:v>19</c:v>
                </c:pt>
                <c:pt idx="101">
                  <c:v>19</c:v>
                </c:pt>
                <c:pt idx="102">
                  <c:v>19</c:v>
                </c:pt>
                <c:pt idx="103">
                  <c:v>19</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21</c:v>
                </c:pt>
                <c:pt idx="125">
                  <c:v>21</c:v>
                </c:pt>
                <c:pt idx="126">
                  <c:v>21</c:v>
                </c:pt>
                <c:pt idx="127">
                  <c:v>21</c:v>
                </c:pt>
                <c:pt idx="128">
                  <c:v>21</c:v>
                </c:pt>
                <c:pt idx="129">
                  <c:v>21</c:v>
                </c:pt>
                <c:pt idx="130">
                  <c:v>21</c:v>
                </c:pt>
                <c:pt idx="131">
                  <c:v>21</c:v>
                </c:pt>
                <c:pt idx="132">
                  <c:v>21</c:v>
                </c:pt>
                <c:pt idx="133">
                  <c:v>21</c:v>
                </c:pt>
                <c:pt idx="134">
                  <c:v>22</c:v>
                </c:pt>
                <c:pt idx="135">
                  <c:v>22</c:v>
                </c:pt>
                <c:pt idx="136">
                  <c:v>22</c:v>
                </c:pt>
                <c:pt idx="137">
                  <c:v>22</c:v>
                </c:pt>
                <c:pt idx="138">
                  <c:v>22</c:v>
                </c:pt>
                <c:pt idx="139">
                  <c:v>22</c:v>
                </c:pt>
                <c:pt idx="140">
                  <c:v>22</c:v>
                </c:pt>
                <c:pt idx="141">
                  <c:v>22</c:v>
                </c:pt>
                <c:pt idx="142">
                  <c:v>22</c:v>
                </c:pt>
                <c:pt idx="143">
                  <c:v>23</c:v>
                </c:pt>
                <c:pt idx="144">
                  <c:v>23</c:v>
                </c:pt>
                <c:pt idx="145">
                  <c:v>23</c:v>
                </c:pt>
                <c:pt idx="146">
                  <c:v>23</c:v>
                </c:pt>
                <c:pt idx="147">
                  <c:v>23</c:v>
                </c:pt>
                <c:pt idx="148">
                  <c:v>23</c:v>
                </c:pt>
                <c:pt idx="149">
                  <c:v>23</c:v>
                </c:pt>
                <c:pt idx="150">
                  <c:v>23</c:v>
                </c:pt>
                <c:pt idx="151">
                  <c:v>23</c:v>
                </c:pt>
                <c:pt idx="152">
                  <c:v>23</c:v>
                </c:pt>
                <c:pt idx="153">
                  <c:v>23</c:v>
                </c:pt>
                <c:pt idx="154">
                  <c:v>23</c:v>
                </c:pt>
                <c:pt idx="155">
                  <c:v>23</c:v>
                </c:pt>
                <c:pt idx="156">
                  <c:v>24</c:v>
                </c:pt>
                <c:pt idx="157">
                  <c:v>24</c:v>
                </c:pt>
                <c:pt idx="158">
                  <c:v>24</c:v>
                </c:pt>
                <c:pt idx="159">
                  <c:v>24</c:v>
                </c:pt>
                <c:pt idx="160">
                  <c:v>24</c:v>
                </c:pt>
                <c:pt idx="161">
                  <c:v>24</c:v>
                </c:pt>
                <c:pt idx="162">
                  <c:v>24</c:v>
                </c:pt>
                <c:pt idx="163">
                  <c:v>24</c:v>
                </c:pt>
                <c:pt idx="164">
                  <c:v>25</c:v>
                </c:pt>
                <c:pt idx="165">
                  <c:v>25</c:v>
                </c:pt>
                <c:pt idx="166">
                  <c:v>25</c:v>
                </c:pt>
                <c:pt idx="167">
                  <c:v>25</c:v>
                </c:pt>
                <c:pt idx="168">
                  <c:v>25</c:v>
                </c:pt>
                <c:pt idx="169">
                  <c:v>25</c:v>
                </c:pt>
                <c:pt idx="170">
                  <c:v>25</c:v>
                </c:pt>
                <c:pt idx="171">
                  <c:v>25</c:v>
                </c:pt>
                <c:pt idx="172">
                  <c:v>25</c:v>
                </c:pt>
                <c:pt idx="173">
                  <c:v>25</c:v>
                </c:pt>
                <c:pt idx="174">
                  <c:v>26</c:v>
                </c:pt>
                <c:pt idx="175">
                  <c:v>26</c:v>
                </c:pt>
                <c:pt idx="176">
                  <c:v>26</c:v>
                </c:pt>
                <c:pt idx="177">
                  <c:v>26</c:v>
                </c:pt>
                <c:pt idx="178">
                  <c:v>26</c:v>
                </c:pt>
                <c:pt idx="179">
                  <c:v>26</c:v>
                </c:pt>
                <c:pt idx="180">
                  <c:v>26</c:v>
                </c:pt>
                <c:pt idx="181">
                  <c:v>27</c:v>
                </c:pt>
                <c:pt idx="182">
                  <c:v>27</c:v>
                </c:pt>
                <c:pt idx="183">
                  <c:v>27</c:v>
                </c:pt>
                <c:pt idx="184">
                  <c:v>27</c:v>
                </c:pt>
                <c:pt idx="185">
                  <c:v>27</c:v>
                </c:pt>
                <c:pt idx="186">
                  <c:v>28</c:v>
                </c:pt>
                <c:pt idx="187">
                  <c:v>28</c:v>
                </c:pt>
                <c:pt idx="188">
                  <c:v>28</c:v>
                </c:pt>
                <c:pt idx="189">
                  <c:v>29</c:v>
                </c:pt>
                <c:pt idx="190">
                  <c:v>29</c:v>
                </c:pt>
                <c:pt idx="191">
                  <c:v>29</c:v>
                </c:pt>
                <c:pt idx="192">
                  <c:v>29</c:v>
                </c:pt>
                <c:pt idx="193">
                  <c:v>30</c:v>
                </c:pt>
                <c:pt idx="194">
                  <c:v>31</c:v>
                </c:pt>
                <c:pt idx="195">
                  <c:v>32</c:v>
                </c:pt>
                <c:pt idx="196">
                  <c:v>32</c:v>
                </c:pt>
                <c:pt idx="197">
                  <c:v>33</c:v>
                </c:pt>
                <c:pt idx="198">
                  <c:v>33</c:v>
                </c:pt>
                <c:pt idx="199">
                  <c:v>34</c:v>
                </c:pt>
                <c:pt idx="200">
                  <c:v>49</c:v>
                </c:pt>
              </c:numCache>
            </c:numRef>
          </c:val>
        </c:ser>
        <c:dLbls>
          <c:showLegendKey val="0"/>
          <c:showVal val="0"/>
          <c:showCatName val="0"/>
          <c:showSerName val="0"/>
          <c:showPercent val="0"/>
          <c:showBubbleSize val="0"/>
        </c:dLbls>
        <c:gapWidth val="0"/>
        <c:overlap val="100"/>
        <c:axId val="367398024"/>
        <c:axId val="367398416"/>
      </c:barChart>
      <c:catAx>
        <c:axId val="367398024"/>
        <c:scaling>
          <c:orientation val="minMax"/>
        </c:scaling>
        <c:delete val="0"/>
        <c:axPos val="b"/>
        <c:numFmt formatCode="General" sourceLinked="1"/>
        <c:majorTickMark val="none"/>
        <c:minorTickMark val="none"/>
        <c:tickLblPos val="none"/>
        <c:crossAx val="367398416"/>
        <c:crosses val="autoZero"/>
        <c:auto val="1"/>
        <c:lblAlgn val="ctr"/>
        <c:lblOffset val="100"/>
        <c:noMultiLvlLbl val="0"/>
      </c:catAx>
      <c:valAx>
        <c:axId val="367398416"/>
        <c:scaling>
          <c:orientation val="minMax"/>
        </c:scaling>
        <c:delete val="0"/>
        <c:axPos val="l"/>
        <c:numFmt formatCode="0" sourceLinked="0"/>
        <c:majorTickMark val="out"/>
        <c:minorTickMark val="none"/>
        <c:tickLblPos val="nextTo"/>
        <c:txPr>
          <a:bodyPr rot="0" vert="horz"/>
          <a:lstStyle/>
          <a:p>
            <a:pPr>
              <a:defRPr/>
            </a:pPr>
            <a:endParaRPr lang="en-US"/>
          </a:p>
        </c:txPr>
        <c:crossAx val="367398024"/>
        <c:crosses val="autoZero"/>
        <c:crossBetween val="between"/>
      </c:valAx>
      <c:spPr>
        <a:ln>
          <a:noFill/>
        </a:ln>
      </c:spPr>
    </c:plotArea>
    <c:plotVisOnly val="1"/>
    <c:dispBlanksAs val="gap"/>
    <c:showDLblsOverMax val="0"/>
  </c:chart>
  <c:spPr>
    <a:ln>
      <a:noFill/>
    </a:ln>
  </c:spPr>
  <c:printSettings>
    <c:headerFooter alignWithMargins="0"/>
    <c:pageMargins b="0.75000000000000255" l="0.70000000000000062" r="0.70000000000000062" t="0.750000000000002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3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Mainly Rural (rural including hub towns &gt;=80%) </c:v>
                </c:pt>
              </c:strCache>
            </c:strRef>
          </c:cat>
          <c:val>
            <c:numRef>
              <c:f>Profile!$E$48:$E$52</c:f>
              <c:numCache>
                <c:formatCode>0.00</c:formatCode>
                <c:ptCount val="5"/>
                <c:pt idx="0">
                  <c:v>21</c:v>
                </c:pt>
                <c:pt idx="1">
                  <c:v>19.388059701492537</c:v>
                </c:pt>
                <c:pt idx="2">
                  <c:v>17.875</c:v>
                </c:pt>
                <c:pt idx="3">
                  <c:v>22.666666666666668</c:v>
                </c:pt>
                <c:pt idx="4">
                  <c:v>19.304347826086957</c:v>
                </c:pt>
              </c:numCache>
            </c:numRef>
          </c:val>
        </c:ser>
        <c:dLbls>
          <c:showLegendKey val="0"/>
          <c:showVal val="0"/>
          <c:showCatName val="0"/>
          <c:showSerName val="0"/>
          <c:showPercent val="0"/>
          <c:showBubbleSize val="0"/>
        </c:dLbls>
        <c:gapWidth val="39"/>
        <c:overlap val="100"/>
        <c:axId val="367399592"/>
        <c:axId val="367394496"/>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15</c:v>
                </c:pt>
                <c:pt idx="1">
                  <c:v>15</c:v>
                </c:pt>
                <c:pt idx="2">
                  <c:v>15</c:v>
                </c:pt>
                <c:pt idx="3">
                  <c:v>15</c:v>
                </c:pt>
                <c:pt idx="4">
                  <c:v>15</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19</c:v>
                </c:pt>
                <c:pt idx="1">
                  <c:v>19</c:v>
                </c:pt>
                <c:pt idx="2">
                  <c:v>19</c:v>
                </c:pt>
                <c:pt idx="3">
                  <c:v>19</c:v>
                </c:pt>
                <c:pt idx="4">
                  <c:v>19</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23</c:v>
                </c:pt>
                <c:pt idx="1">
                  <c:v>23</c:v>
                </c:pt>
                <c:pt idx="2">
                  <c:v>23</c:v>
                </c:pt>
                <c:pt idx="3">
                  <c:v>23</c:v>
                </c:pt>
                <c:pt idx="4">
                  <c:v>23</c:v>
                </c:pt>
              </c:numCache>
            </c:numRef>
          </c:val>
          <c:smooth val="0"/>
        </c:ser>
        <c:dLbls>
          <c:showLegendKey val="0"/>
          <c:showVal val="0"/>
          <c:showCatName val="0"/>
          <c:showSerName val="0"/>
          <c:showPercent val="0"/>
          <c:showBubbleSize val="0"/>
        </c:dLbls>
        <c:marker val="1"/>
        <c:smooth val="0"/>
        <c:axId val="367399592"/>
        <c:axId val="367394496"/>
      </c:lineChart>
      <c:catAx>
        <c:axId val="3673995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367394496"/>
        <c:crosses val="autoZero"/>
        <c:auto val="1"/>
        <c:lblAlgn val="ctr"/>
        <c:lblOffset val="100"/>
        <c:noMultiLvlLbl val="0"/>
      </c:catAx>
      <c:valAx>
        <c:axId val="36739449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367399592"/>
        <c:crosses val="autoZero"/>
        <c:crossBetween val="between"/>
      </c:valAx>
    </c:plotArea>
    <c:legend>
      <c:legendPos val="b"/>
      <c:legendEntry>
        <c:idx val="0"/>
        <c:delete val="1"/>
      </c:legendEntry>
      <c:layout>
        <c:manualLayout>
          <c:xMode val="edge"/>
          <c:yMode val="edge"/>
          <c:x val="0.10120783739241881"/>
          <c:y val="0.90916944591436344"/>
          <c:w val="0.85546529939571503"/>
          <c:h val="8.4690001676023169E-2"/>
        </c:manualLayout>
      </c:layout>
      <c:overlay val="0"/>
    </c:legend>
    <c:plotVisOnly val="1"/>
    <c:dispBlanksAs val="gap"/>
    <c:showDLblsOverMax val="0"/>
  </c:chart>
  <c:spPr>
    <a:solidFill>
      <a:schemeClr val="bg1"/>
    </a:solidFill>
    <a:ln w="9525">
      <a:noFill/>
    </a:ln>
  </c:spPr>
  <c:txPr>
    <a:bodyPr/>
    <a:lstStyle/>
    <a:p>
      <a:pPr>
        <a:defRPr sz="700" b="0" i="0" u="none" strike="noStrike" baseline="0">
          <a:solidFill>
            <a:srgbClr val="000000"/>
          </a:solidFill>
          <a:latin typeface="Calibri"/>
          <a:ea typeface="Calibri"/>
          <a:cs typeface="Calibri"/>
        </a:defRPr>
      </a:pPr>
      <a:endParaRPr lang="en-US"/>
    </a:p>
  </c:txPr>
  <c:printSettings>
    <c:headerFooter alignWithMargins="0"/>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956E-2"/>
          <c:y val="6.0725521892544924E-2"/>
          <c:w val="0.93589299789538694"/>
          <c:h val="0.66660374406841694"/>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21</c:v>
                </c:pt>
                <c:pt idx="1">
                  <c:v>18.387499999999999</c:v>
                </c:pt>
                <c:pt idx="2">
                  <c:v>19.906666666666666</c:v>
                </c:pt>
                <c:pt idx="3">
                  <c:v>20.282608695652176</c:v>
                </c:pt>
              </c:numCache>
            </c:numRef>
          </c:val>
        </c:ser>
        <c:dLbls>
          <c:showLegendKey val="0"/>
          <c:showVal val="0"/>
          <c:showCatName val="0"/>
          <c:showSerName val="0"/>
          <c:showPercent val="0"/>
          <c:showBubbleSize val="0"/>
        </c:dLbls>
        <c:gapWidth val="39"/>
        <c:overlap val="100"/>
        <c:axId val="367397240"/>
        <c:axId val="367399984"/>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15</c:v>
                </c:pt>
                <c:pt idx="1">
                  <c:v>15</c:v>
                </c:pt>
                <c:pt idx="2">
                  <c:v>15</c:v>
                </c:pt>
                <c:pt idx="3">
                  <c:v>15</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19</c:v>
                </c:pt>
                <c:pt idx="1">
                  <c:v>19</c:v>
                </c:pt>
                <c:pt idx="2">
                  <c:v>19</c:v>
                </c:pt>
                <c:pt idx="3">
                  <c:v>19</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23</c:v>
                </c:pt>
                <c:pt idx="1">
                  <c:v>23</c:v>
                </c:pt>
                <c:pt idx="2">
                  <c:v>23</c:v>
                </c:pt>
                <c:pt idx="3">
                  <c:v>23</c:v>
                </c:pt>
              </c:numCache>
            </c:numRef>
          </c:val>
          <c:smooth val="0"/>
        </c:ser>
        <c:dLbls>
          <c:showLegendKey val="0"/>
          <c:showVal val="0"/>
          <c:showCatName val="0"/>
          <c:showSerName val="0"/>
          <c:showPercent val="0"/>
          <c:showBubbleSize val="0"/>
        </c:dLbls>
        <c:marker val="1"/>
        <c:smooth val="0"/>
        <c:axId val="367397240"/>
        <c:axId val="367399984"/>
      </c:lineChart>
      <c:catAx>
        <c:axId val="36739724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67399984"/>
        <c:crosses val="autoZero"/>
        <c:auto val="1"/>
        <c:lblAlgn val="ctr"/>
        <c:lblOffset val="100"/>
        <c:noMultiLvlLbl val="0"/>
      </c:catAx>
      <c:valAx>
        <c:axId val="36739998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7397240"/>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255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topLeftCell="A4" zoomScaleNormal="100" workbookViewId="0">
      <selection activeCell="W6" sqref="W6:AM10"/>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9" t="str">
        <f>VLOOKUP('Filtered Data'!D1,'Filtered Data'!L1:O6,3,FALSE)</f>
        <v>District</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row>
    <row r="2" spans="2:40"/>
    <row r="3" spans="2:40" ht="19.5" customHeight="1">
      <c r="B3" s="327" t="str">
        <f>Data!B3</f>
        <v>Speed of Processing</v>
      </c>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row>
    <row r="4" spans="2:40">
      <c r="D4" s="3"/>
      <c r="E4" s="3"/>
    </row>
    <row r="5" spans="2:40" ht="15.75" customHeight="1">
      <c r="B5" s="315" t="s">
        <v>335</v>
      </c>
      <c r="C5" s="315"/>
      <c r="D5" s="315"/>
      <c r="E5" s="315"/>
      <c r="J5" s="319" t="s">
        <v>6</v>
      </c>
      <c r="K5" s="319"/>
      <c r="L5" s="319"/>
      <c r="M5" s="319"/>
      <c r="N5" s="319"/>
      <c r="O5" s="319"/>
      <c r="P5" s="319"/>
      <c r="Q5" s="319"/>
      <c r="R5" s="319"/>
      <c r="S5" s="319"/>
      <c r="W5" s="294" t="s">
        <v>363</v>
      </c>
      <c r="X5" s="295"/>
      <c r="Y5" s="295"/>
      <c r="Z5" s="295"/>
      <c r="AA5" s="295"/>
      <c r="AB5" s="295"/>
      <c r="AC5" s="295"/>
      <c r="AD5" s="295"/>
      <c r="AE5" s="295"/>
      <c r="AF5" s="295"/>
      <c r="AG5" s="295"/>
      <c r="AH5" s="295"/>
      <c r="AI5" s="295"/>
      <c r="AJ5" s="295"/>
      <c r="AK5" s="295"/>
      <c r="AL5" s="295"/>
      <c r="AM5" s="296"/>
    </row>
    <row r="6" spans="2:40" ht="17.25" customHeight="1">
      <c r="J6" s="319"/>
      <c r="K6" s="319"/>
      <c r="L6" s="319"/>
      <c r="M6" s="319"/>
      <c r="N6" s="319"/>
      <c r="O6" s="319"/>
      <c r="P6" s="319"/>
      <c r="Q6" s="319"/>
      <c r="R6" s="319"/>
      <c r="S6" s="319"/>
      <c r="W6" s="297" t="s">
        <v>891</v>
      </c>
      <c r="X6" s="298"/>
      <c r="Y6" s="298"/>
      <c r="Z6" s="298"/>
      <c r="AA6" s="298"/>
      <c r="AB6" s="298"/>
      <c r="AC6" s="298"/>
      <c r="AD6" s="298"/>
      <c r="AE6" s="298"/>
      <c r="AF6" s="298"/>
      <c r="AG6" s="298"/>
      <c r="AH6" s="298"/>
      <c r="AI6" s="298"/>
      <c r="AJ6" s="298"/>
      <c r="AK6" s="298"/>
      <c r="AL6" s="298"/>
      <c r="AM6" s="299"/>
    </row>
    <row r="7" spans="2:40" ht="12.75" customHeight="1">
      <c r="W7" s="297"/>
      <c r="X7" s="298"/>
      <c r="Y7" s="298"/>
      <c r="Z7" s="298"/>
      <c r="AA7" s="298"/>
      <c r="AB7" s="298"/>
      <c r="AC7" s="298"/>
      <c r="AD7" s="298"/>
      <c r="AE7" s="298"/>
      <c r="AF7" s="298"/>
      <c r="AG7" s="298"/>
      <c r="AH7" s="298"/>
      <c r="AI7" s="298"/>
      <c r="AJ7" s="298"/>
      <c r="AK7" s="298"/>
      <c r="AL7" s="298"/>
      <c r="AM7" s="299"/>
    </row>
    <row r="8" spans="2:40" ht="12.75" customHeight="1">
      <c r="B8" s="320" t="str">
        <f>IF('Filtered Data'!D1="L","County:","Type of Authority:")</f>
        <v>Type of Authority:</v>
      </c>
      <c r="C8" s="321"/>
      <c r="D8" s="321"/>
      <c r="E8" s="321"/>
      <c r="F8" s="321"/>
      <c r="G8" s="321"/>
      <c r="H8" s="321"/>
      <c r="I8" s="321"/>
      <c r="J8" s="79" t="str">
        <f>IF('Filtered Data'!D1="L",'Filtered Data'!I3,VLOOKUP('Filtered Data'!D1,'Filtered Data'!L1:O5,3,FALSE))</f>
        <v>District</v>
      </c>
      <c r="K8" s="79"/>
      <c r="L8" s="79"/>
      <c r="M8" s="79"/>
      <c r="N8" s="79"/>
      <c r="O8" s="79"/>
      <c r="P8" s="79"/>
      <c r="Q8" s="79"/>
      <c r="R8" s="79"/>
      <c r="W8" s="297"/>
      <c r="X8" s="298"/>
      <c r="Y8" s="298"/>
      <c r="Z8" s="298"/>
      <c r="AA8" s="298"/>
      <c r="AB8" s="298"/>
      <c r="AC8" s="298"/>
      <c r="AD8" s="298"/>
      <c r="AE8" s="298"/>
      <c r="AF8" s="298"/>
      <c r="AG8" s="298"/>
      <c r="AH8" s="298"/>
      <c r="AI8" s="298"/>
      <c r="AJ8" s="298"/>
      <c r="AK8" s="298"/>
      <c r="AL8" s="298"/>
      <c r="AM8" s="299"/>
    </row>
    <row r="9" spans="2:40" ht="12.75" customHeight="1">
      <c r="B9" s="320" t="str">
        <f>IF('Filtered Data'!D1="L","Rural Classification:","Region:")</f>
        <v>Region:</v>
      </c>
      <c r="C9" s="321"/>
      <c r="D9" s="321"/>
      <c r="E9" s="321"/>
      <c r="F9" s="321"/>
      <c r="G9" s="321"/>
      <c r="H9" s="321"/>
      <c r="I9" s="321"/>
      <c r="J9" s="79" t="str">
        <f>IF('Filtered Data'!D1="L",'Filtered Data'!H3,'Filtered Data'!G3)</f>
        <v>North West</v>
      </c>
      <c r="K9" s="79"/>
      <c r="L9" s="79"/>
      <c r="M9" s="79"/>
      <c r="N9" s="79"/>
      <c r="O9" s="79"/>
      <c r="P9" s="79"/>
      <c r="Q9" s="79"/>
      <c r="R9" s="79"/>
      <c r="W9" s="297"/>
      <c r="X9" s="298"/>
      <c r="Y9" s="298"/>
      <c r="Z9" s="298"/>
      <c r="AA9" s="298"/>
      <c r="AB9" s="298"/>
      <c r="AC9" s="298"/>
      <c r="AD9" s="298"/>
      <c r="AE9" s="298"/>
      <c r="AF9" s="298"/>
      <c r="AG9" s="298"/>
      <c r="AH9" s="298"/>
      <c r="AI9" s="298"/>
      <c r="AJ9" s="298"/>
      <c r="AK9" s="298"/>
      <c r="AL9" s="298"/>
      <c r="AM9" s="299"/>
    </row>
    <row r="10" spans="2:40" ht="12.75" customHeight="1">
      <c r="B10" s="321" t="str">
        <f>IF('Filtered Data'!D1="L","",IF('Filtered Data'!D1="SC","Rural Classification:",IF('Filtered Data'!D1="UA","Rural Classification:","County:")))</f>
        <v>County:</v>
      </c>
      <c r="C10" s="321"/>
      <c r="D10" s="321"/>
      <c r="E10" s="321"/>
      <c r="F10" s="321"/>
      <c r="G10" s="321"/>
      <c r="H10" s="321"/>
      <c r="I10" s="321"/>
      <c r="J10" s="284" t="str">
        <f>IF('Filtered Data'!D1="L","",IF('Filtered Data'!D1="MD",'Filtered Data'!I3,IF('Filtered Data'!D1="SD",'Filtered Data'!I3,'Filtered Data'!H3)))</f>
        <v>Cumbria</v>
      </c>
      <c r="K10" s="284"/>
      <c r="L10" s="284"/>
      <c r="M10" s="284"/>
      <c r="N10" s="284"/>
      <c r="O10" s="284"/>
      <c r="P10" s="284"/>
      <c r="Q10" s="284"/>
      <c r="R10" s="284"/>
      <c r="W10" s="297"/>
      <c r="X10" s="298"/>
      <c r="Y10" s="298"/>
      <c r="Z10" s="298"/>
      <c r="AA10" s="298"/>
      <c r="AB10" s="298"/>
      <c r="AC10" s="298"/>
      <c r="AD10" s="298"/>
      <c r="AE10" s="298"/>
      <c r="AF10" s="298"/>
      <c r="AG10" s="298"/>
      <c r="AH10" s="298"/>
      <c r="AI10" s="298"/>
      <c r="AJ10" s="298"/>
      <c r="AK10" s="298"/>
      <c r="AL10" s="298"/>
      <c r="AM10" s="299"/>
    </row>
    <row r="11" spans="2:40" ht="12.75" customHeight="1">
      <c r="B11" s="321" t="str">
        <f>IF('Filtered Data'!D1="L","",IF('Filtered Data'!D1="SC","",IF('Filtered Data'!D1="UA","","Rural Classification:")))</f>
        <v>Rural Classification:</v>
      </c>
      <c r="C11" s="321"/>
      <c r="D11" s="321"/>
      <c r="E11" s="321"/>
      <c r="F11" s="321"/>
      <c r="G11" s="321"/>
      <c r="H11" s="321"/>
      <c r="I11" s="321"/>
      <c r="J11" s="79" t="str">
        <f>IF('Filtered Data'!D1="MD",'Filtered Data'!H3,IF('Filtered Data'!D1="SD",'Filtered Data'!H3,""))</f>
        <v xml:space="preserve">Mainly Rural (rural including hub towns &gt;=80%) </v>
      </c>
      <c r="K11" s="79"/>
      <c r="W11" s="303" t="s">
        <v>367</v>
      </c>
      <c r="X11" s="304"/>
      <c r="Y11" s="304"/>
      <c r="Z11" s="304"/>
      <c r="AA11" s="304"/>
      <c r="AB11" s="304"/>
      <c r="AC11" s="304"/>
      <c r="AD11" s="304"/>
      <c r="AE11" s="304"/>
      <c r="AF11" s="304"/>
      <c r="AG11" s="304"/>
      <c r="AH11" s="304"/>
      <c r="AI11" s="304"/>
      <c r="AJ11" s="304"/>
      <c r="AK11" s="304"/>
      <c r="AL11" s="304"/>
      <c r="AM11" s="305"/>
    </row>
    <row r="12" spans="2:40" ht="12.75" customHeight="1">
      <c r="W12" s="350" t="s">
        <v>903</v>
      </c>
      <c r="X12" s="351"/>
      <c r="Y12" s="351"/>
      <c r="Z12" s="351"/>
      <c r="AA12" s="351"/>
      <c r="AB12" s="351"/>
      <c r="AC12" s="351"/>
      <c r="AD12" s="351"/>
      <c r="AE12" s="351"/>
      <c r="AF12" s="351"/>
      <c r="AG12" s="351"/>
      <c r="AH12" s="351"/>
      <c r="AI12" s="351"/>
      <c r="AJ12" s="351"/>
      <c r="AK12" s="351"/>
      <c r="AL12" s="351"/>
      <c r="AM12" s="352"/>
    </row>
    <row r="13" spans="2:40" ht="12.75" customHeight="1">
      <c r="B13" s="25"/>
      <c r="C13" s="25"/>
      <c r="D13" s="25"/>
      <c r="E13" s="25"/>
      <c r="F13" s="25"/>
      <c r="G13" s="25"/>
      <c r="H13" s="25"/>
      <c r="I13" s="25"/>
      <c r="J13" s="3"/>
      <c r="K13" s="3"/>
      <c r="L13" s="3"/>
      <c r="M13" s="3"/>
      <c r="N13" s="3"/>
      <c r="O13" s="3"/>
      <c r="P13" s="3"/>
      <c r="Q13" s="3"/>
      <c r="R13" s="3"/>
      <c r="W13" s="323" t="s">
        <v>368</v>
      </c>
      <c r="X13" s="324"/>
      <c r="Y13" s="324"/>
      <c r="Z13" s="324"/>
      <c r="AA13" s="324"/>
      <c r="AB13" s="324"/>
      <c r="AC13" s="324"/>
      <c r="AD13" s="324"/>
      <c r="AE13" s="324"/>
      <c r="AF13" s="324"/>
      <c r="AG13" s="324"/>
      <c r="AH13" s="324"/>
      <c r="AI13" s="324"/>
      <c r="AJ13" s="324"/>
      <c r="AK13" s="324"/>
      <c r="AL13" s="324"/>
      <c r="AM13" s="325"/>
    </row>
    <row r="14" spans="2:40" ht="25.5" customHeight="1">
      <c r="B14" s="25"/>
      <c r="C14" s="25"/>
      <c r="D14" s="25"/>
      <c r="E14" s="25"/>
      <c r="F14" s="25"/>
      <c r="G14" s="25"/>
      <c r="H14" s="25"/>
      <c r="I14" s="25"/>
      <c r="J14" s="3"/>
      <c r="K14" s="3"/>
      <c r="L14" s="3"/>
      <c r="M14" s="3"/>
      <c r="N14" s="3"/>
      <c r="O14" s="3"/>
      <c r="P14" s="3"/>
      <c r="Q14" s="3"/>
      <c r="R14" s="3"/>
      <c r="W14" s="300" t="str">
        <f>HLOOKUP(W6,Data!4:6,3,FALSE)</f>
        <v>www.gov.uk</v>
      </c>
      <c r="X14" s="301"/>
      <c r="Y14" s="301"/>
      <c r="Z14" s="301"/>
      <c r="AA14" s="301"/>
      <c r="AB14" s="301"/>
      <c r="AC14" s="301"/>
      <c r="AD14" s="301"/>
      <c r="AE14" s="301"/>
      <c r="AF14" s="301"/>
      <c r="AG14" s="301"/>
      <c r="AH14" s="301"/>
      <c r="AI14" s="301"/>
      <c r="AJ14" s="301"/>
      <c r="AK14" s="301"/>
      <c r="AL14" s="301"/>
      <c r="AM14" s="302"/>
    </row>
    <row r="15" spans="2:40"/>
    <row r="16" spans="2:40">
      <c r="B16" s="308" t="str">
        <f>W6&amp;" - "&amp;W12</f>
        <v>Housing Benefit - New Claims - Q3 2014/15</v>
      </c>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10"/>
    </row>
    <row r="17" spans="2:42">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3"/>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7" t="s">
        <v>342</v>
      </c>
      <c r="F32" s="318"/>
      <c r="G32" s="318"/>
      <c r="H32" s="318"/>
      <c r="I32" s="318"/>
      <c r="J32" s="318"/>
      <c r="K32" s="316">
        <f>IF('Filtered Data'!$H$8="..",'Filtered Data'!O10,'Filtered Data'!O10/100)</f>
        <v>15</v>
      </c>
      <c r="L32" s="316"/>
      <c r="M32" s="316"/>
      <c r="N32" s="331" t="s">
        <v>353</v>
      </c>
      <c r="O32" s="331"/>
      <c r="P32" s="331"/>
      <c r="Q32" s="331"/>
      <c r="R32" s="331"/>
      <c r="S32" s="331"/>
      <c r="T32" s="316">
        <f>IF('Filtered Data'!$H$8="..",'Filtered Data'!P10,'Filtered Data'!P10/100)</f>
        <v>19</v>
      </c>
      <c r="U32" s="316"/>
      <c r="V32" s="316"/>
      <c r="W32" s="316"/>
      <c r="X32" s="314" t="s">
        <v>354</v>
      </c>
      <c r="Y32" s="314"/>
      <c r="Z32" s="314"/>
      <c r="AA32" s="314"/>
      <c r="AB32" s="314"/>
      <c r="AC32" s="316">
        <f>IF('Filtered Data'!$H$8="..",'Filtered Data'!Q10,'Filtered Data'!Q10/100)</f>
        <v>23</v>
      </c>
      <c r="AD32" s="316"/>
      <c r="AE32" s="316"/>
      <c r="AF32" s="337" t="s">
        <v>343</v>
      </c>
      <c r="AG32" s="337"/>
      <c r="AH32" s="337"/>
      <c r="AI32" s="337"/>
      <c r="AJ32" s="337"/>
      <c r="AK32" s="337"/>
      <c r="AL32" s="337"/>
      <c r="AM32" s="10"/>
      <c r="AP32" s="85"/>
    </row>
    <row r="33" spans="2:16384">
      <c r="B33" s="4" t="str">
        <f>"The graph &amp; quartile information show data for all "&amp;V37&amp;" "&amp;VLOOKUP('Filtered Data'!D1,'Filtered Data'!L1:O6,3,FALSE)&amp;" councils in England."</f>
        <v>The graph &amp; quartile information show data for all 201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357</v>
      </c>
      <c r="L35" s="307">
        <f>IF(ISERROR(IF('Filtered Data'!$H$8="%.",(VLOOKUP(J5,'Filtered Data'!C:H,4,FALSE))/100,(VLOOKUP(J5,'Filtered Data'!C:H,4,FALSE)))),"",(IF('Filtered Data'!$H$8="%.",(VLOOKUP(J5,'Filtered Data'!C:H,4,FALSE))/100,(VLOOKUP(J5,'Filtered Data'!C:H,4,FALSE)))))</f>
        <v>21</v>
      </c>
      <c r="M35" s="307"/>
      <c r="N35" s="307"/>
      <c r="O35" s="307"/>
      <c r="P35" s="135"/>
      <c r="Q35" s="307" t="s">
        <v>355</v>
      </c>
      <c r="R35" s="307"/>
      <c r="S35" s="307"/>
      <c r="T35" s="307"/>
      <c r="U35" s="307"/>
      <c r="V35" s="307"/>
      <c r="W35" s="307"/>
      <c r="AP35" s="85"/>
    </row>
    <row r="36" spans="2:16384" ht="12.75" customHeight="1">
      <c r="B36" s="306" t="str">
        <f>'Filtered Data'!R8&amp;" Quartile"</f>
        <v>Third Quartile</v>
      </c>
      <c r="C36" s="306"/>
      <c r="D36" s="306"/>
      <c r="E36" s="306"/>
      <c r="F36" s="306"/>
      <c r="G36" s="306"/>
      <c r="H36" s="306"/>
      <c r="I36" s="306"/>
      <c r="J36" s="306"/>
      <c r="K36" s="306"/>
      <c r="L36" s="306"/>
      <c r="M36" s="306"/>
      <c r="N36" s="306"/>
      <c r="O36" s="306"/>
      <c r="P36" s="306"/>
      <c r="Q36" s="306"/>
      <c r="R36" s="306"/>
      <c r="S36" s="306"/>
      <c r="T36" s="306"/>
      <c r="U36" s="306"/>
      <c r="V36" s="306"/>
      <c r="W36" s="306"/>
      <c r="Z36" s="21" t="s">
        <v>359</v>
      </c>
      <c r="AB36" s="336" t="s">
        <v>361</v>
      </c>
      <c r="AC36" s="336"/>
      <c r="AD36" s="336"/>
      <c r="AE36" s="336"/>
      <c r="AF36" s="336"/>
      <c r="AG36" s="336"/>
      <c r="AH36" s="336"/>
      <c r="AI36" s="336"/>
      <c r="AJ36" s="336"/>
      <c r="AK36" s="336"/>
      <c r="AL36" s="336"/>
      <c r="AM36" s="154"/>
      <c r="AP36" s="85"/>
    </row>
    <row r="37" spans="2:16384" ht="12.75" customHeight="1">
      <c r="B37" s="136" t="str">
        <f>VLOOKUP('Filtered Data'!D1,'Filtered Data'!L1:O6,2,FALSE)</f>
        <v>Districts</v>
      </c>
      <c r="C37" s="136"/>
      <c r="D37" s="136"/>
      <c r="E37" s="136"/>
      <c r="F37" s="136"/>
      <c r="G37" s="136"/>
      <c r="H37" s="136"/>
      <c r="I37" s="136"/>
      <c r="J37" s="334" t="s">
        <v>802</v>
      </c>
      <c r="K37" s="137" t="str">
        <f>IF(Q37="","",IF('Filtered Data'!I8="D",IF($L$35&gt;=L37,"J","L"),IF('Filtered Data'!I8="A",IF($L$35&lt;=L37,"J","L"))))</f>
        <v>L</v>
      </c>
      <c r="L37" s="328">
        <f>'Filtered Data'!M9</f>
        <v>19.388059701492537</v>
      </c>
      <c r="M37" s="328"/>
      <c r="N37" s="328"/>
      <c r="O37" s="328"/>
      <c r="P37" s="138"/>
      <c r="Q37" s="330">
        <f>VLOOKUP(J5,'Filtered Data'!C:I,7,FALSE)</f>
        <v>125</v>
      </c>
      <c r="R37" s="330"/>
      <c r="S37" s="139"/>
      <c r="T37" s="140" t="s">
        <v>356</v>
      </c>
      <c r="U37" s="141"/>
      <c r="V37" s="330">
        <f>COUNT('Filtered Data'!I11:I363)</f>
        <v>201</v>
      </c>
      <c r="W37" s="330"/>
      <c r="AB37" s="336"/>
      <c r="AC37" s="336"/>
      <c r="AD37" s="336"/>
      <c r="AE37" s="336"/>
      <c r="AF37" s="336"/>
      <c r="AG37" s="336"/>
      <c r="AH37" s="336"/>
      <c r="AI37" s="336"/>
      <c r="AJ37" s="336"/>
      <c r="AK37" s="336"/>
      <c r="AL37" s="336"/>
      <c r="AM37" s="154"/>
      <c r="AP37" s="85"/>
    </row>
    <row r="38" spans="2:16384">
      <c r="B38" s="136" t="str">
        <f>IF('Filtered Data'!D1="L","Family",IF('Filtered Data'!D1="SD",VLOOKUP(J5,classifications!C:J,6,FALSE),"Rural"))</f>
        <v xml:space="preserve">Mainly Rural (rural including hub towns &gt;=80%) </v>
      </c>
      <c r="C38" s="136"/>
      <c r="D38" s="136"/>
      <c r="E38" s="136"/>
      <c r="F38" s="136"/>
      <c r="G38" s="136"/>
      <c r="H38" s="136"/>
      <c r="I38" s="136"/>
      <c r="J38" s="335"/>
      <c r="K38" s="137" t="str">
        <f>IF(Q38="","",IF('Filtered Data'!I8="D",IF($L$35&gt;=L38,"J","L"),IF('Filtered Data'!I8="A",IF($L$35&lt;=L38,"J","L"))))</f>
        <v>L</v>
      </c>
      <c r="L38" s="328">
        <f>IF('Filtered Data'!D1="L",'Filtered Data'!AG9,'Filtered Data'!Y9)</f>
        <v>19.304347826086957</v>
      </c>
      <c r="M38" s="328"/>
      <c r="N38" s="328"/>
      <c r="O38" s="328"/>
      <c r="P38" s="138"/>
      <c r="Q38" s="333">
        <f>IF(ISERROR(IF('Filtered Data'!D1="L",VLOOKUP(J5,'Filtered Data'!AF11:AH26,3,FALSE),VLOOKUP(J5,'Filtered Data'!$L$11:$Z$363,15,FALSE))),"",(IF('Filtered Data'!D1="L",VLOOKUP(J5,'Filtered Data'!AF11:AH26,3,FALSE),VLOOKUP(J5,'Filtered Data'!$L$11:$Z$363,15,FALSE))))</f>
        <v>28</v>
      </c>
      <c r="R38" s="333"/>
      <c r="S38" s="329" t="s">
        <v>356</v>
      </c>
      <c r="T38" s="328"/>
      <c r="U38" s="328"/>
      <c r="V38" s="330">
        <f>IF('Filtered Data'!D1="L",16,COUNT('Filtered Data'!Z:Z))</f>
        <v>46</v>
      </c>
      <c r="W38" s="330"/>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5"/>
      <c r="K39" s="137" t="str">
        <f>IF(Q39="","",IF('Filtered Data'!I8="D",IF($L$35&gt;=L39,"J","L"),IF('Filtered Data'!I8="A",IF($L$35&lt;=L39,"J","L"))))</f>
        <v>L</v>
      </c>
      <c r="L39" s="328">
        <f>IF('Filtered Data'!D1="L","",'Filtered Data'!AG9)</f>
        <v>17.875</v>
      </c>
      <c r="M39" s="328"/>
      <c r="N39" s="328"/>
      <c r="O39" s="328"/>
      <c r="P39" s="138"/>
      <c r="Q39" s="330">
        <f>IF(ISERROR(IF('Filtered Data'!D1="L","",'Filtered Data'!AH11)),"",(IF('Filtered Data'!D1="L","",'Filtered Data'!AH11)))</f>
        <v>11</v>
      </c>
      <c r="R39" s="330"/>
      <c r="S39" s="139"/>
      <c r="T39" s="141" t="str">
        <f>IF(B39="","","out of")</f>
        <v>out of</v>
      </c>
      <c r="U39" s="141"/>
      <c r="V39" s="330">
        <f>IF('Filtered Data'!D1="L","",16)</f>
        <v>16</v>
      </c>
      <c r="W39" s="330"/>
      <c r="Z39" s="13" t="s">
        <v>360</v>
      </c>
      <c r="AB39" s="336" t="s">
        <v>362</v>
      </c>
      <c r="AC39" s="336"/>
      <c r="AD39" s="336"/>
      <c r="AE39" s="336"/>
      <c r="AF39" s="336"/>
      <c r="AG39" s="336"/>
      <c r="AH39" s="336"/>
      <c r="AI39" s="336"/>
      <c r="AJ39" s="336"/>
      <c r="AK39" s="336"/>
      <c r="AL39" s="336"/>
      <c r="AM39" s="336"/>
      <c r="AP39" s="85"/>
    </row>
    <row r="40" spans="2:16384" ht="12.75" customHeight="1">
      <c r="B40" s="136" t="str">
        <f>IF('Filtered Data'!D1="L","",IF('Filtered Data'!D1="SD",J10,"Regional"))</f>
        <v>Cumbria</v>
      </c>
      <c r="C40" s="136"/>
      <c r="D40" s="136"/>
      <c r="E40" s="136"/>
      <c r="F40" s="136"/>
      <c r="G40" s="136"/>
      <c r="H40" s="136"/>
      <c r="I40" s="136"/>
      <c r="J40" s="335"/>
      <c r="K40" s="137" t="str">
        <f>IF(Q40="","",IF('Filtered Data'!I8="D",IF($L$35&gt;=L40,"J","L"),IF('Filtered Data'!I8="A",IF($L$35&lt;=L40,"J","L"))))</f>
        <v>J</v>
      </c>
      <c r="L40" s="328">
        <f>IF('Filtered Data'!D1="L","",IF('Filtered Data'!D1="SD",'Filtered Data'!AJ9,'Filtered Data'!AQ9))</f>
        <v>22.666666666666668</v>
      </c>
      <c r="M40" s="328"/>
      <c r="N40" s="328"/>
      <c r="O40" s="328"/>
      <c r="P40" s="138"/>
      <c r="Q40" s="330">
        <f>IF(ISERROR(IF('Filtered Data'!D1="L","",IF('Filtered Data'!D1="SD",VLOOKUP(J5,'Filtered Data'!L:AK,26,FALSE),(VLOOKUP(J5,'Filtered Data'!L:AR,33,FALSE))))),"",(IF('Filtered Data'!D1="L","",IF('Filtered Data'!D1="SD",VLOOKUP(J5,'Filtered Data'!L:AK,26,FALSE),(VLOOKUP(J5,'Filtered Data'!L:AR,33,FALSE))))))</f>
        <v>3</v>
      </c>
      <c r="R40" s="330"/>
      <c r="S40" s="328" t="str">
        <f>IF(B40="","","out of")</f>
        <v>out of</v>
      </c>
      <c r="T40" s="329"/>
      <c r="U40" s="329"/>
      <c r="V40" s="330">
        <f>IF('Filtered Data'!D1="L","",IF('Filtered Data'!D1="SD",COUNT('Filtered Data'!AK11:AK363),(COUNT('Filtered Data'!AQ11:AQ363))))</f>
        <v>6</v>
      </c>
      <c r="W40" s="330"/>
      <c r="AB40" s="336"/>
      <c r="AC40" s="336"/>
      <c r="AD40" s="336"/>
      <c r="AE40" s="336"/>
      <c r="AF40" s="336"/>
      <c r="AG40" s="336"/>
      <c r="AH40" s="336"/>
      <c r="AI40" s="336"/>
      <c r="AJ40" s="336"/>
      <c r="AK40" s="336"/>
      <c r="AL40" s="336"/>
      <c r="AM40" s="336"/>
      <c r="AP40" s="85"/>
    </row>
    <row r="41" spans="2:16384">
      <c r="B41" s="150"/>
      <c r="C41" s="150"/>
      <c r="D41" s="150"/>
      <c r="E41" s="150"/>
      <c r="F41" s="150"/>
      <c r="G41" s="150"/>
      <c r="H41" s="150"/>
      <c r="I41" s="150"/>
      <c r="J41" s="149"/>
      <c r="K41" s="151" t="str">
        <f>IF(B41="","",IF('Filtered Data'!D1="UA","",(IF($L$35&gt;=L41,"J","L"))))</f>
        <v/>
      </c>
      <c r="L41" s="348"/>
      <c r="M41" s="348"/>
      <c r="N41" s="348"/>
      <c r="O41" s="348"/>
      <c r="P41" s="152"/>
      <c r="Q41" s="338"/>
      <c r="R41" s="338"/>
      <c r="S41" s="332"/>
      <c r="T41" s="332"/>
      <c r="U41" s="332"/>
      <c r="V41" s="338"/>
      <c r="W41" s="338"/>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4" t="s">
        <v>358</v>
      </c>
      <c r="C43" s="345"/>
      <c r="D43" s="345"/>
      <c r="E43" s="345"/>
      <c r="F43" s="345"/>
      <c r="G43" s="345"/>
      <c r="H43" s="345"/>
      <c r="I43" s="345"/>
      <c r="J43" s="345"/>
      <c r="K43" s="345"/>
      <c r="L43" s="345"/>
      <c r="M43" s="345"/>
      <c r="N43" s="345"/>
      <c r="O43" s="340" t="str">
        <f>W6&amp;" - "&amp;W12</f>
        <v>Housing Benefit - New Claims - Q3 2014/15</v>
      </c>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1"/>
      <c r="AP43" s="85"/>
    </row>
    <row r="44" spans="2:16384">
      <c r="B44" s="346"/>
      <c r="C44" s="347"/>
      <c r="D44" s="347"/>
      <c r="E44" s="347"/>
      <c r="F44" s="347"/>
      <c r="G44" s="347"/>
      <c r="H44" s="347"/>
      <c r="I44" s="347"/>
      <c r="J44" s="347"/>
      <c r="K44" s="347"/>
      <c r="L44" s="347"/>
      <c r="M44" s="347"/>
      <c r="N44" s="347"/>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3"/>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797</v>
      </c>
      <c r="L47" s="18"/>
      <c r="M47" s="18" t="s">
        <v>798</v>
      </c>
      <c r="N47" s="18"/>
      <c r="O47" s="6" t="s">
        <v>799</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322">
        <f>IF('Filtered Data'!$H$8="..",L35,L35*100)</f>
        <v>21</v>
      </c>
      <c r="F48" s="322"/>
      <c r="G48" s="322"/>
      <c r="H48" s="322"/>
      <c r="I48" s="6"/>
      <c r="J48" s="6"/>
      <c r="K48" s="280">
        <f>IF('Filtered Data'!$H$8="..",K$32,K$32*100)</f>
        <v>15</v>
      </c>
      <c r="L48" s="280"/>
      <c r="M48" s="280">
        <f>IF('Filtered Data'!$H$8="..",T$32,T$32*100)</f>
        <v>19</v>
      </c>
      <c r="N48" s="280"/>
      <c r="O48" s="280">
        <f>IF('Filtered Data'!$H$8="..",AC$32,AC$32*100)</f>
        <v>23</v>
      </c>
      <c r="P48" s="280"/>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322">
        <f>IF('Filtered Data'!$H$8="..",L37,L37*100)</f>
        <v>19.388059701492537</v>
      </c>
      <c r="F49" s="322"/>
      <c r="G49" s="322"/>
      <c r="H49" s="322"/>
      <c r="I49" s="6"/>
      <c r="J49" s="6"/>
      <c r="K49" s="280">
        <f>IF('Filtered Data'!$H$8="..",K$32,K$32*100)</f>
        <v>15</v>
      </c>
      <c r="L49" s="280"/>
      <c r="M49" s="280">
        <f>IF('Filtered Data'!$H$8="..",T$32,T$32*100)</f>
        <v>19</v>
      </c>
      <c r="N49" s="280"/>
      <c r="O49" s="280">
        <f>IF('Filtered Data'!$H$8="..",AC$32,AC$32*100)</f>
        <v>23</v>
      </c>
      <c r="P49" s="280"/>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2">
        <f>IF('Filtered Data'!$H$8="..",L39,L39*100)</f>
        <v>17.875</v>
      </c>
      <c r="F50" s="322"/>
      <c r="G50" s="322"/>
      <c r="H50" s="322"/>
      <c r="I50" s="6"/>
      <c r="J50" s="6"/>
      <c r="K50" s="280">
        <f>IF('Filtered Data'!$H$8="..",K$32,K$32*100)</f>
        <v>15</v>
      </c>
      <c r="L50" s="280"/>
      <c r="M50" s="280">
        <f>IF('Filtered Data'!$H$8="..",T$32,T$32*100)</f>
        <v>19</v>
      </c>
      <c r="N50" s="280"/>
      <c r="O50" s="280">
        <f>IF('Filtered Data'!$H$8="..",AC$32,AC$32*100)</f>
        <v>23</v>
      </c>
      <c r="P50" s="280"/>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322">
        <f>IF('Filtered Data'!$H$8="..",L40,L40*100)</f>
        <v>22.666666666666668</v>
      </c>
      <c r="F51" s="322"/>
      <c r="G51" s="322"/>
      <c r="H51" s="322"/>
      <c r="I51" s="6"/>
      <c r="J51" s="6"/>
      <c r="K51" s="280">
        <f>IF('Filtered Data'!$H$8="..",K$32,K$32*100)</f>
        <v>15</v>
      </c>
      <c r="L51" s="280"/>
      <c r="M51" s="280">
        <f>IF('Filtered Data'!$H$8="..",T$32,T$32*100)</f>
        <v>19</v>
      </c>
      <c r="N51" s="280"/>
      <c r="O51" s="280">
        <f>IF('Filtered Data'!$H$8="..",AC$32,AC$32*100)</f>
        <v>23</v>
      </c>
      <c r="P51" s="280"/>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 xml:space="preserve">Mainly Rural (rural including hub towns &gt;=80%) </v>
      </c>
      <c r="E52" s="322">
        <f>IF('Filtered Data'!$H$8="..",L38,L38*100)</f>
        <v>19.304347826086957</v>
      </c>
      <c r="F52" s="322"/>
      <c r="G52" s="322"/>
      <c r="H52" s="322"/>
      <c r="I52" s="6"/>
      <c r="J52" s="6"/>
      <c r="K52" s="280">
        <f>IF('Filtered Data'!$H$8="..",K$32,K$32*100)</f>
        <v>15</v>
      </c>
      <c r="L52" s="280"/>
      <c r="M52" s="280">
        <f>IF('Filtered Data'!$H$8="..",T$32,T$32*100)</f>
        <v>19</v>
      </c>
      <c r="N52" s="280"/>
      <c r="O52" s="280">
        <f>IF('Filtered Data'!$H$8="..",AC$32,AC$32*100)</f>
        <v>23</v>
      </c>
      <c r="P52" s="280"/>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4"/>
      <c r="F53" s="354"/>
      <c r="G53" s="354"/>
      <c r="H53" s="354"/>
      <c r="I53" s="6"/>
      <c r="J53" s="6"/>
      <c r="K53" s="280"/>
      <c r="L53" s="280"/>
      <c r="M53" s="280"/>
      <c r="N53" s="280"/>
      <c r="O53" s="280"/>
      <c r="P53" s="280"/>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9" t="str">
        <f>B3</f>
        <v>Speed of Processing</v>
      </c>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P59" s="85"/>
    </row>
    <row r="60" spans="2:42">
      <c r="AP60" s="85"/>
    </row>
    <row r="61" spans="2:42" ht="12" customHeight="1">
      <c r="B61" s="1" t="str">
        <f>W6&amp;" - "&amp;W12</f>
        <v>Housing Benefit - New Claims - Q3 2014/15</v>
      </c>
      <c r="AP61" s="85"/>
    </row>
    <row r="62" spans="2:42" ht="12" customHeight="1">
      <c r="AP62" s="85"/>
    </row>
    <row r="63" spans="2:42" ht="12" customHeight="1">
      <c r="B63" s="1" t="s">
        <v>364</v>
      </c>
      <c r="AP63" s="85"/>
    </row>
    <row r="64" spans="2:42" ht="12" customHeight="1">
      <c r="AP64" s="85"/>
    </row>
    <row r="65" spans="2:42" ht="12" customHeight="1">
      <c r="B65" s="292" t="s">
        <v>355</v>
      </c>
      <c r="C65" s="292"/>
      <c r="D65" s="292"/>
      <c r="E65" s="286" t="s">
        <v>334</v>
      </c>
      <c r="F65" s="286"/>
      <c r="G65" s="286"/>
      <c r="H65" s="286"/>
      <c r="I65" s="286"/>
      <c r="J65" s="286"/>
      <c r="K65" s="286"/>
      <c r="L65" s="286"/>
      <c r="M65" s="286"/>
      <c r="N65" s="286"/>
      <c r="O65" s="286"/>
      <c r="P65" s="286"/>
      <c r="Q65" s="286"/>
      <c r="R65" s="286"/>
      <c r="S65" s="286"/>
      <c r="T65" s="286"/>
      <c r="U65" s="292" t="s">
        <v>366</v>
      </c>
      <c r="V65" s="292"/>
      <c r="W65" s="292"/>
      <c r="X65" s="292"/>
      <c r="Y65" s="24"/>
      <c r="Z65" s="24"/>
      <c r="AA65" s="24"/>
      <c r="AB65" s="24"/>
      <c r="AC65" s="23"/>
      <c r="AD65" s="24"/>
      <c r="AE65" s="24"/>
      <c r="AF65" s="24"/>
      <c r="AG65" s="24"/>
      <c r="AH65" s="11"/>
      <c r="AI65" s="24"/>
      <c r="AJ65" s="24"/>
      <c r="AK65" s="24"/>
      <c r="AL65" s="24"/>
      <c r="AP65" s="85"/>
    </row>
    <row r="66" spans="2:42" ht="12" customHeight="1">
      <c r="B66" s="326">
        <v>1</v>
      </c>
      <c r="C66" s="283"/>
      <c r="D66" s="283"/>
      <c r="E66" s="284" t="str">
        <f>VLOOKUP(B66,'Filtered Data'!K:L,2,FALSE)</f>
        <v>Boston</v>
      </c>
      <c r="F66" s="284"/>
      <c r="G66" s="284"/>
      <c r="H66" s="284"/>
      <c r="I66" s="284"/>
      <c r="J66" s="284"/>
      <c r="K66" s="284"/>
      <c r="L66" s="284"/>
      <c r="M66" s="284"/>
      <c r="N66" s="284"/>
      <c r="O66" s="284"/>
      <c r="P66" s="284"/>
      <c r="Q66" s="284"/>
      <c r="R66" s="284"/>
      <c r="S66" s="284"/>
      <c r="T66" s="284"/>
      <c r="U66" s="291">
        <f>IF('Filtered Data'!$H$8="%.",(VLOOKUP(B66,'Filtered Data'!K:M,3,FALSE))/100,VLOOKUP(B66,'Filtered Data'!K:M,3,FALSE))</f>
        <v>4</v>
      </c>
      <c r="V66" s="291"/>
      <c r="W66" s="291"/>
      <c r="X66" s="291"/>
      <c r="Y66" s="184" t="str">
        <f>IF((VLOOKUP(E66,classifications!C:K,9,FALSE))="Sparse","S","")</f>
        <v>S</v>
      </c>
      <c r="Z66" s="184"/>
      <c r="AA66" s="184"/>
      <c r="AB66" s="184"/>
      <c r="AC66" s="184"/>
      <c r="AD66" s="289"/>
      <c r="AE66" s="289"/>
      <c r="AF66" s="289"/>
      <c r="AG66" s="289"/>
      <c r="AH66" s="289"/>
      <c r="AI66" s="289"/>
      <c r="AJ66" s="289"/>
      <c r="AK66" s="289"/>
      <c r="AL66" s="289"/>
      <c r="AP66" s="85"/>
    </row>
    <row r="67" spans="2:42" ht="12" customHeight="1">
      <c r="B67" s="326">
        <v>2</v>
      </c>
      <c r="C67" s="283"/>
      <c r="D67" s="283"/>
      <c r="E67" s="284" t="str">
        <f>VLOOKUP(B67,'Filtered Data'!K:L,2,FALSE)</f>
        <v>Fareham</v>
      </c>
      <c r="F67" s="284"/>
      <c r="G67" s="284"/>
      <c r="H67" s="284"/>
      <c r="I67" s="284"/>
      <c r="J67" s="284"/>
      <c r="K67" s="284"/>
      <c r="L67" s="284"/>
      <c r="M67" s="284"/>
      <c r="N67" s="284"/>
      <c r="O67" s="284"/>
      <c r="P67" s="284"/>
      <c r="Q67" s="284"/>
      <c r="R67" s="284"/>
      <c r="S67" s="284"/>
      <c r="T67" s="284"/>
      <c r="U67" s="291">
        <f>IF('Filtered Data'!$H$8="%.",(VLOOKUP(B67,'Filtered Data'!K:M,3,FALSE))/100,VLOOKUP(B67,'Filtered Data'!K:M,3,FALSE))</f>
        <v>5</v>
      </c>
      <c r="V67" s="291"/>
      <c r="W67" s="291"/>
      <c r="X67" s="291"/>
      <c r="Y67" s="184" t="str">
        <f>IF((VLOOKUP(E67,classifications!C:K,9,FALSE))="Sparse","S","")</f>
        <v/>
      </c>
      <c r="Z67" s="184"/>
      <c r="AA67" s="184"/>
      <c r="AB67" s="184"/>
      <c r="AC67" s="184"/>
      <c r="AD67" s="289"/>
      <c r="AE67" s="289"/>
      <c r="AF67" s="289"/>
      <c r="AG67" s="289"/>
      <c r="AH67" s="289"/>
      <c r="AI67" s="289"/>
      <c r="AJ67" s="289"/>
      <c r="AK67" s="289"/>
      <c r="AL67" s="289"/>
      <c r="AP67" s="85"/>
    </row>
    <row r="68" spans="2:42" ht="12" customHeight="1">
      <c r="B68" s="326">
        <v>3</v>
      </c>
      <c r="C68" s="283"/>
      <c r="D68" s="283"/>
      <c r="E68" s="284" t="str">
        <f>VLOOKUP(B68,'Filtered Data'!K:L,2,FALSE)</f>
        <v>Rushmoor</v>
      </c>
      <c r="F68" s="284"/>
      <c r="G68" s="284"/>
      <c r="H68" s="284"/>
      <c r="I68" s="284"/>
      <c r="J68" s="284"/>
      <c r="K68" s="284"/>
      <c r="L68" s="284"/>
      <c r="M68" s="284"/>
      <c r="N68" s="284"/>
      <c r="O68" s="284"/>
      <c r="P68" s="284"/>
      <c r="Q68" s="284"/>
      <c r="R68" s="284"/>
      <c r="S68" s="284"/>
      <c r="T68" s="284"/>
      <c r="U68" s="291">
        <f>IF('Filtered Data'!$H$8="%.",(VLOOKUP(B68,'Filtered Data'!K:M,3,FALSE))/100,VLOOKUP(B68,'Filtered Data'!K:M,3,FALSE))</f>
        <v>5</v>
      </c>
      <c r="V68" s="291"/>
      <c r="W68" s="291"/>
      <c r="X68" s="291"/>
      <c r="Y68" s="184" t="str">
        <f>IF((VLOOKUP(E68,classifications!C:K,9,FALSE))="Sparse","S","")</f>
        <v/>
      </c>
      <c r="Z68" s="184"/>
      <c r="AA68" s="184"/>
      <c r="AB68" s="184"/>
      <c r="AC68" s="184"/>
      <c r="AD68" s="289"/>
      <c r="AE68" s="289"/>
      <c r="AF68" s="289"/>
      <c r="AG68" s="289"/>
      <c r="AH68" s="289"/>
      <c r="AI68" s="289"/>
      <c r="AJ68" s="289"/>
      <c r="AK68" s="289"/>
      <c r="AL68" s="289"/>
      <c r="AP68" s="85"/>
    </row>
    <row r="69" spans="2:42" ht="12" customHeight="1">
      <c r="B69" s="326">
        <v>4</v>
      </c>
      <c r="C69" s="283"/>
      <c r="D69" s="283"/>
      <c r="E69" s="284" t="str">
        <f>VLOOKUP(B69,'Filtered Data'!K:L,2,FALSE)</f>
        <v>Sedgemoor</v>
      </c>
      <c r="F69" s="284"/>
      <c r="G69" s="284"/>
      <c r="H69" s="284"/>
      <c r="I69" s="284"/>
      <c r="J69" s="284"/>
      <c r="K69" s="284"/>
      <c r="L69" s="284"/>
      <c r="M69" s="284"/>
      <c r="N69" s="284"/>
      <c r="O69" s="284"/>
      <c r="P69" s="284"/>
      <c r="Q69" s="284"/>
      <c r="R69" s="284"/>
      <c r="S69" s="284"/>
      <c r="T69" s="284"/>
      <c r="U69" s="291">
        <f>IF('Filtered Data'!$H$8="%.",(VLOOKUP(B69,'Filtered Data'!K:M,3,FALSE))/100,VLOOKUP(B69,'Filtered Data'!K:M,3,FALSE))</f>
        <v>6</v>
      </c>
      <c r="V69" s="291"/>
      <c r="W69" s="291"/>
      <c r="X69" s="291"/>
      <c r="Y69" s="184" t="str">
        <f>IF((VLOOKUP(E69,classifications!C:K,9,FALSE))="Sparse","S","")</f>
        <v>S</v>
      </c>
      <c r="Z69" s="184"/>
      <c r="AA69" s="184"/>
      <c r="AB69" s="184"/>
      <c r="AC69" s="184"/>
      <c r="AD69" s="289"/>
      <c r="AE69" s="289"/>
      <c r="AF69" s="289"/>
      <c r="AG69" s="289"/>
      <c r="AH69" s="289"/>
      <c r="AI69" s="289"/>
      <c r="AJ69" s="289"/>
      <c r="AK69" s="289"/>
      <c r="AL69" s="289"/>
      <c r="AP69" s="85"/>
    </row>
    <row r="70" spans="2:42" ht="12" customHeight="1">
      <c r="B70" s="326">
        <v>5</v>
      </c>
      <c r="C70" s="283"/>
      <c r="D70" s="283"/>
      <c r="E70" s="284" t="str">
        <f>VLOOKUP(B70,'Filtered Data'!K:L,2,FALSE)</f>
        <v>Tendring</v>
      </c>
      <c r="F70" s="284"/>
      <c r="G70" s="284"/>
      <c r="H70" s="284"/>
      <c r="I70" s="284"/>
      <c r="J70" s="284"/>
      <c r="K70" s="284"/>
      <c r="L70" s="284"/>
      <c r="M70" s="284"/>
      <c r="N70" s="284"/>
      <c r="O70" s="284"/>
      <c r="P70" s="284"/>
      <c r="Q70" s="284"/>
      <c r="R70" s="284"/>
      <c r="S70" s="284"/>
      <c r="T70" s="284"/>
      <c r="U70" s="291">
        <f>IF('Filtered Data'!$H$8="%.",(VLOOKUP(B70,'Filtered Data'!K:M,3,FALSE))/100,VLOOKUP(B70,'Filtered Data'!K:M,3,FALSE))</f>
        <v>8</v>
      </c>
      <c r="V70" s="291"/>
      <c r="W70" s="291"/>
      <c r="X70" s="291"/>
      <c r="Y70" s="184" t="str">
        <f>IF((VLOOKUP(E70,classifications!C:K,9,FALSE))="Sparse","S","")</f>
        <v/>
      </c>
      <c r="Z70" s="184"/>
      <c r="AA70" s="184"/>
      <c r="AB70" s="184"/>
      <c r="AC70" s="184"/>
      <c r="AD70" s="289"/>
      <c r="AE70" s="289"/>
      <c r="AF70" s="289"/>
      <c r="AG70" s="289"/>
      <c r="AH70" s="289"/>
      <c r="AI70" s="289"/>
      <c r="AJ70" s="289"/>
      <c r="AK70" s="289"/>
      <c r="AL70" s="289"/>
      <c r="AP70" s="85"/>
    </row>
    <row r="71" spans="2:42" ht="12" customHeight="1">
      <c r="B71" s="326">
        <v>6</v>
      </c>
      <c r="C71" s="283"/>
      <c r="D71" s="283"/>
      <c r="E71" s="284" t="str">
        <f>VLOOKUP(B71,'Filtered Data'!K:L,2,FALSE)</f>
        <v>Elmbridge</v>
      </c>
      <c r="F71" s="284"/>
      <c r="G71" s="284"/>
      <c r="H71" s="284"/>
      <c r="I71" s="284"/>
      <c r="J71" s="284"/>
      <c r="K71" s="284"/>
      <c r="L71" s="284"/>
      <c r="M71" s="284"/>
      <c r="N71" s="284"/>
      <c r="O71" s="284"/>
      <c r="P71" s="284"/>
      <c r="Q71" s="284"/>
      <c r="R71" s="284"/>
      <c r="S71" s="284"/>
      <c r="T71" s="284"/>
      <c r="U71" s="291">
        <f>IF('Filtered Data'!$H$8="%.",(VLOOKUP(B71,'Filtered Data'!K:M,3,FALSE))/100,VLOOKUP(B71,'Filtered Data'!K:M,3,FALSE))</f>
        <v>9</v>
      </c>
      <c r="V71" s="291"/>
      <c r="W71" s="291"/>
      <c r="X71" s="291"/>
      <c r="Y71" s="184" t="str">
        <f>IF((VLOOKUP(E71,classifications!C:K,9,FALSE))="Sparse","S","")</f>
        <v/>
      </c>
      <c r="Z71" s="184"/>
      <c r="AA71" s="184"/>
      <c r="AB71" s="184"/>
      <c r="AC71" s="184"/>
      <c r="AD71" s="289"/>
      <c r="AE71" s="289"/>
      <c r="AF71" s="289"/>
      <c r="AG71" s="289"/>
      <c r="AH71" s="289"/>
      <c r="AI71" s="289"/>
      <c r="AJ71" s="289"/>
      <c r="AK71" s="289"/>
      <c r="AL71" s="289"/>
      <c r="AP71" s="85"/>
    </row>
    <row r="72" spans="2:42" ht="12" customHeight="1">
      <c r="B72" s="326">
        <v>7</v>
      </c>
      <c r="C72" s="283"/>
      <c r="D72" s="283"/>
      <c r="E72" s="284" t="str">
        <f>VLOOKUP(B72,'Filtered Data'!K:L,2,FALSE)</f>
        <v>South Northamptonshire</v>
      </c>
      <c r="F72" s="284"/>
      <c r="G72" s="284"/>
      <c r="H72" s="284"/>
      <c r="I72" s="284"/>
      <c r="J72" s="284"/>
      <c r="K72" s="284"/>
      <c r="L72" s="284"/>
      <c r="M72" s="284"/>
      <c r="N72" s="284"/>
      <c r="O72" s="284"/>
      <c r="P72" s="284"/>
      <c r="Q72" s="284"/>
      <c r="R72" s="284"/>
      <c r="S72" s="284"/>
      <c r="T72" s="284"/>
      <c r="U72" s="291">
        <f>IF('Filtered Data'!$H$8="%.",(VLOOKUP(B72,'Filtered Data'!K:M,3,FALSE))/100,VLOOKUP(B72,'Filtered Data'!K:M,3,FALSE))</f>
        <v>9</v>
      </c>
      <c r="V72" s="291"/>
      <c r="W72" s="291"/>
      <c r="X72" s="291"/>
      <c r="Y72" s="184" t="str">
        <f>IF((VLOOKUP(E72,classifications!C:K,9,FALSE))="Sparse","S","")</f>
        <v>S</v>
      </c>
      <c r="Z72" s="184"/>
      <c r="AA72" s="184"/>
      <c r="AB72" s="184"/>
      <c r="AC72" s="184"/>
      <c r="AD72" s="289"/>
      <c r="AE72" s="289"/>
      <c r="AF72" s="289"/>
      <c r="AG72" s="289"/>
      <c r="AH72" s="289"/>
      <c r="AI72" s="289"/>
      <c r="AJ72" s="289"/>
      <c r="AK72" s="289"/>
      <c r="AL72" s="289"/>
      <c r="AP72" s="85"/>
    </row>
    <row r="73" spans="2:42" ht="12" customHeight="1">
      <c r="B73" s="326">
        <v>8</v>
      </c>
      <c r="C73" s="283"/>
      <c r="D73" s="283"/>
      <c r="E73" s="284" t="str">
        <f>VLOOKUP(B73,'Filtered Data'!K:L,2,FALSE)</f>
        <v>Rushcliffe</v>
      </c>
      <c r="F73" s="284"/>
      <c r="G73" s="284"/>
      <c r="H73" s="284"/>
      <c r="I73" s="284"/>
      <c r="J73" s="284"/>
      <c r="K73" s="284"/>
      <c r="L73" s="284"/>
      <c r="M73" s="284"/>
      <c r="N73" s="284"/>
      <c r="O73" s="284"/>
      <c r="P73" s="284"/>
      <c r="Q73" s="284"/>
      <c r="R73" s="284"/>
      <c r="S73" s="284"/>
      <c r="T73" s="284"/>
      <c r="U73" s="291">
        <f>IF('Filtered Data'!$H$8="%.",(VLOOKUP(B73,'Filtered Data'!K:M,3,FALSE))/100,VLOOKUP(B73,'Filtered Data'!K:M,3,FALSE))</f>
        <v>10</v>
      </c>
      <c r="V73" s="291"/>
      <c r="W73" s="291"/>
      <c r="X73" s="291"/>
      <c r="Y73" s="184" t="str">
        <f>IF((VLOOKUP(E73,classifications!C:K,9,FALSE))="Sparse","S","")</f>
        <v/>
      </c>
      <c r="Z73" s="184"/>
      <c r="AA73" s="184"/>
      <c r="AB73" s="184"/>
      <c r="AC73" s="184"/>
      <c r="AD73" s="289"/>
      <c r="AE73" s="289"/>
      <c r="AF73" s="289"/>
      <c r="AG73" s="289"/>
      <c r="AH73" s="289"/>
      <c r="AI73" s="289"/>
      <c r="AJ73" s="289"/>
      <c r="AK73" s="289"/>
      <c r="AL73" s="289"/>
      <c r="AP73" s="85"/>
    </row>
    <row r="74" spans="2:42" ht="12" customHeight="1">
      <c r="B74" s="326">
        <v>9</v>
      </c>
      <c r="C74" s="283"/>
      <c r="D74" s="283"/>
      <c r="E74" s="284" t="str">
        <f>VLOOKUP(B74,'Filtered Data'!K:L,2,FALSE)</f>
        <v>South Norfolk</v>
      </c>
      <c r="F74" s="284"/>
      <c r="G74" s="284"/>
      <c r="H74" s="284"/>
      <c r="I74" s="284"/>
      <c r="J74" s="284"/>
      <c r="K74" s="284"/>
      <c r="L74" s="284"/>
      <c r="M74" s="284"/>
      <c r="N74" s="284"/>
      <c r="O74" s="284"/>
      <c r="P74" s="284"/>
      <c r="Q74" s="284"/>
      <c r="R74" s="284"/>
      <c r="S74" s="284"/>
      <c r="T74" s="284"/>
      <c r="U74" s="291">
        <f>IF('Filtered Data'!$H$8="%.",(VLOOKUP(B74,'Filtered Data'!K:M,3,FALSE))/100,VLOOKUP(B74,'Filtered Data'!K:M,3,FALSE))</f>
        <v>10</v>
      </c>
      <c r="V74" s="291"/>
      <c r="W74" s="291"/>
      <c r="X74" s="291"/>
      <c r="Y74" s="184" t="str">
        <f>IF((VLOOKUP(E74,classifications!C:K,9,FALSE))="Sparse","S","")</f>
        <v>S</v>
      </c>
      <c r="Z74" s="184"/>
      <c r="AA74" s="184"/>
      <c r="AB74" s="184"/>
      <c r="AC74" s="184"/>
      <c r="AD74" s="289"/>
      <c r="AE74" s="289"/>
      <c r="AF74" s="289"/>
      <c r="AG74" s="289"/>
      <c r="AH74" s="289"/>
      <c r="AI74" s="289"/>
      <c r="AJ74" s="289"/>
      <c r="AK74" s="289"/>
      <c r="AL74" s="289"/>
      <c r="AP74" s="85"/>
    </row>
    <row r="75" spans="2:42" ht="12" customHeight="1">
      <c r="B75" s="326">
        <v>10</v>
      </c>
      <c r="C75" s="283"/>
      <c r="D75" s="283"/>
      <c r="E75" s="284" t="str">
        <f>VLOOKUP(B75,'Filtered Data'!K:L,2,FALSE)</f>
        <v>Dover</v>
      </c>
      <c r="F75" s="284"/>
      <c r="G75" s="284"/>
      <c r="H75" s="284"/>
      <c r="I75" s="284"/>
      <c r="J75" s="284"/>
      <c r="K75" s="284"/>
      <c r="L75" s="284"/>
      <c r="M75" s="284"/>
      <c r="N75" s="284"/>
      <c r="O75" s="284"/>
      <c r="P75" s="284"/>
      <c r="Q75" s="284"/>
      <c r="R75" s="284"/>
      <c r="S75" s="284"/>
      <c r="T75" s="284"/>
      <c r="U75" s="291">
        <f>IF('Filtered Data'!$H$8="%.",(VLOOKUP(B75,'Filtered Data'!K:M,3,FALSE))/100,VLOOKUP(B75,'Filtered Data'!K:M,3,FALSE))</f>
        <v>11</v>
      </c>
      <c r="V75" s="291"/>
      <c r="W75" s="291"/>
      <c r="X75" s="291"/>
      <c r="Y75" s="184" t="str">
        <f>IF((VLOOKUP(E75,classifications!C:K,9,FALSE))="Sparse","S","")</f>
        <v>S</v>
      </c>
      <c r="Z75" s="184"/>
      <c r="AA75" s="184"/>
      <c r="AB75" s="184"/>
      <c r="AC75" s="184"/>
      <c r="AD75" s="289"/>
      <c r="AE75" s="289"/>
      <c r="AF75" s="289"/>
      <c r="AG75" s="289"/>
      <c r="AH75" s="289"/>
      <c r="AI75" s="289"/>
      <c r="AJ75" s="289"/>
      <c r="AK75" s="289"/>
      <c r="AL75" s="289"/>
      <c r="AP75" s="85"/>
    </row>
    <row r="76" spans="2:42" ht="12" customHeight="1">
      <c r="B76" s="326">
        <v>11</v>
      </c>
      <c r="C76" s="283"/>
      <c r="D76" s="283"/>
      <c r="E76" s="284" t="str">
        <f>VLOOKUP(B76,'Filtered Data'!K:L,2,FALSE)</f>
        <v>Gedling</v>
      </c>
      <c r="F76" s="284"/>
      <c r="G76" s="284"/>
      <c r="H76" s="284"/>
      <c r="I76" s="284"/>
      <c r="J76" s="284"/>
      <c r="K76" s="284"/>
      <c r="L76" s="284"/>
      <c r="M76" s="284"/>
      <c r="N76" s="284"/>
      <c r="O76" s="284"/>
      <c r="P76" s="284"/>
      <c r="Q76" s="284"/>
      <c r="R76" s="284"/>
      <c r="S76" s="284"/>
      <c r="T76" s="284"/>
      <c r="U76" s="291">
        <f>IF('Filtered Data'!$H$8="%.",(VLOOKUP(B76,'Filtered Data'!K:M,3,FALSE))/100,VLOOKUP(B76,'Filtered Data'!K:M,3,FALSE))</f>
        <v>11</v>
      </c>
      <c r="V76" s="291"/>
      <c r="W76" s="291"/>
      <c r="X76" s="291"/>
      <c r="Y76" s="184" t="str">
        <f>IF((VLOOKUP(E76,classifications!C:K,9,FALSE))="Sparse","S","")</f>
        <v/>
      </c>
      <c r="Z76" s="184"/>
      <c r="AA76" s="184"/>
      <c r="AB76" s="184"/>
      <c r="AC76" s="184"/>
      <c r="AD76" s="289"/>
      <c r="AE76" s="289"/>
      <c r="AF76" s="289"/>
      <c r="AG76" s="289"/>
      <c r="AH76" s="289"/>
      <c r="AI76" s="289"/>
      <c r="AJ76" s="289"/>
      <c r="AK76" s="289"/>
      <c r="AL76" s="289"/>
      <c r="AP76" s="85"/>
    </row>
    <row r="77" spans="2:42" ht="12" customHeight="1">
      <c r="B77" s="326">
        <v>12</v>
      </c>
      <c r="C77" s="283"/>
      <c r="D77" s="283"/>
      <c r="E77" s="284" t="str">
        <f>VLOOKUP(B77,'Filtered Data'!K:L,2,FALSE)</f>
        <v>Maldon</v>
      </c>
      <c r="F77" s="284"/>
      <c r="G77" s="284"/>
      <c r="H77" s="284"/>
      <c r="I77" s="284"/>
      <c r="J77" s="284"/>
      <c r="K77" s="284"/>
      <c r="L77" s="284"/>
      <c r="M77" s="284"/>
      <c r="N77" s="284"/>
      <c r="O77" s="284"/>
      <c r="P77" s="284"/>
      <c r="Q77" s="284"/>
      <c r="R77" s="284"/>
      <c r="S77" s="284"/>
      <c r="T77" s="284"/>
      <c r="U77" s="291">
        <f>IF('Filtered Data'!$H$8="%.",(VLOOKUP(B77,'Filtered Data'!K:M,3,FALSE))/100,VLOOKUP(B77,'Filtered Data'!K:M,3,FALSE))</f>
        <v>11</v>
      </c>
      <c r="V77" s="291"/>
      <c r="W77" s="291"/>
      <c r="X77" s="291"/>
      <c r="Y77" s="184" t="str">
        <f>IF((VLOOKUP(E77,classifications!C:K,9,FALSE))="Sparse","S","")</f>
        <v>S</v>
      </c>
      <c r="Z77" s="184"/>
      <c r="AA77" s="184"/>
      <c r="AB77" s="184"/>
      <c r="AC77" s="184"/>
      <c r="AD77" s="289"/>
      <c r="AE77" s="289"/>
      <c r="AF77" s="289"/>
      <c r="AG77" s="289"/>
      <c r="AH77" s="289"/>
      <c r="AI77" s="289"/>
      <c r="AJ77" s="289"/>
      <c r="AK77" s="289"/>
      <c r="AL77" s="289"/>
      <c r="AP77" s="85"/>
    </row>
    <row r="78" spans="2:42" ht="12" customHeight="1">
      <c r="B78" s="326">
        <v>13</v>
      </c>
      <c r="C78" s="283"/>
      <c r="D78" s="283"/>
      <c r="E78" s="284" t="str">
        <f>VLOOKUP(B78,'Filtered Data'!K:L,2,FALSE)</f>
        <v>North Kesteven</v>
      </c>
      <c r="F78" s="284"/>
      <c r="G78" s="284"/>
      <c r="H78" s="284"/>
      <c r="I78" s="284"/>
      <c r="J78" s="284"/>
      <c r="K78" s="284"/>
      <c r="L78" s="284"/>
      <c r="M78" s="284"/>
      <c r="N78" s="284"/>
      <c r="O78" s="284"/>
      <c r="P78" s="284"/>
      <c r="Q78" s="284"/>
      <c r="R78" s="284"/>
      <c r="S78" s="284"/>
      <c r="T78" s="284"/>
      <c r="U78" s="291">
        <f>IF('Filtered Data'!$H$8="%.",(VLOOKUP(B78,'Filtered Data'!K:M,3,FALSE))/100,VLOOKUP(B78,'Filtered Data'!K:M,3,FALSE))</f>
        <v>11</v>
      </c>
      <c r="V78" s="291"/>
      <c r="W78" s="291"/>
      <c r="X78" s="291"/>
      <c r="Y78" s="184" t="str">
        <f>IF((VLOOKUP(E78,classifications!C:K,9,FALSE))="Sparse","S","")</f>
        <v>S</v>
      </c>
      <c r="Z78" s="184"/>
      <c r="AA78" s="184"/>
      <c r="AB78" s="184"/>
      <c r="AC78" s="184"/>
      <c r="AD78" s="289"/>
      <c r="AE78" s="289"/>
      <c r="AF78" s="289"/>
      <c r="AG78" s="289"/>
      <c r="AH78" s="289"/>
      <c r="AI78" s="289"/>
      <c r="AJ78" s="289"/>
      <c r="AK78" s="289"/>
      <c r="AL78" s="289"/>
      <c r="AP78" s="85"/>
    </row>
    <row r="79" spans="2:42" ht="12" customHeight="1">
      <c r="B79" s="326">
        <v>14</v>
      </c>
      <c r="C79" s="283"/>
      <c r="D79" s="283"/>
      <c r="E79" s="284" t="str">
        <f>VLOOKUP(B79,'Filtered Data'!K:L,2,FALSE)</f>
        <v>South Kesteven</v>
      </c>
      <c r="F79" s="284"/>
      <c r="G79" s="284"/>
      <c r="H79" s="284"/>
      <c r="I79" s="284"/>
      <c r="J79" s="284"/>
      <c r="K79" s="284"/>
      <c r="L79" s="284"/>
      <c r="M79" s="284"/>
      <c r="N79" s="284"/>
      <c r="O79" s="284"/>
      <c r="P79" s="284"/>
      <c r="Q79" s="284"/>
      <c r="R79" s="284"/>
      <c r="S79" s="284"/>
      <c r="T79" s="284"/>
      <c r="U79" s="291">
        <f>IF('Filtered Data'!$H$8="%.",(VLOOKUP(B79,'Filtered Data'!K:M,3,FALSE))/100,VLOOKUP(B79,'Filtered Data'!K:M,3,FALSE))</f>
        <v>11</v>
      </c>
      <c r="V79" s="291"/>
      <c r="W79" s="291"/>
      <c r="X79" s="291"/>
      <c r="Y79" s="184" t="str">
        <f>IF((VLOOKUP(E79,classifications!C:K,9,FALSE))="Sparse","S","")</f>
        <v>S</v>
      </c>
      <c r="Z79" s="184"/>
      <c r="AA79" s="184"/>
      <c r="AB79" s="184"/>
      <c r="AC79" s="184"/>
      <c r="AD79" s="289"/>
      <c r="AE79" s="289"/>
      <c r="AF79" s="289"/>
      <c r="AG79" s="289"/>
      <c r="AH79" s="289"/>
      <c r="AI79" s="289"/>
      <c r="AJ79" s="289"/>
      <c r="AK79" s="289"/>
      <c r="AL79" s="289"/>
      <c r="AP79" s="85"/>
    </row>
    <row r="80" spans="2:42" ht="12" customHeight="1">
      <c r="B80" s="326">
        <v>15</v>
      </c>
      <c r="C80" s="283"/>
      <c r="D80" s="283"/>
      <c r="E80" s="284" t="str">
        <f>VLOOKUP(B80,'Filtered Data'!K:L,2,FALSE)</f>
        <v>Tewkesbury</v>
      </c>
      <c r="F80" s="284"/>
      <c r="G80" s="284"/>
      <c r="H80" s="284"/>
      <c r="I80" s="284"/>
      <c r="J80" s="284"/>
      <c r="K80" s="284"/>
      <c r="L80" s="284"/>
      <c r="M80" s="284"/>
      <c r="N80" s="284"/>
      <c r="O80" s="284"/>
      <c r="P80" s="284"/>
      <c r="Q80" s="284"/>
      <c r="R80" s="284"/>
      <c r="S80" s="284"/>
      <c r="T80" s="284"/>
      <c r="U80" s="291">
        <f>IF('Filtered Data'!$H$8="%.",(VLOOKUP(B80,'Filtered Data'!K:M,3,FALSE))/100,VLOOKUP(B80,'Filtered Data'!K:M,3,FALSE))</f>
        <v>11</v>
      </c>
      <c r="V80" s="291"/>
      <c r="W80" s="291"/>
      <c r="X80" s="291"/>
      <c r="Y80" s="184" t="str">
        <f>IF((VLOOKUP(E80,classifications!C:K,9,FALSE))="Sparse","S","")</f>
        <v>S</v>
      </c>
      <c r="Z80" s="184"/>
      <c r="AA80" s="184"/>
      <c r="AB80" s="184"/>
      <c r="AC80" s="184"/>
      <c r="AD80" s="289"/>
      <c r="AE80" s="289"/>
      <c r="AF80" s="289"/>
      <c r="AG80" s="289"/>
      <c r="AH80" s="289"/>
      <c r="AI80" s="289"/>
      <c r="AJ80" s="289"/>
      <c r="AK80" s="289"/>
      <c r="AL80" s="289"/>
      <c r="AP80" s="85"/>
    </row>
    <row r="81" spans="1:42" ht="12" customHeight="1">
      <c r="B81" s="326">
        <v>16</v>
      </c>
      <c r="C81" s="283"/>
      <c r="D81" s="283"/>
      <c r="E81" s="284" t="str">
        <f>VLOOKUP(B81,'Filtered Data'!K:L,2,FALSE)</f>
        <v>Tonbridge &amp; Malling</v>
      </c>
      <c r="F81" s="284"/>
      <c r="G81" s="284"/>
      <c r="H81" s="284"/>
      <c r="I81" s="284"/>
      <c r="J81" s="284"/>
      <c r="K81" s="284"/>
      <c r="L81" s="284"/>
      <c r="M81" s="284"/>
      <c r="N81" s="284"/>
      <c r="O81" s="284"/>
      <c r="P81" s="284"/>
      <c r="Q81" s="284"/>
      <c r="R81" s="284"/>
      <c r="S81" s="284"/>
      <c r="T81" s="284"/>
      <c r="U81" s="291">
        <f>IF('Filtered Data'!$H$8="%.",(VLOOKUP(B81,'Filtered Data'!K:M,3,FALSE))/100,VLOOKUP(B81,'Filtered Data'!K:M,3,FALSE))</f>
        <v>11</v>
      </c>
      <c r="V81" s="291"/>
      <c r="W81" s="291"/>
      <c r="X81" s="291"/>
      <c r="Y81" s="184" t="str">
        <f>IF((VLOOKUP(E81,classifications!C:K,9,FALSE))="Sparse","S","")</f>
        <v/>
      </c>
      <c r="Z81" s="184"/>
      <c r="AA81" s="184"/>
      <c r="AB81" s="184"/>
      <c r="AC81" s="184"/>
      <c r="AD81" s="289"/>
      <c r="AE81" s="289"/>
      <c r="AF81" s="289"/>
      <c r="AG81" s="289"/>
      <c r="AH81" s="289"/>
      <c r="AI81" s="289"/>
      <c r="AJ81" s="289"/>
      <c r="AK81" s="289"/>
      <c r="AL81" s="289"/>
      <c r="AP81" s="85"/>
    </row>
    <row r="82" spans="1:42" ht="12" customHeight="1">
      <c r="B82" s="326">
        <v>17</v>
      </c>
      <c r="C82" s="283"/>
      <c r="D82" s="283"/>
      <c r="E82" s="284" t="str">
        <f>VLOOKUP(B82,'Filtered Data'!K:L,2,FALSE)</f>
        <v>East Devon</v>
      </c>
      <c r="F82" s="284"/>
      <c r="G82" s="284"/>
      <c r="H82" s="284"/>
      <c r="I82" s="284"/>
      <c r="J82" s="284"/>
      <c r="K82" s="284"/>
      <c r="L82" s="284"/>
      <c r="M82" s="284"/>
      <c r="N82" s="284"/>
      <c r="O82" s="284"/>
      <c r="P82" s="284"/>
      <c r="Q82" s="284"/>
      <c r="R82" s="284"/>
      <c r="S82" s="284"/>
      <c r="T82" s="284"/>
      <c r="U82" s="291">
        <f>IF('Filtered Data'!$H$8="%.",(VLOOKUP(B82,'Filtered Data'!K:M,3,FALSE))/100,VLOOKUP(B82,'Filtered Data'!K:M,3,FALSE))</f>
        <v>12</v>
      </c>
      <c r="V82" s="291"/>
      <c r="W82" s="291"/>
      <c r="X82" s="291"/>
      <c r="Y82" s="184" t="str">
        <f>IF((VLOOKUP(E82,classifications!C:K,9,FALSE))="Sparse","S","")</f>
        <v>S</v>
      </c>
      <c r="Z82" s="184"/>
      <c r="AA82" s="184"/>
      <c r="AB82" s="184"/>
      <c r="AC82" s="184"/>
      <c r="AD82" s="289"/>
      <c r="AE82" s="289"/>
      <c r="AF82" s="289"/>
      <c r="AG82" s="289"/>
      <c r="AH82" s="289"/>
      <c r="AI82" s="289"/>
      <c r="AJ82" s="289"/>
      <c r="AK82" s="289"/>
      <c r="AL82" s="289"/>
      <c r="AP82" s="85"/>
    </row>
    <row r="83" spans="1:42" ht="12" customHeight="1">
      <c r="B83" s="326">
        <v>18</v>
      </c>
      <c r="C83" s="283"/>
      <c r="D83" s="283"/>
      <c r="E83" s="284" t="str">
        <f>VLOOKUP(B83,'Filtered Data'!K:L,2,FALSE)</f>
        <v>North Devon</v>
      </c>
      <c r="F83" s="284"/>
      <c r="G83" s="284"/>
      <c r="H83" s="284"/>
      <c r="I83" s="284"/>
      <c r="J83" s="284"/>
      <c r="K83" s="284"/>
      <c r="L83" s="284"/>
      <c r="M83" s="284"/>
      <c r="N83" s="284"/>
      <c r="O83" s="284"/>
      <c r="P83" s="284"/>
      <c r="Q83" s="284"/>
      <c r="R83" s="284"/>
      <c r="S83" s="284"/>
      <c r="T83" s="284"/>
      <c r="U83" s="291">
        <f>IF('Filtered Data'!$H$8="%.",(VLOOKUP(B83,'Filtered Data'!K:M,3,FALSE))/100,VLOOKUP(B83,'Filtered Data'!K:M,3,FALSE))</f>
        <v>12</v>
      </c>
      <c r="V83" s="291"/>
      <c r="W83" s="291"/>
      <c r="X83" s="291"/>
      <c r="Y83" s="184" t="str">
        <f>IF((VLOOKUP(E83,classifications!C:K,9,FALSE))="Sparse","S","")</f>
        <v>S</v>
      </c>
      <c r="Z83" s="184"/>
      <c r="AA83" s="184"/>
      <c r="AB83" s="184"/>
      <c r="AC83" s="184"/>
      <c r="AD83" s="289"/>
      <c r="AE83" s="289"/>
      <c r="AF83" s="289"/>
      <c r="AG83" s="289"/>
      <c r="AH83" s="289"/>
      <c r="AI83" s="289"/>
      <c r="AJ83" s="289"/>
      <c r="AK83" s="289"/>
      <c r="AL83" s="289"/>
      <c r="AP83" s="85"/>
    </row>
    <row r="84" spans="1:42" ht="12" customHeight="1">
      <c r="B84" s="326">
        <v>19</v>
      </c>
      <c r="C84" s="283"/>
      <c r="D84" s="283"/>
      <c r="E84" s="284" t="str">
        <f>VLOOKUP(B84,'Filtered Data'!K:L,2,FALSE)</f>
        <v>Oxford</v>
      </c>
      <c r="F84" s="284"/>
      <c r="G84" s="284"/>
      <c r="H84" s="284"/>
      <c r="I84" s="284"/>
      <c r="J84" s="284"/>
      <c r="K84" s="284"/>
      <c r="L84" s="284"/>
      <c r="M84" s="284"/>
      <c r="N84" s="284"/>
      <c r="O84" s="284"/>
      <c r="P84" s="284"/>
      <c r="Q84" s="284"/>
      <c r="R84" s="284"/>
      <c r="S84" s="284"/>
      <c r="T84" s="284"/>
      <c r="U84" s="291">
        <f>IF('Filtered Data'!$H$8="%.",(VLOOKUP(B84,'Filtered Data'!K:M,3,FALSE))/100,VLOOKUP(B84,'Filtered Data'!K:M,3,FALSE))</f>
        <v>12</v>
      </c>
      <c r="V84" s="291"/>
      <c r="W84" s="291"/>
      <c r="X84" s="291"/>
      <c r="Y84" s="184" t="str">
        <f>IF((VLOOKUP(E84,classifications!C:K,9,FALSE))="Sparse","S","")</f>
        <v/>
      </c>
      <c r="Z84" s="184"/>
      <c r="AA84" s="184"/>
      <c r="AB84" s="184"/>
      <c r="AC84" s="184"/>
      <c r="AD84" s="289"/>
      <c r="AE84" s="289"/>
      <c r="AF84" s="289"/>
      <c r="AG84" s="289"/>
      <c r="AH84" s="289"/>
      <c r="AI84" s="289"/>
      <c r="AJ84" s="289"/>
      <c r="AK84" s="289"/>
      <c r="AL84" s="289"/>
      <c r="AP84" s="85"/>
    </row>
    <row r="85" spans="1:42" ht="12" customHeight="1">
      <c r="B85" s="326">
        <v>20</v>
      </c>
      <c r="C85" s="326"/>
      <c r="D85" s="326"/>
      <c r="E85" s="284" t="str">
        <f>VLOOKUP(B85,'Filtered Data'!K:L,2,FALSE)</f>
        <v>Vale of White Horse</v>
      </c>
      <c r="F85" s="284"/>
      <c r="G85" s="284"/>
      <c r="H85" s="284"/>
      <c r="I85" s="284"/>
      <c r="J85" s="284"/>
      <c r="K85" s="284"/>
      <c r="L85" s="284"/>
      <c r="M85" s="284"/>
      <c r="N85" s="284"/>
      <c r="O85" s="284"/>
      <c r="P85" s="284"/>
      <c r="Q85" s="284"/>
      <c r="R85" s="284"/>
      <c r="S85" s="284"/>
      <c r="T85" s="284"/>
      <c r="U85" s="291">
        <f>IF('Filtered Data'!$H$8="%.",(VLOOKUP(B85,'Filtered Data'!K:M,3,FALSE))/100,VLOOKUP(B85,'Filtered Data'!K:M,3,FALSE))</f>
        <v>12</v>
      </c>
      <c r="V85" s="291"/>
      <c r="W85" s="291"/>
      <c r="X85" s="291"/>
      <c r="Y85" s="184" t="str">
        <f>IF((VLOOKUP(E85,classifications!C:K,9,FALSE))="Sparse","S","")</f>
        <v>S</v>
      </c>
      <c r="Z85" s="184"/>
      <c r="AA85" s="184"/>
      <c r="AB85" s="184"/>
      <c r="AC85" s="184"/>
      <c r="AD85" s="289"/>
      <c r="AE85" s="289"/>
      <c r="AF85" s="289"/>
      <c r="AG85" s="289"/>
      <c r="AH85" s="289"/>
      <c r="AI85" s="289"/>
      <c r="AJ85" s="289"/>
      <c r="AK85" s="289"/>
      <c r="AL85" s="289"/>
      <c r="AP85" s="85"/>
    </row>
    <row r="86" spans="1:42" ht="12" customHeight="1">
      <c r="A86" s="80"/>
      <c r="B86" s="355">
        <f>IF(Q37&lt;=MAX(B66:D85),"",Q37)</f>
        <v>125</v>
      </c>
      <c r="C86" s="355"/>
      <c r="D86" s="355"/>
      <c r="E86" s="285" t="str">
        <f>IF(B86="","",VLOOKUP(B86,'Filtered Data'!K:L,2,FALSE))</f>
        <v>Allerdale</v>
      </c>
      <c r="F86" s="285"/>
      <c r="G86" s="285"/>
      <c r="H86" s="285"/>
      <c r="I86" s="285"/>
      <c r="J86" s="285"/>
      <c r="K86" s="285"/>
      <c r="L86" s="285"/>
      <c r="M86" s="285"/>
      <c r="N86" s="285"/>
      <c r="O86" s="285"/>
      <c r="P86" s="285"/>
      <c r="Q86" s="285"/>
      <c r="R86" s="285"/>
      <c r="S86" s="285"/>
      <c r="T86" s="285"/>
      <c r="U86" s="293">
        <f>IF(B86="","",L35)</f>
        <v>21</v>
      </c>
      <c r="V86" s="293"/>
      <c r="W86" s="293"/>
      <c r="X86" s="293"/>
      <c r="Y86" s="184" t="str">
        <f>IF(B86="","",IF((VLOOKUP(E86,classifications!C:K,9,FALSE))="Sparse","S",""))</f>
        <v>S</v>
      </c>
      <c r="Z86" s="184"/>
      <c r="AA86" s="184"/>
      <c r="AB86" s="184"/>
      <c r="AC86" s="184"/>
      <c r="AD86" s="290"/>
      <c r="AE86" s="290"/>
      <c r="AF86" s="290"/>
      <c r="AG86" s="290"/>
      <c r="AH86" s="290"/>
      <c r="AI86" s="290"/>
      <c r="AJ86" s="290"/>
      <c r="AK86" s="290"/>
      <c r="AL86" s="290"/>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365</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92" t="s">
        <v>355</v>
      </c>
      <c r="C91" s="292"/>
      <c r="D91" s="292"/>
      <c r="E91" s="286" t="s">
        <v>334</v>
      </c>
      <c r="F91" s="286"/>
      <c r="G91" s="286"/>
      <c r="H91" s="286"/>
      <c r="I91" s="286"/>
      <c r="J91" s="286"/>
      <c r="K91" s="286"/>
      <c r="L91" s="286"/>
      <c r="M91" s="286"/>
      <c r="N91" s="286"/>
      <c r="O91" s="292" t="s">
        <v>366</v>
      </c>
      <c r="P91" s="292"/>
      <c r="Q91" s="292"/>
      <c r="U91" s="292" t="str">
        <f>IF('Filtered Data'!D1="MD","",IF('Filtered Data'!D1="SC","","Rank"))</f>
        <v>Rank</v>
      </c>
      <c r="V91" s="292"/>
      <c r="W91" s="292"/>
      <c r="X91" s="286" t="str">
        <f>IF('Filtered Data'!D1="MD","",IF('Filtered Data'!D1="SC","","Authority"))</f>
        <v>Authority</v>
      </c>
      <c r="Y91" s="286"/>
      <c r="Z91" s="286"/>
      <c r="AA91" s="286"/>
      <c r="AB91" s="286"/>
      <c r="AC91" s="286"/>
      <c r="AD91" s="286"/>
      <c r="AE91" s="286"/>
      <c r="AF91" s="286"/>
      <c r="AG91" s="286"/>
      <c r="AH91" s="292" t="str">
        <f>IF('Filtered Data'!D1="MD","",IF('Filtered Data'!D1="SC","","Value"))</f>
        <v>Value</v>
      </c>
      <c r="AI91" s="292"/>
      <c r="AJ91" s="292"/>
      <c r="AP91" s="85"/>
    </row>
    <row r="92" spans="1:42" ht="12" customHeight="1">
      <c r="B92" s="287">
        <v>1</v>
      </c>
      <c r="C92" s="288"/>
      <c r="D92" s="288"/>
      <c r="E92" s="285" t="str">
        <f>IF(ISNA(VLOOKUP(B92,'Filtered Data'!AE:AF,2,FALSE)),"",(VLOOKUP(B92,'Filtered Data'!AE:AF,2,FALSE)))</f>
        <v>Boston</v>
      </c>
      <c r="F92" s="285"/>
      <c r="G92" s="285"/>
      <c r="H92" s="285"/>
      <c r="I92" s="285"/>
      <c r="J92" s="285"/>
      <c r="K92" s="285"/>
      <c r="L92" s="285"/>
      <c r="M92" s="285"/>
      <c r="N92" s="285"/>
      <c r="O92" s="281">
        <f>IF(E92="","",IF('Filtered Data'!$H$8="%.",(VLOOKUP(B92,'Filtered Data'!AE:AG,3,FALSE))/100,VLOOKUP(B92,'Filtered Data'!AE:AG,3,FALSE)))</f>
        <v>4</v>
      </c>
      <c r="P92" s="281"/>
      <c r="Q92" s="281"/>
      <c r="R92" s="281"/>
      <c r="S92" s="185" t="str">
        <f>IF(E92="","",IF((VLOOKUP(E92,classifications!C:K,9,FALSE))="Sparse","S",""))</f>
        <v>S</v>
      </c>
      <c r="U92" s="282">
        <f>IF('Filtered Data'!$D$1="MD","",IF('Filtered Data'!$D$1="SC","",IF('Filtered Data'!$D$1="UA",'Filtered Data'!AS11,'Filtered Data'!AL11)))</f>
        <v>1</v>
      </c>
      <c r="V92" s="283"/>
      <c r="W92" s="283"/>
      <c r="X92" s="284" t="str">
        <f>IF(U92="","",IF('Filtered Data'!$D$1="UA",VLOOKUP(U92,'Filtered Data'!AS:AU,2,FALSE),VLOOKUP(U92,'Filtered Data'!AL:AN,2,FALSE)))</f>
        <v>Barrow-in-Furness</v>
      </c>
      <c r="Y92" s="284"/>
      <c r="Z92" s="284"/>
      <c r="AA92" s="284"/>
      <c r="AB92" s="284"/>
      <c r="AC92" s="284"/>
      <c r="AD92" s="284"/>
      <c r="AE92" s="284"/>
      <c r="AF92" s="284"/>
      <c r="AG92" s="284"/>
      <c r="AH92" s="281">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17</v>
      </c>
      <c r="AI92" s="281"/>
      <c r="AJ92" s="281"/>
      <c r="AK92" s="281"/>
      <c r="AL92" s="185" t="str">
        <f>IF(X92="","",IF((VLOOKUP(X92,classifications!C:K,9,FALSE))="Sparse","S",""))</f>
        <v/>
      </c>
      <c r="AP92" s="85"/>
    </row>
    <row r="93" spans="1:42" ht="12" customHeight="1">
      <c r="B93" s="287">
        <v>2</v>
      </c>
      <c r="C93" s="288"/>
      <c r="D93" s="288"/>
      <c r="E93" s="285" t="str">
        <f>IF(ISNA(VLOOKUP(B93,'Filtered Data'!AE:AF,2,FALSE)),"",(VLOOKUP(B93,'Filtered Data'!AE:AF,2,FALSE)))</f>
        <v>Sedgemoor</v>
      </c>
      <c r="F93" s="285"/>
      <c r="G93" s="285"/>
      <c r="H93" s="285"/>
      <c r="I93" s="285"/>
      <c r="J93" s="285"/>
      <c r="K93" s="285"/>
      <c r="L93" s="285"/>
      <c r="M93" s="285"/>
      <c r="N93" s="285"/>
      <c r="O93" s="281">
        <f>IF(E93="","",IF('Filtered Data'!$H$8="%.",(VLOOKUP(B93,'Filtered Data'!AE:AG,3,FALSE))/100,VLOOKUP(B93,'Filtered Data'!AE:AG,3,FALSE)))</f>
        <v>6</v>
      </c>
      <c r="P93" s="281"/>
      <c r="Q93" s="281"/>
      <c r="R93" s="281"/>
      <c r="S93" s="185" t="str">
        <f>IF(E93="","",IF((VLOOKUP(E93,classifications!C:K,9,FALSE))="Sparse","S",""))</f>
        <v>S</v>
      </c>
      <c r="U93" s="282">
        <f>IF('Filtered Data'!$D$1="MD","",IF('Filtered Data'!$D$1="SC","",IF('Filtered Data'!$D$1="UA",'Filtered Data'!AS12,'Filtered Data'!AL12)))</f>
        <v>2</v>
      </c>
      <c r="V93" s="283"/>
      <c r="W93" s="283"/>
      <c r="X93" s="284" t="str">
        <f>IF(U93="","",IF('Filtered Data'!$D$1="UA",VLOOKUP(U93,'Filtered Data'!AS:AU,2,FALSE),VLOOKUP(U93,'Filtered Data'!AL:AN,2,FALSE)))</f>
        <v>Eden</v>
      </c>
      <c r="Y93" s="284"/>
      <c r="Z93" s="284"/>
      <c r="AA93" s="284"/>
      <c r="AB93" s="284"/>
      <c r="AC93" s="284"/>
      <c r="AD93" s="284"/>
      <c r="AE93" s="284"/>
      <c r="AF93" s="284"/>
      <c r="AG93" s="284"/>
      <c r="AH93" s="281">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19</v>
      </c>
      <c r="AI93" s="281"/>
      <c r="AJ93" s="281"/>
      <c r="AK93" s="281"/>
      <c r="AL93" s="185" t="str">
        <f>IF(X93="","",IF((VLOOKUP(X93,classifications!C:K,9,FALSE))="Sparse","S",""))</f>
        <v>S</v>
      </c>
      <c r="AP93" s="85"/>
    </row>
    <row r="94" spans="1:42" ht="12" customHeight="1">
      <c r="B94" s="287">
        <v>3</v>
      </c>
      <c r="C94" s="288"/>
      <c r="D94" s="288"/>
      <c r="E94" s="285" t="str">
        <f>IF(ISNA(VLOOKUP(B94,'Filtered Data'!AE:AF,2,FALSE)),"",(VLOOKUP(B94,'Filtered Data'!AE:AF,2,FALSE)))</f>
        <v>Dover</v>
      </c>
      <c r="F94" s="285"/>
      <c r="G94" s="285"/>
      <c r="H94" s="285"/>
      <c r="I94" s="285"/>
      <c r="J94" s="285"/>
      <c r="K94" s="285"/>
      <c r="L94" s="285"/>
      <c r="M94" s="285"/>
      <c r="N94" s="285"/>
      <c r="O94" s="281">
        <f>IF(E94="","",IF('Filtered Data'!$H$8="%.",(VLOOKUP(B94,'Filtered Data'!AE:AG,3,FALSE))/100,VLOOKUP(B94,'Filtered Data'!AE:AG,3,FALSE)))</f>
        <v>11</v>
      </c>
      <c r="P94" s="281"/>
      <c r="Q94" s="281"/>
      <c r="R94" s="281"/>
      <c r="S94" s="185" t="str">
        <f>IF(E94="","",IF((VLOOKUP(E94,classifications!C:K,9,FALSE))="Sparse","S",""))</f>
        <v>S</v>
      </c>
      <c r="U94" s="282">
        <f>IF('Filtered Data'!$D$1="MD","",IF('Filtered Data'!$D$1="SC","",IF('Filtered Data'!$D$1="UA",'Filtered Data'!AS13,'Filtered Data'!AL13)))</f>
        <v>3</v>
      </c>
      <c r="V94" s="283"/>
      <c r="W94" s="283"/>
      <c r="X94" s="284" t="str">
        <f>IF(U94="","",IF('Filtered Data'!$D$1="UA",VLOOKUP(U94,'Filtered Data'!AS:AU,2,FALSE),VLOOKUP(U94,'Filtered Data'!AL:AN,2,FALSE)))</f>
        <v>Allerdale</v>
      </c>
      <c r="Y94" s="284"/>
      <c r="Z94" s="284"/>
      <c r="AA94" s="284"/>
      <c r="AB94" s="284"/>
      <c r="AC94" s="284"/>
      <c r="AD94" s="284"/>
      <c r="AE94" s="284"/>
      <c r="AF94" s="284"/>
      <c r="AG94" s="284"/>
      <c r="AH94" s="281">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21</v>
      </c>
      <c r="AI94" s="281"/>
      <c r="AJ94" s="281"/>
      <c r="AK94" s="281"/>
      <c r="AL94" s="185" t="str">
        <f>IF(X94="","",IF((VLOOKUP(X94,classifications!C:K,9,FALSE))="Sparse","S",""))</f>
        <v>S</v>
      </c>
      <c r="AP94" s="85"/>
    </row>
    <row r="95" spans="1:42" ht="12" customHeight="1">
      <c r="B95" s="287">
        <v>4</v>
      </c>
      <c r="C95" s="288"/>
      <c r="D95" s="288"/>
      <c r="E95" s="285" t="str">
        <f>IF(ISNA(VLOOKUP(B95,'Filtered Data'!AE:AF,2,FALSE)),"",(VLOOKUP(B95,'Filtered Data'!AE:AF,2,FALSE)))</f>
        <v>North Devon</v>
      </c>
      <c r="F95" s="285"/>
      <c r="G95" s="285"/>
      <c r="H95" s="285"/>
      <c r="I95" s="285"/>
      <c r="J95" s="285"/>
      <c r="K95" s="285"/>
      <c r="L95" s="285"/>
      <c r="M95" s="285"/>
      <c r="N95" s="285"/>
      <c r="O95" s="281">
        <f>IF(E95="","",IF('Filtered Data'!$H$8="%.",(VLOOKUP(B95,'Filtered Data'!AE:AG,3,FALSE))/100,VLOOKUP(B95,'Filtered Data'!AE:AG,3,FALSE)))</f>
        <v>12</v>
      </c>
      <c r="P95" s="281"/>
      <c r="Q95" s="281"/>
      <c r="R95" s="281"/>
      <c r="S95" s="185" t="str">
        <f>IF(E95="","",IF((VLOOKUP(E95,classifications!C:K,9,FALSE))="Sparse","S",""))</f>
        <v>S</v>
      </c>
      <c r="U95" s="282">
        <f>IF('Filtered Data'!$D$1="MD","",IF('Filtered Data'!$D$1="SC","",IF('Filtered Data'!$D$1="UA",'Filtered Data'!AS14,'Filtered Data'!AL14)))</f>
        <v>4</v>
      </c>
      <c r="V95" s="283"/>
      <c r="W95" s="283"/>
      <c r="X95" s="284" t="str">
        <f>IF(U95="","",IF('Filtered Data'!$D$1="UA",VLOOKUP(U95,'Filtered Data'!AS:AU,2,FALSE),VLOOKUP(U95,'Filtered Data'!AL:AN,2,FALSE)))</f>
        <v>Carlisle</v>
      </c>
      <c r="Y95" s="284"/>
      <c r="Z95" s="284"/>
      <c r="AA95" s="284"/>
      <c r="AB95" s="284"/>
      <c r="AC95" s="284"/>
      <c r="AD95" s="284"/>
      <c r="AE95" s="284"/>
      <c r="AF95" s="284"/>
      <c r="AG95" s="284"/>
      <c r="AH95" s="281">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25</v>
      </c>
      <c r="AI95" s="281"/>
      <c r="AJ95" s="281"/>
      <c r="AK95" s="281"/>
      <c r="AL95" s="185" t="str">
        <f>IF(X95="","",IF((VLOOKUP(X95,classifications!C:K,9,FALSE))="Sparse","S",""))</f>
        <v/>
      </c>
      <c r="AP95" s="85"/>
    </row>
    <row r="96" spans="1:42" ht="12" customHeight="1">
      <c r="B96" s="287">
        <v>5</v>
      </c>
      <c r="C96" s="288"/>
      <c r="D96" s="288"/>
      <c r="E96" s="285" t="str">
        <f>IF(ISNA(VLOOKUP(B96,'Filtered Data'!AE:AF,2,FALSE)),"",(VLOOKUP(B96,'Filtered Data'!AE:AF,2,FALSE)))</f>
        <v>Bassetlaw</v>
      </c>
      <c r="F96" s="285"/>
      <c r="G96" s="285"/>
      <c r="H96" s="285"/>
      <c r="I96" s="285"/>
      <c r="J96" s="285"/>
      <c r="K96" s="285"/>
      <c r="L96" s="285"/>
      <c r="M96" s="285"/>
      <c r="N96" s="285"/>
      <c r="O96" s="281">
        <f>IF(E96="","",IF('Filtered Data'!$H$8="%.",(VLOOKUP(B96,'Filtered Data'!AE:AG,3,FALSE))/100,VLOOKUP(B96,'Filtered Data'!AE:AG,3,FALSE)))</f>
        <v>14</v>
      </c>
      <c r="P96" s="281"/>
      <c r="Q96" s="281"/>
      <c r="R96" s="281"/>
      <c r="S96" s="185" t="str">
        <f>IF(E96="","",IF((VLOOKUP(E96,classifications!C:K,9,FALSE))="Sparse","S",""))</f>
        <v>S</v>
      </c>
      <c r="U96" s="282">
        <f>IF('Filtered Data'!$D$1="MD","",IF('Filtered Data'!$D$1="SC","",IF('Filtered Data'!$D$1="UA",'Filtered Data'!AS15,'Filtered Data'!AL15)))</f>
        <v>5</v>
      </c>
      <c r="V96" s="283"/>
      <c r="W96" s="283"/>
      <c r="X96" s="284" t="str">
        <f>IF(U96="","",IF('Filtered Data'!$D$1="UA",VLOOKUP(U96,'Filtered Data'!AS:AU,2,FALSE),VLOOKUP(U96,'Filtered Data'!AL:AN,2,FALSE)))</f>
        <v>South Lakeland</v>
      </c>
      <c r="Y96" s="284"/>
      <c r="Z96" s="284"/>
      <c r="AA96" s="284"/>
      <c r="AB96" s="284"/>
      <c r="AC96" s="284"/>
      <c r="AD96" s="284"/>
      <c r="AE96" s="284"/>
      <c r="AF96" s="284"/>
      <c r="AG96" s="284"/>
      <c r="AH96" s="281">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26</v>
      </c>
      <c r="AI96" s="281"/>
      <c r="AJ96" s="281"/>
      <c r="AK96" s="281"/>
      <c r="AL96" s="185" t="str">
        <f>IF(X96="","",IF((VLOOKUP(X96,classifications!C:K,9,FALSE))="Sparse","S",""))</f>
        <v>S</v>
      </c>
      <c r="AP96" s="85"/>
    </row>
    <row r="97" spans="2:42" ht="12" customHeight="1">
      <c r="B97" s="287">
        <v>6</v>
      </c>
      <c r="C97" s="288"/>
      <c r="D97" s="288"/>
      <c r="E97" s="285" t="str">
        <f>IF(ISNA(VLOOKUP(B97,'Filtered Data'!AE:AF,2,FALSE)),"",(VLOOKUP(B97,'Filtered Data'!AE:AF,2,FALSE)))</f>
        <v>Amber Valley</v>
      </c>
      <c r="F97" s="285"/>
      <c r="G97" s="285"/>
      <c r="H97" s="285"/>
      <c r="I97" s="285"/>
      <c r="J97" s="285"/>
      <c r="K97" s="285"/>
      <c r="L97" s="285"/>
      <c r="M97" s="285"/>
      <c r="N97" s="285"/>
      <c r="O97" s="281">
        <f>IF(E97="","",IF('Filtered Data'!$H$8="%.",(VLOOKUP(B97,'Filtered Data'!AE:AG,3,FALSE))/100,VLOOKUP(B97,'Filtered Data'!AE:AG,3,FALSE)))</f>
        <v>14</v>
      </c>
      <c r="P97" s="281"/>
      <c r="Q97" s="281"/>
      <c r="R97" s="281"/>
      <c r="S97" s="185" t="str">
        <f>IF(E97="","",IF((VLOOKUP(E97,classifications!C:K,9,FALSE))="Sparse","S",""))</f>
        <v/>
      </c>
      <c r="U97" s="282">
        <f>IF('Filtered Data'!$D$1="MD","",IF('Filtered Data'!$D$1="SC","",IF('Filtered Data'!$D$1="UA",'Filtered Data'!AS16,'Filtered Data'!AL16)))</f>
        <v>6</v>
      </c>
      <c r="V97" s="283"/>
      <c r="W97" s="283"/>
      <c r="X97" s="284" t="str">
        <f>IF(U97="","",IF('Filtered Data'!$D$1="UA",VLOOKUP(U97,'Filtered Data'!AS:AU,2,FALSE),VLOOKUP(U97,'Filtered Data'!AL:AN,2,FALSE)))</f>
        <v>Copeland</v>
      </c>
      <c r="Y97" s="284"/>
      <c r="Z97" s="284"/>
      <c r="AA97" s="284"/>
      <c r="AB97" s="284"/>
      <c r="AC97" s="284"/>
      <c r="AD97" s="284"/>
      <c r="AE97" s="284"/>
      <c r="AF97" s="284"/>
      <c r="AG97" s="284"/>
      <c r="AH97" s="281">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28</v>
      </c>
      <c r="AI97" s="281"/>
      <c r="AJ97" s="281"/>
      <c r="AK97" s="281"/>
      <c r="AL97" s="185" t="str">
        <f>IF(X97="","",IF((VLOOKUP(X97,classifications!C:K,9,FALSE))="Sparse","S",""))</f>
        <v/>
      </c>
      <c r="AP97" s="85"/>
    </row>
    <row r="98" spans="2:42" ht="12" customHeight="1">
      <c r="B98" s="287">
        <v>7</v>
      </c>
      <c r="C98" s="288"/>
      <c r="D98" s="288"/>
      <c r="E98" s="285" t="str">
        <f>IF(ISNA(VLOOKUP(B98,'Filtered Data'!AE:AF,2,FALSE)),"",(VLOOKUP(B98,'Filtered Data'!AE:AF,2,FALSE)))</f>
        <v>Bolsover</v>
      </c>
      <c r="F98" s="285"/>
      <c r="G98" s="285"/>
      <c r="H98" s="285"/>
      <c r="I98" s="285"/>
      <c r="J98" s="285"/>
      <c r="K98" s="285"/>
      <c r="L98" s="285"/>
      <c r="M98" s="285"/>
      <c r="N98" s="285"/>
      <c r="O98" s="281">
        <f>IF(E98="","",IF('Filtered Data'!$H$8="%.",(VLOOKUP(B98,'Filtered Data'!AE:AG,3,FALSE))/100,VLOOKUP(B98,'Filtered Data'!AE:AG,3,FALSE)))</f>
        <v>15</v>
      </c>
      <c r="P98" s="281"/>
      <c r="Q98" s="281"/>
      <c r="R98" s="281"/>
      <c r="S98" s="185" t="str">
        <f>IF(E98="","",IF((VLOOKUP(E98,classifications!C:K,9,FALSE))="Sparse","S",""))</f>
        <v/>
      </c>
      <c r="U98" s="282" t="str">
        <f>IF('Filtered Data'!$D$1="MD","",IF('Filtered Data'!$D$1="SC","",IF('Filtered Data'!$D$1="UA",'Filtered Data'!AS17,'Filtered Data'!AL17)))</f>
        <v/>
      </c>
      <c r="V98" s="283"/>
      <c r="W98" s="283"/>
      <c r="X98" s="284" t="str">
        <f>IF(U98="","",IF('Filtered Data'!$D$1="UA",VLOOKUP(U98,'Filtered Data'!AS:AU,2,FALSE),VLOOKUP(U98,'Filtered Data'!AL:AN,2,FALSE)))</f>
        <v/>
      </c>
      <c r="Y98" s="284"/>
      <c r="Z98" s="284"/>
      <c r="AA98" s="284"/>
      <c r="AB98" s="284"/>
      <c r="AC98" s="284"/>
      <c r="AD98" s="284"/>
      <c r="AE98" s="284"/>
      <c r="AF98" s="284"/>
      <c r="AG98" s="284"/>
      <c r="AH98" s="281"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81"/>
      <c r="AJ98" s="281"/>
      <c r="AK98" s="281"/>
      <c r="AL98" s="185" t="str">
        <f>IF(X98="","",IF((VLOOKUP(X98,classifications!C:K,9,FALSE))="Sparse","S",""))</f>
        <v/>
      </c>
      <c r="AP98" s="85"/>
    </row>
    <row r="99" spans="2:42" ht="12" customHeight="1">
      <c r="B99" s="287">
        <v>8</v>
      </c>
      <c r="C99" s="288"/>
      <c r="D99" s="288"/>
      <c r="E99" s="285" t="str">
        <f>IF(ISNA(VLOOKUP(B99,'Filtered Data'!AE:AF,2,FALSE)),"",(VLOOKUP(B99,'Filtered Data'!AE:AF,2,FALSE)))</f>
        <v>Swale</v>
      </c>
      <c r="F99" s="285"/>
      <c r="G99" s="285"/>
      <c r="H99" s="285"/>
      <c r="I99" s="285"/>
      <c r="J99" s="285"/>
      <c r="K99" s="285"/>
      <c r="L99" s="285"/>
      <c r="M99" s="285"/>
      <c r="N99" s="285"/>
      <c r="O99" s="281">
        <f>IF(E99="","",IF('Filtered Data'!$H$8="%.",(VLOOKUP(B99,'Filtered Data'!AE:AG,3,FALSE))/100,VLOOKUP(B99,'Filtered Data'!AE:AG,3,FALSE)))</f>
        <v>15</v>
      </c>
      <c r="P99" s="281"/>
      <c r="Q99" s="281"/>
      <c r="R99" s="281"/>
      <c r="S99" s="185" t="str">
        <f>IF(E99="","",IF((VLOOKUP(E99,classifications!C:K,9,FALSE))="Sparse","S",""))</f>
        <v/>
      </c>
      <c r="U99" s="282" t="str">
        <f>IF('Filtered Data'!$D$1="MD","",IF('Filtered Data'!$D$1="SC","",IF('Filtered Data'!$D$1="UA",'Filtered Data'!AS18,'Filtered Data'!AL18)))</f>
        <v/>
      </c>
      <c r="V99" s="283"/>
      <c r="W99" s="283"/>
      <c r="X99" s="284" t="str">
        <f>IF(U99="","",IF('Filtered Data'!$D$1="UA",VLOOKUP(U99,'Filtered Data'!AS:AU,2,FALSE),VLOOKUP(U99,'Filtered Data'!AL:AN,2,FALSE)))</f>
        <v/>
      </c>
      <c r="Y99" s="284"/>
      <c r="Z99" s="284"/>
      <c r="AA99" s="284"/>
      <c r="AB99" s="284"/>
      <c r="AC99" s="284"/>
      <c r="AD99" s="284"/>
      <c r="AE99" s="284"/>
      <c r="AF99" s="284"/>
      <c r="AG99" s="284"/>
      <c r="AH99" s="281"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81"/>
      <c r="AJ99" s="281"/>
      <c r="AK99" s="281"/>
      <c r="AL99" s="185" t="str">
        <f>IF(X99="","",IF((VLOOKUP(X99,classifications!C:K,9,FALSE))="Sparse","S",""))</f>
        <v/>
      </c>
      <c r="AP99" s="85"/>
    </row>
    <row r="100" spans="2:42" ht="12" customHeight="1">
      <c r="B100" s="287">
        <v>9</v>
      </c>
      <c r="C100" s="288"/>
      <c r="D100" s="288"/>
      <c r="E100" s="285" t="str">
        <f>IF(ISNA(VLOOKUP(B100,'Filtered Data'!AE:AF,2,FALSE)),"",(VLOOKUP(B100,'Filtered Data'!AE:AF,2,FALSE)))</f>
        <v>Fenland</v>
      </c>
      <c r="F100" s="285"/>
      <c r="G100" s="285"/>
      <c r="H100" s="285"/>
      <c r="I100" s="285"/>
      <c r="J100" s="285"/>
      <c r="K100" s="285"/>
      <c r="L100" s="285"/>
      <c r="M100" s="285"/>
      <c r="N100" s="285"/>
      <c r="O100" s="281">
        <f>IF(E100="","",IF('Filtered Data'!$H$8="%.",(VLOOKUP(B100,'Filtered Data'!AE:AG,3,FALSE))/100,VLOOKUP(B100,'Filtered Data'!AE:AG,3,FALSE)))</f>
        <v>18</v>
      </c>
      <c r="P100" s="281"/>
      <c r="Q100" s="281"/>
      <c r="R100" s="281"/>
      <c r="S100" s="185" t="str">
        <f>IF(E100="","",IF((VLOOKUP(E100,classifications!C:K,9,FALSE))="Sparse","S",""))</f>
        <v>S</v>
      </c>
      <c r="U100" s="282" t="str">
        <f>IF('Filtered Data'!$D$1="MD","",IF('Filtered Data'!$D$1="SC","",IF('Filtered Data'!$D$1="UA",'Filtered Data'!AS19,'Filtered Data'!AL19)))</f>
        <v/>
      </c>
      <c r="V100" s="283"/>
      <c r="W100" s="283"/>
      <c r="X100" s="284" t="str">
        <f>IF(U100="","",IF('Filtered Data'!$D$1="UA",VLOOKUP(U100,'Filtered Data'!AS:AU,2,FALSE),VLOOKUP(U100,'Filtered Data'!AL:AN,2,FALSE)))</f>
        <v/>
      </c>
      <c r="Y100" s="284"/>
      <c r="Z100" s="284"/>
      <c r="AA100" s="284"/>
      <c r="AB100" s="284"/>
      <c r="AC100" s="284"/>
      <c r="AD100" s="284"/>
      <c r="AE100" s="284"/>
      <c r="AF100" s="284"/>
      <c r="AG100" s="284"/>
      <c r="AH100" s="281"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81"/>
      <c r="AJ100" s="281"/>
      <c r="AK100" s="281"/>
      <c r="AL100" s="185" t="str">
        <f>IF(X100="","",IF((VLOOKUP(X100,classifications!C:K,9,FALSE))="Sparse","S",""))</f>
        <v/>
      </c>
      <c r="AP100" s="85"/>
    </row>
    <row r="101" spans="2:42" ht="12" customHeight="1">
      <c r="B101" s="287">
        <v>10</v>
      </c>
      <c r="C101" s="288"/>
      <c r="D101" s="288"/>
      <c r="E101" s="285" t="str">
        <f>IF(ISNA(VLOOKUP(B101,'Filtered Data'!AE:AF,2,FALSE)),"",(VLOOKUP(B101,'Filtered Data'!AE:AF,2,FALSE)))</f>
        <v>North East Derbyshire</v>
      </c>
      <c r="F101" s="285"/>
      <c r="G101" s="285"/>
      <c r="H101" s="285"/>
      <c r="I101" s="285"/>
      <c r="J101" s="285"/>
      <c r="K101" s="285"/>
      <c r="L101" s="285"/>
      <c r="M101" s="285"/>
      <c r="N101" s="285"/>
      <c r="O101" s="281">
        <f>IF(E101="","",IF('Filtered Data'!$H$8="%.",(VLOOKUP(B101,'Filtered Data'!AE:AG,3,FALSE))/100,VLOOKUP(B101,'Filtered Data'!AE:AG,3,FALSE)))</f>
        <v>20</v>
      </c>
      <c r="P101" s="281"/>
      <c r="Q101" s="281"/>
      <c r="R101" s="281"/>
      <c r="S101" s="185" t="str">
        <f>IF(E101="","",IF((VLOOKUP(E101,classifications!C:K,9,FALSE))="Sparse","S",""))</f>
        <v/>
      </c>
      <c r="U101" s="282" t="str">
        <f>IF('Filtered Data'!$D$1="MD","",IF('Filtered Data'!$D$1="SC","",IF('Filtered Data'!$D$1="UA",'Filtered Data'!AS20,'Filtered Data'!AL20)))</f>
        <v/>
      </c>
      <c r="V101" s="283"/>
      <c r="W101" s="283"/>
      <c r="X101" s="284" t="str">
        <f>IF(U101="","",IF('Filtered Data'!$D$1="UA",VLOOKUP(U101,'Filtered Data'!AS:AU,2,FALSE),VLOOKUP(U101,'Filtered Data'!AL:AN,2,FALSE)))</f>
        <v/>
      </c>
      <c r="Y101" s="284"/>
      <c r="Z101" s="284"/>
      <c r="AA101" s="284"/>
      <c r="AB101" s="284"/>
      <c r="AC101" s="284"/>
      <c r="AD101" s="284"/>
      <c r="AE101" s="284"/>
      <c r="AF101" s="284"/>
      <c r="AG101" s="284"/>
      <c r="AH101" s="281"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81"/>
      <c r="AJ101" s="281"/>
      <c r="AK101" s="281"/>
      <c r="AL101" s="185" t="str">
        <f>IF(X101="","",IF((VLOOKUP(X101,classifications!C:K,9,FALSE))="Sparse","S",""))</f>
        <v/>
      </c>
      <c r="AP101" s="85"/>
    </row>
    <row r="102" spans="2:42" ht="12" customHeight="1">
      <c r="B102" s="287">
        <v>11</v>
      </c>
      <c r="C102" s="288"/>
      <c r="D102" s="288"/>
      <c r="E102" s="285" t="str">
        <f>IF(ISNA(VLOOKUP(B102,'Filtered Data'!AE:AF,2,FALSE)),"",(VLOOKUP(B102,'Filtered Data'!AE:AF,2,FALSE)))</f>
        <v>Allerdale</v>
      </c>
      <c r="F102" s="285"/>
      <c r="G102" s="285"/>
      <c r="H102" s="285"/>
      <c r="I102" s="285"/>
      <c r="J102" s="285"/>
      <c r="K102" s="285"/>
      <c r="L102" s="285"/>
      <c r="M102" s="285"/>
      <c r="N102" s="285"/>
      <c r="O102" s="281">
        <f>IF(E102="","",IF('Filtered Data'!$H$8="%.",(VLOOKUP(B102,'Filtered Data'!AE:AG,3,FALSE))/100,VLOOKUP(B102,'Filtered Data'!AE:AG,3,FALSE)))</f>
        <v>21</v>
      </c>
      <c r="P102" s="281"/>
      <c r="Q102" s="281"/>
      <c r="R102" s="281"/>
      <c r="S102" s="185" t="str">
        <f>IF(E102="","",IF((VLOOKUP(E102,classifications!C:K,9,FALSE))="Sparse","S",""))</f>
        <v>S</v>
      </c>
      <c r="U102" s="282" t="str">
        <f>IF('Filtered Data'!$D$1="MD","",IF('Filtered Data'!$D$1="SC","",IF('Filtered Data'!$D$1="UA",'Filtered Data'!AS21,'Filtered Data'!AL21)))</f>
        <v/>
      </c>
      <c r="V102" s="283"/>
      <c r="W102" s="283"/>
      <c r="X102" s="284" t="str">
        <f>IF(U102="","",IF('Filtered Data'!$D$1="UA",VLOOKUP(U102,'Filtered Data'!AS:AU,2,FALSE),VLOOKUP(U102,'Filtered Data'!AL:AN,2,FALSE)))</f>
        <v/>
      </c>
      <c r="Y102" s="284"/>
      <c r="Z102" s="284"/>
      <c r="AA102" s="284"/>
      <c r="AB102" s="284"/>
      <c r="AC102" s="284"/>
      <c r="AD102" s="284"/>
      <c r="AE102" s="284"/>
      <c r="AF102" s="284"/>
      <c r="AG102" s="284"/>
      <c r="AH102" s="281"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81"/>
      <c r="AJ102" s="281"/>
      <c r="AK102" s="281"/>
      <c r="AL102" s="185" t="str">
        <f>IF(X102="","",IF((VLOOKUP(X102,classifications!C:K,9,FALSE))="Sparse","S",""))</f>
        <v/>
      </c>
      <c r="AP102" s="85"/>
    </row>
    <row r="103" spans="2:42" ht="12" customHeight="1">
      <c r="B103" s="287">
        <v>12</v>
      </c>
      <c r="C103" s="287"/>
      <c r="D103" s="287"/>
      <c r="E103" s="285" t="str">
        <f>IF(ISNA(VLOOKUP(B103,'Filtered Data'!AE:AF,2,FALSE)),"",(VLOOKUP(B103,'Filtered Data'!AE:AF,2,FALSE)))</f>
        <v>Scarborough</v>
      </c>
      <c r="F103" s="285"/>
      <c r="G103" s="285"/>
      <c r="H103" s="285"/>
      <c r="I103" s="285"/>
      <c r="J103" s="285"/>
      <c r="K103" s="285"/>
      <c r="L103" s="285"/>
      <c r="M103" s="285"/>
      <c r="N103" s="285"/>
      <c r="O103" s="281">
        <f>IF(E103="","",IF('Filtered Data'!$H$8="%.",(VLOOKUP(B103,'Filtered Data'!AE:AG,3,FALSE))/100,VLOOKUP(B103,'Filtered Data'!AE:AG,3,FALSE)))</f>
        <v>22</v>
      </c>
      <c r="P103" s="281"/>
      <c r="Q103" s="281"/>
      <c r="R103" s="281"/>
      <c r="S103" s="185" t="str">
        <f>IF(E103="","",IF((VLOOKUP(E103,classifications!C:K,9,FALSE))="Sparse","S",""))</f>
        <v>S</v>
      </c>
      <c r="U103" s="282" t="str">
        <f>IF('Filtered Data'!$D$1="MD","",IF('Filtered Data'!$D$1="SC","",IF('Filtered Data'!$D$1="UA",'Filtered Data'!AS22,'Filtered Data'!AL22)))</f>
        <v/>
      </c>
      <c r="V103" s="283"/>
      <c r="W103" s="283"/>
      <c r="X103" s="284" t="str">
        <f>IF(U103="","",IF('Filtered Data'!$D$1="UA",VLOOKUP(U103,'Filtered Data'!AS:AU,2,FALSE),VLOOKUP(U103,'Filtered Data'!AL:AN,2,FALSE)))</f>
        <v/>
      </c>
      <c r="Y103" s="284"/>
      <c r="Z103" s="284"/>
      <c r="AA103" s="284"/>
      <c r="AB103" s="284"/>
      <c r="AC103" s="284"/>
      <c r="AD103" s="284"/>
      <c r="AE103" s="284"/>
      <c r="AF103" s="284"/>
      <c r="AG103" s="284"/>
      <c r="AH103" s="281"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81"/>
      <c r="AJ103" s="281"/>
      <c r="AK103" s="281"/>
      <c r="AL103" s="185" t="str">
        <f>IF(X103="","",IF((VLOOKUP(X103,classifications!C:K,9,FALSE))="Sparse","S",""))</f>
        <v/>
      </c>
      <c r="AP103" s="85"/>
    </row>
    <row r="104" spans="2:42" ht="12" customHeight="1">
      <c r="B104" s="287">
        <v>13</v>
      </c>
      <c r="C104" s="288"/>
      <c r="D104" s="288"/>
      <c r="E104" s="285" t="str">
        <f>IF(ISNA(VLOOKUP(B104,'Filtered Data'!AE:AF,2,FALSE)),"",(VLOOKUP(B104,'Filtered Data'!AE:AF,2,FALSE)))</f>
        <v>Carlisle</v>
      </c>
      <c r="F104" s="285"/>
      <c r="G104" s="285"/>
      <c r="H104" s="285"/>
      <c r="I104" s="285"/>
      <c r="J104" s="285"/>
      <c r="K104" s="285"/>
      <c r="L104" s="285"/>
      <c r="M104" s="285"/>
      <c r="N104" s="285"/>
      <c r="O104" s="281">
        <f>IF(E104="","",IF('Filtered Data'!$H$8="%.",(VLOOKUP(B104,'Filtered Data'!AE:AG,3,FALSE))/100,VLOOKUP(B104,'Filtered Data'!AE:AG,3,FALSE)))</f>
        <v>25</v>
      </c>
      <c r="P104" s="281"/>
      <c r="Q104" s="281"/>
      <c r="R104" s="281"/>
      <c r="S104" s="185" t="str">
        <f>IF(E104="","",IF((VLOOKUP(E104,classifications!C:K,9,FALSE))="Sparse","S",""))</f>
        <v/>
      </c>
      <c r="U104" s="282" t="str">
        <f>IF('Filtered Data'!$D$1="MD","",IF('Filtered Data'!$D$1="SC","",IF('Filtered Data'!$D$1="UA",'Filtered Data'!AS23,'Filtered Data'!AL23)))</f>
        <v/>
      </c>
      <c r="V104" s="283"/>
      <c r="W104" s="283"/>
      <c r="X104" s="284" t="str">
        <f>IF(U104="","",IF('Filtered Data'!$D$1="UA",VLOOKUP(U104,'Filtered Data'!AS:AU,2,FALSE),VLOOKUP(U104,'Filtered Data'!AL:AN,2,FALSE)))</f>
        <v/>
      </c>
      <c r="Y104" s="284"/>
      <c r="Z104" s="284"/>
      <c r="AA104" s="284"/>
      <c r="AB104" s="284"/>
      <c r="AC104" s="284"/>
      <c r="AD104" s="284"/>
      <c r="AE104" s="284"/>
      <c r="AF104" s="284"/>
      <c r="AG104" s="284"/>
      <c r="AH104" s="281"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81"/>
      <c r="AJ104" s="281"/>
      <c r="AK104" s="281"/>
      <c r="AL104" s="185" t="str">
        <f>IF(X104="","",IF((VLOOKUP(X104,classifications!C:K,9,FALSE))="Sparse","S",""))</f>
        <v/>
      </c>
      <c r="AP104" s="85"/>
    </row>
    <row r="105" spans="2:42" ht="12" customHeight="1">
      <c r="B105" s="287">
        <v>14</v>
      </c>
      <c r="C105" s="288"/>
      <c r="D105" s="288"/>
      <c r="E105" s="285" t="str">
        <f>IF(ISNA(VLOOKUP(B105,'Filtered Data'!AE:AF,2,FALSE)),"",(VLOOKUP(B105,'Filtered Data'!AE:AF,2,FALSE)))</f>
        <v>Copeland</v>
      </c>
      <c r="F105" s="285"/>
      <c r="G105" s="285"/>
      <c r="H105" s="285"/>
      <c r="I105" s="285"/>
      <c r="J105" s="285"/>
      <c r="K105" s="285"/>
      <c r="L105" s="285"/>
      <c r="M105" s="285"/>
      <c r="N105" s="285"/>
      <c r="O105" s="281">
        <f>IF(E105="","",IF('Filtered Data'!$H$8="%.",(VLOOKUP(B105,'Filtered Data'!AE:AG,3,FALSE))/100,VLOOKUP(B105,'Filtered Data'!AE:AG,3,FALSE)))</f>
        <v>28</v>
      </c>
      <c r="P105" s="281"/>
      <c r="Q105" s="281"/>
      <c r="R105" s="281"/>
      <c r="S105" s="185" t="str">
        <f>IF(E105="","",IF((VLOOKUP(E105,classifications!C:K,9,FALSE))="Sparse","S",""))</f>
        <v/>
      </c>
      <c r="U105" s="282" t="str">
        <f>IF('Filtered Data'!$D$1="MD","",IF('Filtered Data'!$D$1="SC","",IF('Filtered Data'!$D$1="UA",'Filtered Data'!AS24,'Filtered Data'!AL24)))</f>
        <v/>
      </c>
      <c r="V105" s="283"/>
      <c r="W105" s="283"/>
      <c r="X105" s="284" t="str">
        <f>IF(U105="","",IF('Filtered Data'!$D$1="UA",VLOOKUP(U105,'Filtered Data'!AS:AU,2,FALSE),VLOOKUP(U105,'Filtered Data'!AL:AN,2,FALSE)))</f>
        <v/>
      </c>
      <c r="Y105" s="284"/>
      <c r="Z105" s="284"/>
      <c r="AA105" s="284"/>
      <c r="AB105" s="284"/>
      <c r="AC105" s="284"/>
      <c r="AD105" s="284"/>
      <c r="AE105" s="284"/>
      <c r="AF105" s="284"/>
      <c r="AG105" s="284"/>
      <c r="AH105" s="281"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81"/>
      <c r="AJ105" s="281"/>
      <c r="AK105" s="281"/>
      <c r="AL105" s="185" t="str">
        <f>IF(X105="","",IF((VLOOKUP(X105,classifications!C:K,9,FALSE))="Sparse","S",""))</f>
        <v/>
      </c>
      <c r="AP105" s="85"/>
    </row>
    <row r="106" spans="2:42" ht="12" customHeight="1">
      <c r="B106" s="287">
        <v>15</v>
      </c>
      <c r="C106" s="288"/>
      <c r="D106" s="288"/>
      <c r="E106" s="285" t="str">
        <f>IF(ISNA(VLOOKUP(B106,'Filtered Data'!AE:AF,2,FALSE)),"",(VLOOKUP(B106,'Filtered Data'!AE:AF,2,FALSE)))</f>
        <v>West Lancashire</v>
      </c>
      <c r="F106" s="285"/>
      <c r="G106" s="285"/>
      <c r="H106" s="285"/>
      <c r="I106" s="285"/>
      <c r="J106" s="285"/>
      <c r="K106" s="285"/>
      <c r="L106" s="285"/>
      <c r="M106" s="285"/>
      <c r="N106" s="285"/>
      <c r="O106" s="281">
        <f>IF(E106="","",IF('Filtered Data'!$H$8="%.",(VLOOKUP(B106,'Filtered Data'!AE:AG,3,FALSE))/100,VLOOKUP(B106,'Filtered Data'!AE:AG,3,FALSE)))</f>
        <v>29</v>
      </c>
      <c r="P106" s="281"/>
      <c r="Q106" s="281"/>
      <c r="R106" s="281"/>
      <c r="S106" s="185" t="str">
        <f>IF(E106="","",IF((VLOOKUP(E106,classifications!C:K,9,FALSE))="Sparse","S",""))</f>
        <v/>
      </c>
      <c r="U106" s="282" t="str">
        <f>IF('Filtered Data'!$D$1="MD","",IF('Filtered Data'!$D$1="SC","",IF('Filtered Data'!$D$1="UA",'Filtered Data'!AS25,'Filtered Data'!AL25)))</f>
        <v/>
      </c>
      <c r="V106" s="283"/>
      <c r="W106" s="283"/>
      <c r="X106" s="284" t="str">
        <f>IF(U106="","",IF('Filtered Data'!$D$1="UA",VLOOKUP(U106,'Filtered Data'!AS:AU,2,FALSE),VLOOKUP(U106,'Filtered Data'!AL:AN,2,FALSE)))</f>
        <v/>
      </c>
      <c r="Y106" s="284"/>
      <c r="Z106" s="284"/>
      <c r="AA106" s="284"/>
      <c r="AB106" s="284"/>
      <c r="AC106" s="284"/>
      <c r="AD106" s="284"/>
      <c r="AE106" s="284"/>
      <c r="AF106" s="284"/>
      <c r="AG106" s="284"/>
      <c r="AH106" s="281"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81"/>
      <c r="AJ106" s="281"/>
      <c r="AK106" s="281"/>
      <c r="AL106" s="185" t="str">
        <f>IF(X106="","",IF((VLOOKUP(X106,classifications!C:K,9,FALSE))="Sparse","S",""))</f>
        <v/>
      </c>
      <c r="AP106" s="85"/>
    </row>
    <row r="107" spans="2:42" ht="12" customHeight="1">
      <c r="B107" s="287">
        <v>16</v>
      </c>
      <c r="C107" s="288"/>
      <c r="D107" s="288"/>
      <c r="E107" s="285" t="str">
        <f>IF(ISNA(VLOOKUP(B107,'Filtered Data'!AE:AF,2,FALSE)),"",(VLOOKUP(B107,'Filtered Data'!AE:AF,2,FALSE)))</f>
        <v>Newark &amp; Sherwood</v>
      </c>
      <c r="F107" s="285"/>
      <c r="G107" s="285"/>
      <c r="H107" s="285"/>
      <c r="I107" s="285"/>
      <c r="J107" s="285"/>
      <c r="K107" s="285"/>
      <c r="L107" s="285"/>
      <c r="M107" s="285"/>
      <c r="N107" s="285"/>
      <c r="O107" s="281">
        <f>IF(E107="","",IF('Filtered Data'!$H$8="%.",(VLOOKUP(B107,'Filtered Data'!AE:AG,3,FALSE))/100,VLOOKUP(B107,'Filtered Data'!AE:AG,3,FALSE)))</f>
        <v>32</v>
      </c>
      <c r="P107" s="281"/>
      <c r="Q107" s="281"/>
      <c r="R107" s="281"/>
      <c r="S107" s="185" t="str">
        <f>IF(E107="","",IF((VLOOKUP(E107,classifications!C:K,9,FALSE))="Sparse","S",""))</f>
        <v>S</v>
      </c>
      <c r="U107" s="282" t="str">
        <f>IF('Filtered Data'!$D$1="MD","",IF('Filtered Data'!$D$1="SC","",IF('Filtered Data'!$D$1="UA",'Filtered Data'!AS26,'Filtered Data'!AL26)))</f>
        <v/>
      </c>
      <c r="V107" s="283"/>
      <c r="W107" s="283"/>
      <c r="X107" s="284" t="str">
        <f>IF(U107="","",IF('Filtered Data'!$D$1="UA",VLOOKUP(U107,'Filtered Data'!AS:AU,2,FALSE),VLOOKUP(U107,'Filtered Data'!AL:AN,2,FALSE)))</f>
        <v/>
      </c>
      <c r="Y107" s="284"/>
      <c r="Z107" s="284"/>
      <c r="AA107" s="284"/>
      <c r="AB107" s="284"/>
      <c r="AC107" s="284"/>
      <c r="AD107" s="284"/>
      <c r="AE107" s="284"/>
      <c r="AF107" s="284"/>
      <c r="AG107" s="284"/>
      <c r="AH107" s="281"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81"/>
      <c r="AJ107" s="281"/>
      <c r="AK107" s="281"/>
      <c r="AL107" s="185" t="str">
        <f>IF(X107="","",IF((VLOOKUP(X107,classifications!C:K,9,FALSE))="Sparse","S",""))</f>
        <v/>
      </c>
      <c r="AP107" s="85"/>
    </row>
    <row r="108" spans="2:42" ht="12" customHeight="1">
      <c r="B108" s="283"/>
      <c r="C108" s="283"/>
      <c r="D108" s="283"/>
      <c r="E108" s="286" t="s">
        <v>341</v>
      </c>
      <c r="F108" s="286"/>
      <c r="G108" s="286"/>
      <c r="H108" s="286"/>
      <c r="I108" s="286"/>
      <c r="J108" s="286"/>
      <c r="K108" s="286"/>
      <c r="L108" s="286"/>
      <c r="M108" s="286"/>
      <c r="N108" s="286"/>
      <c r="O108" s="353">
        <f>IF(ISERROR(AVERAGE(O92:O107)),"",AVERAGE(O92:O107))</f>
        <v>17.875</v>
      </c>
      <c r="P108" s="353"/>
      <c r="Q108" s="353"/>
      <c r="R108" s="353"/>
      <c r="S108" s="185"/>
      <c r="U108" s="283"/>
      <c r="V108" s="283"/>
      <c r="W108" s="283"/>
      <c r="X108" s="24" t="str">
        <f>IF('Filtered Data'!D1="MD","",IF('Filtered Data'!D1="SC","","Average"))</f>
        <v>Average</v>
      </c>
      <c r="Y108" s="24"/>
      <c r="Z108" s="24"/>
      <c r="AA108" s="24"/>
      <c r="AB108" s="24"/>
      <c r="AC108" s="24"/>
      <c r="AD108" s="24"/>
      <c r="AE108" s="24"/>
      <c r="AF108" s="24"/>
      <c r="AG108" s="27"/>
      <c r="AH108" s="353">
        <f>L40</f>
        <v>22.666666666666668</v>
      </c>
      <c r="AI108" s="353"/>
      <c r="AJ108" s="353"/>
      <c r="AK108" s="353"/>
      <c r="AP108" s="85"/>
    </row>
    <row r="109" spans="2:42" ht="12" customHeight="1">
      <c r="W109" s="22">
        <f>COUNT(U92:V107)</f>
        <v>6</v>
      </c>
    </row>
    <row r="110" spans="2:42" ht="19.5" customHeight="1">
      <c r="B110" s="349" t="str">
        <f>B3</f>
        <v>Speed of Processing</v>
      </c>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row>
    <row r="111" spans="2:42" ht="12" customHeight="1"/>
    <row r="112" spans="2:42" ht="12" customHeight="1">
      <c r="B112" s="286" t="s">
        <v>374</v>
      </c>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row>
    <row r="113" spans="2:40" ht="12" customHeight="1"/>
    <row r="114" spans="2:40" ht="12" customHeight="1">
      <c r="B114" s="308" t="str">
        <f>W6&amp;" - "&amp;W12</f>
        <v>Housing Benefit - New Claims - Q3 2014/15</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26"/>
    </row>
    <row r="115" spans="2:40" ht="12" customHeight="1">
      <c r="B115" s="311"/>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797</v>
      </c>
      <c r="N117" s="18"/>
      <c r="O117" s="18" t="s">
        <v>798</v>
      </c>
      <c r="P117" s="18"/>
      <c r="Q117" s="6" t="s">
        <v>799</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79">
        <f>IF('Filtered Data'!H8="..",L35,L35*100)</f>
        <v>21</v>
      </c>
      <c r="H118" s="279"/>
      <c r="I118" s="279"/>
      <c r="J118" s="279"/>
      <c r="K118" s="279"/>
      <c r="L118" s="6"/>
      <c r="M118" s="280">
        <f>K$48</f>
        <v>15</v>
      </c>
      <c r="N118" s="280"/>
      <c r="O118" s="280">
        <f>M$48</f>
        <v>19</v>
      </c>
      <c r="P118" s="280"/>
      <c r="Q118" s="280">
        <f>O$48</f>
        <v>23</v>
      </c>
      <c r="R118" s="280"/>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384</v>
      </c>
      <c r="G119" s="279">
        <f>IF('Filtered Data'!H8="%%",(AVERAGEIF('Filtered Data'!AA$10:AA$500,$F119,'Filtered Data'!M$10:M$500))*100,(AVERAGEIF('Filtered Data'!AA$10:AA$500,$F119,'Filtered Data'!M$10:M$500)))</f>
        <v>18.387499999999999</v>
      </c>
      <c r="H119" s="279"/>
      <c r="I119" s="279"/>
      <c r="J119" s="279"/>
      <c r="K119" s="279"/>
      <c r="L119" s="6"/>
      <c r="M119" s="280">
        <f>K$48</f>
        <v>15</v>
      </c>
      <c r="N119" s="280"/>
      <c r="O119" s="280">
        <f>M$48</f>
        <v>19</v>
      </c>
      <c r="P119" s="280"/>
      <c r="Q119" s="280">
        <f>O$48</f>
        <v>23</v>
      </c>
      <c r="R119" s="280"/>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386</v>
      </c>
      <c r="G120" s="279">
        <f>IF('Filtered Data'!H8="%%",(AVERAGEIF('Filtered Data'!AA$10:AA$500,$F120,'Filtered Data'!M$10:M$500))*100,(AVERAGEIF('Filtered Data'!AA$10:AA$500,$F120,'Filtered Data'!M$10:M$500)))</f>
        <v>19.906666666666666</v>
      </c>
      <c r="H120" s="279"/>
      <c r="I120" s="279"/>
      <c r="J120" s="279"/>
      <c r="K120" s="279"/>
      <c r="L120" s="6"/>
      <c r="M120" s="280">
        <f>K$48</f>
        <v>15</v>
      </c>
      <c r="N120" s="280"/>
      <c r="O120" s="280">
        <f>M$48</f>
        <v>19</v>
      </c>
      <c r="P120" s="280"/>
      <c r="Q120" s="280">
        <f>O$48</f>
        <v>23</v>
      </c>
      <c r="R120" s="280"/>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373</v>
      </c>
      <c r="G121" s="279">
        <f>IF('Filtered Data'!H8="%%",(AVERAGEIF('Filtered Data'!AA$10:AA$500,$F121,'Filtered Data'!M$10:M$500))*100,(AVERAGEIF('Filtered Data'!AA$10:AA$500,$F121,'Filtered Data'!M$10:M$500)))</f>
        <v>20.282608695652176</v>
      </c>
      <c r="H121" s="279"/>
      <c r="I121" s="279"/>
      <c r="J121" s="279"/>
      <c r="K121" s="279"/>
      <c r="L121" s="6"/>
      <c r="M121" s="280">
        <f>K$48</f>
        <v>15</v>
      </c>
      <c r="N121" s="280"/>
      <c r="O121" s="280">
        <f>M$48</f>
        <v>19</v>
      </c>
      <c r="P121" s="280"/>
      <c r="Q121" s="280">
        <f>O$48</f>
        <v>23</v>
      </c>
      <c r="R121" s="280"/>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9"/>
      <c r="H122" s="279"/>
      <c r="I122" s="279"/>
      <c r="J122" s="279"/>
      <c r="K122" s="279"/>
      <c r="L122" s="6"/>
      <c r="M122" s="280"/>
      <c r="N122" s="280"/>
      <c r="O122" s="280"/>
      <c r="P122" s="280"/>
      <c r="Q122" s="280"/>
      <c r="R122" s="280"/>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9"/>
      <c r="H123" s="279"/>
      <c r="I123" s="279"/>
      <c r="J123" s="279"/>
      <c r="K123" s="279"/>
      <c r="L123" s="6"/>
      <c r="M123" s="280"/>
      <c r="N123" s="280"/>
      <c r="O123" s="280"/>
      <c r="P123" s="280"/>
      <c r="Q123" s="280"/>
      <c r="R123" s="280"/>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9"/>
      <c r="H124" s="279"/>
      <c r="I124" s="279"/>
      <c r="J124" s="279"/>
      <c r="K124" s="279"/>
      <c r="L124" s="6"/>
      <c r="M124" s="280"/>
      <c r="N124" s="280"/>
      <c r="O124" s="280"/>
      <c r="P124" s="280"/>
      <c r="Q124" s="280"/>
      <c r="R124" s="280"/>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4"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380</v>
      </c>
      <c r="D1" s="93" t="s">
        <v>383</v>
      </c>
      <c r="E1" s="47"/>
      <c r="F1" s="47"/>
      <c r="G1" s="47"/>
      <c r="H1" s="107"/>
      <c r="I1" s="108"/>
      <c r="K1" s="87"/>
      <c r="L1" s="48" t="s">
        <v>360</v>
      </c>
      <c r="M1" s="124" t="s">
        <v>385</v>
      </c>
      <c r="N1" s="124" t="s">
        <v>385</v>
      </c>
      <c r="O1" s="124"/>
      <c r="P1" s="124"/>
      <c r="Q1" s="124"/>
      <c r="R1" s="124"/>
      <c r="T1" s="358" t="s">
        <v>828</v>
      </c>
      <c r="U1" s="359"/>
      <c r="V1" s="359"/>
      <c r="W1" s="360"/>
      <c r="X1" s="87"/>
      <c r="AA1" s="358" t="s">
        <v>827</v>
      </c>
      <c r="AB1" s="359"/>
      <c r="AC1" s="359"/>
      <c r="AD1" s="360"/>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388</v>
      </c>
      <c r="M2" s="124" t="s">
        <v>416</v>
      </c>
      <c r="N2" s="124" t="s">
        <v>422</v>
      </c>
      <c r="O2" s="124"/>
      <c r="P2" s="125"/>
      <c r="Q2" s="125"/>
      <c r="R2" s="125"/>
      <c r="S2" s="88"/>
      <c r="T2" s="358"/>
      <c r="U2" s="359"/>
      <c r="V2" s="359"/>
      <c r="W2" s="360"/>
      <c r="X2" s="356"/>
      <c r="Y2" s="357"/>
      <c r="Z2" s="357"/>
      <c r="AA2" s="358"/>
      <c r="AB2" s="359"/>
      <c r="AC2" s="359"/>
      <c r="AD2" s="360"/>
      <c r="AE2" s="87"/>
      <c r="AF2" s="90"/>
      <c r="AG2" s="90"/>
      <c r="AI2" s="87"/>
      <c r="AL2" s="47"/>
      <c r="AP2" s="87"/>
      <c r="AQ2" s="103"/>
      <c r="AR2" s="47"/>
      <c r="AS2" s="47"/>
      <c r="AT2" s="47"/>
      <c r="AU2" s="47"/>
      <c r="AV2" s="47"/>
      <c r="AW2" s="115"/>
      <c r="AX2" s="68"/>
      <c r="AZ2" s="68"/>
      <c r="ABG2" s="91" t="s">
        <v>407</v>
      </c>
    </row>
    <row r="3" spans="1:735" s="48" customFormat="1">
      <c r="A3" s="81"/>
      <c r="B3" s="81"/>
      <c r="C3" s="48" t="s">
        <v>410</v>
      </c>
      <c r="D3" s="48" t="str">
        <f>Profile!J5</f>
        <v>Allerdale</v>
      </c>
      <c r="F3" s="108" t="str">
        <f>VLOOKUP(D3,classifications!C:G,4,FALSE)</f>
        <v>SD</v>
      </c>
      <c r="G3" s="48" t="str">
        <f>VLOOKUP(D3,classifications!C:E,3,FALSE)</f>
        <v>North West</v>
      </c>
      <c r="H3" s="118" t="str">
        <f>VLOOKUP(D3,classifications!C:H,6,FALSE)</f>
        <v xml:space="preserve">Mainly Rural (rural including hub towns &gt;=80%) </v>
      </c>
      <c r="I3" s="48" t="str">
        <f>VLOOKUP(D3,classifications!C:J,8,FALSE)</f>
        <v>Cumbria</v>
      </c>
      <c r="J3" s="47" t="str">
        <f>VLOOKUP(D3,classifications!C:I,7,FALSE)</f>
        <v>Predominantly Rural</v>
      </c>
      <c r="K3" s="87"/>
      <c r="L3" s="48" t="s">
        <v>389</v>
      </c>
      <c r="M3" s="124" t="s">
        <v>417</v>
      </c>
      <c r="N3" s="124" t="s">
        <v>398</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391</v>
      </c>
      <c r="M4" s="124" t="s">
        <v>418</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408</v>
      </c>
      <c r="D5" s="119" t="str">
        <f>Profile!W6</f>
        <v>Housing Benefit - New Claims</v>
      </c>
      <c r="E5" s="119"/>
      <c r="F5" s="47"/>
      <c r="G5" s="47"/>
      <c r="H5" s="107"/>
      <c r="I5" s="108"/>
      <c r="K5" s="87" t="s">
        <v>3</v>
      </c>
      <c r="L5" s="48" t="s">
        <v>383</v>
      </c>
      <c r="M5" s="124" t="s">
        <v>419</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409</v>
      </c>
      <c r="D6" s="120" t="str">
        <f>Profile!W12</f>
        <v>Q3 2014/15</v>
      </c>
      <c r="E6" s="120"/>
      <c r="F6" s="47"/>
      <c r="G6" s="47"/>
      <c r="H6" s="107"/>
      <c r="I6" s="109"/>
      <c r="K6" s="87" t="s">
        <v>3</v>
      </c>
      <c r="L6" s="48" t="s">
        <v>420</v>
      </c>
      <c r="M6" s="124" t="s">
        <v>421</v>
      </c>
      <c r="N6" s="124" t="s">
        <v>423</v>
      </c>
      <c r="O6" s="124"/>
      <c r="P6" s="144" t="s">
        <v>404</v>
      </c>
      <c r="Q6" s="144" t="s">
        <v>405</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4</v>
      </c>
      <c r="Q7" s="145">
        <f>IF(I8="A",MAX(N11:N363),MIN(N11:N363))</f>
        <v>49</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796</v>
      </c>
      <c r="D8" s="220" t="str">
        <f>VLOOKUP(D5,'Indicator info'!A:D,2,FALSE)</f>
        <v>.</v>
      </c>
      <c r="E8" s="220"/>
      <c r="F8" s="120" t="s">
        <v>795</v>
      </c>
      <c r="G8" s="221" t="str">
        <f>VLOOKUP(D5,'Indicator info'!A:D,3,FALSE)</f>
        <v>.</v>
      </c>
      <c r="H8" s="222" t="str">
        <f>D8&amp;G8</f>
        <v>..</v>
      </c>
      <c r="I8" s="223" t="str">
        <f>VLOOKUP(D5,'Indicator info'!A:D,4,FALSE)</f>
        <v>A</v>
      </c>
      <c r="K8" s="87"/>
      <c r="M8" s="147"/>
      <c r="N8" s="147"/>
      <c r="O8" s="147"/>
      <c r="P8" s="110" t="str">
        <f>D3</f>
        <v>Allerdale</v>
      </c>
      <c r="Q8" s="146">
        <f>VLOOKUP(D3,L11:N363,3,FALSE)</f>
        <v>21</v>
      </c>
      <c r="R8" s="147" t="str">
        <f>IF(I8="A",IF(Q8&gt;Q10,"Bottom",IF(Q8&gt;P10,"Third",IF(Q8&gt;O10,"Second","Top"))),IF(Q8&gt;=O10,"Top",IF(Q8&gt;=P10,"Second",IF(Q8&gt;=Q10,"Third","Bottom"))))</f>
        <v>Third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19.388059701492537</v>
      </c>
      <c r="N9" s="123"/>
      <c r="O9" s="126" t="s">
        <v>342</v>
      </c>
      <c r="P9" s="126" t="s">
        <v>353</v>
      </c>
      <c r="Q9" s="126" t="s">
        <v>354</v>
      </c>
      <c r="R9" s="128" t="s">
        <v>403</v>
      </c>
      <c r="S9" s="53"/>
      <c r="T9" s="233" t="s">
        <v>823</v>
      </c>
      <c r="U9" s="234">
        <f>IF($H$8="%.",(AVERAGE(U11:U363))/100,(AVERAGE(U11:U363)))</f>
        <v>19.147368421052633</v>
      </c>
      <c r="V9" s="235"/>
      <c r="W9" s="235"/>
      <c r="X9" s="121" t="str">
        <f>"Lower Level Ranking for Authorites in "&amp;H3&amp;" &amp; are a "&amp;F3</f>
        <v>Lower Level Ranking for Authorites in Mainly Rural (rural including hub towns &gt;=80%)  &amp; are a SD</v>
      </c>
      <c r="Y9" s="123">
        <f>IF($H$8="%.",(AVERAGE(Y11:Y363))/100,(AVERAGE(Y11:Y363)))</f>
        <v>19.304347826086957</v>
      </c>
      <c r="Z9" s="122"/>
      <c r="AA9" s="243" t="s">
        <v>382</v>
      </c>
      <c r="AB9" s="234">
        <f>IF($H$8="%.",(AVERAGE(AB11:AB363))/100,(AVERAGE(AB11:AB363)))</f>
        <v>18.387499999999999</v>
      </c>
      <c r="AC9" s="244"/>
      <c r="AD9" s="244"/>
      <c r="AE9" s="54" t="s">
        <v>412</v>
      </c>
      <c r="AG9" s="123">
        <f>IF($H$8="%.",(AVERAGE(AG11:AG363))/100,(AVERAGE(AG11:AG363)))</f>
        <v>17.875</v>
      </c>
      <c r="AI9" s="121" t="str">
        <f>"County Ranking &amp; Top Authorites in "&amp;I3&amp;" &amp; are a "&amp;F3</f>
        <v>County Ranking &amp; Top Authorites in Cumbria &amp; are a SD</v>
      </c>
      <c r="AJ9" s="123">
        <f>IF($H$8="%.",(AVERAGE(AJ11:AJ363))/100,(AVERAGE(AJ11:AJ363)))</f>
        <v>22.666666666666668</v>
      </c>
      <c r="AK9" s="122"/>
      <c r="AL9" s="70"/>
      <c r="AM9" s="31"/>
      <c r="AN9" s="31"/>
      <c r="AP9" s="121" t="str">
        <f>"Regional Ranking in for "&amp;F3</f>
        <v>Regional Ranking in for SD</v>
      </c>
      <c r="AQ9" s="123">
        <f>IF($H$8="%.",(AVERAGE(AQ11:AQ363))/100,(AVERAGE(AQ11:AQ363)))</f>
        <v>22.833333333333332</v>
      </c>
      <c r="AR9" s="122"/>
      <c r="AS9" s="122"/>
      <c r="AT9" s="122"/>
      <c r="AU9" s="122"/>
      <c r="AV9" s="49"/>
      <c r="AW9" s="115"/>
      <c r="AX9" s="178" t="str">
        <f>Profile!$W$6</f>
        <v>Housing Benefit - New Claims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413</v>
      </c>
      <c r="B10" s="83"/>
      <c r="C10" s="43" t="s">
        <v>401</v>
      </c>
      <c r="D10" s="43" t="s">
        <v>380</v>
      </c>
      <c r="E10" s="43" t="s">
        <v>375</v>
      </c>
      <c r="F10" s="43" t="s">
        <v>376</v>
      </c>
      <c r="H10" s="78" t="s">
        <v>376</v>
      </c>
      <c r="I10" s="78" t="s">
        <v>355</v>
      </c>
      <c r="K10" s="73" t="s">
        <v>355</v>
      </c>
      <c r="L10" s="74" t="s">
        <v>334</v>
      </c>
      <c r="M10" s="129" t="s">
        <v>376</v>
      </c>
      <c r="N10" s="129" t="s">
        <v>801</v>
      </c>
      <c r="O10" s="130">
        <f>IF(I8="A",QUARTILE(N:N,1),QUARTILE(N:N,3))</f>
        <v>15</v>
      </c>
      <c r="P10" s="130">
        <f>QUARTILE(N:N,2)</f>
        <v>19</v>
      </c>
      <c r="Q10" s="130">
        <f>IF(I8="A",QUARTILE(N:N,3),QUARTILE(N:N,1))</f>
        <v>23</v>
      </c>
      <c r="R10" s="129"/>
      <c r="S10" s="75"/>
      <c r="T10" s="236" t="s">
        <v>375</v>
      </c>
      <c r="U10" s="237" t="s">
        <v>376</v>
      </c>
      <c r="V10" s="237" t="s">
        <v>355</v>
      </c>
      <c r="W10" s="237"/>
      <c r="X10" s="76" t="s">
        <v>381</v>
      </c>
      <c r="Y10" s="43" t="s">
        <v>376</v>
      </c>
      <c r="Z10" s="43" t="s">
        <v>355</v>
      </c>
      <c r="AA10" s="236" t="s">
        <v>382</v>
      </c>
      <c r="AB10" s="237" t="s">
        <v>376</v>
      </c>
      <c r="AC10" s="237" t="s">
        <v>355</v>
      </c>
      <c r="AD10" s="237"/>
      <c r="AE10" s="76" t="s">
        <v>355</v>
      </c>
      <c r="AF10" s="43" t="s">
        <v>411</v>
      </c>
      <c r="AG10" s="104" t="s">
        <v>376</v>
      </c>
      <c r="AI10" s="76" t="s">
        <v>302</v>
      </c>
      <c r="AJ10" s="43" t="s">
        <v>376</v>
      </c>
      <c r="AK10" s="77" t="s">
        <v>355</v>
      </c>
      <c r="AL10" s="77" t="s">
        <v>377</v>
      </c>
      <c r="AM10" s="43" t="s">
        <v>411</v>
      </c>
      <c r="AN10" s="43" t="s">
        <v>376</v>
      </c>
      <c r="AO10" s="78"/>
      <c r="AP10" s="76" t="s">
        <v>340</v>
      </c>
      <c r="AQ10" s="104" t="s">
        <v>376</v>
      </c>
      <c r="AR10" s="43" t="s">
        <v>355</v>
      </c>
      <c r="AS10" s="77" t="s">
        <v>377</v>
      </c>
      <c r="AT10" s="43" t="s">
        <v>411</v>
      </c>
      <c r="AU10" s="43" t="s">
        <v>376</v>
      </c>
      <c r="AW10" s="174"/>
      <c r="AX10" s="225" t="str">
        <f>D6</f>
        <v>Q3 2014/15</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17</v>
      </c>
      <c r="G11" s="105"/>
      <c r="H11" s="60">
        <f>IF(D11=$D$1,HLOOKUP($D$6,$AX$10:$ZZ$363,ROW()-9,FALSE),"")</f>
        <v>17</v>
      </c>
      <c r="I11" s="112">
        <f>IF(H11="","",IF($I$8="A",(RANK(H11,H$11:H$363,1)+COUNTIF(H$11:H11,H11)-1),(RANK(H11,H$11:H$363)+COUNTIF(H$11:H11,H11)-1)))</f>
        <v>70</v>
      </c>
      <c r="J11" s="58"/>
      <c r="K11" s="51">
        <v>1</v>
      </c>
      <c r="L11" s="59" t="str">
        <f>IF(K11="","",INDEX(C$11:C$363,MATCH(K11,I$11:I$363,0)))</f>
        <v>Boston</v>
      </c>
      <c r="M11" s="153">
        <f>IF(L11="","",IF(VLOOKUP(L11,C:D,2,FALSE)=$F$3,VLOOKUP(L11,C:H,6,FALSE),""))</f>
        <v>4</v>
      </c>
      <c r="N11" s="148">
        <f>IF(L11="","",IF($H$8="%%",M11*100,M11))</f>
        <v>4</v>
      </c>
      <c r="O11" s="131">
        <f>IF(I$8="A",IF(N11&gt;=$P$7,IF(N11&lt;=$O$10,N11,""),""),IF(N11&lt;=$P$7,IF(N11&gt;=$O$10,N11,""),""))</f>
        <v>4</v>
      </c>
      <c r="P11" s="131" t="str">
        <f>IF(I$8="A",IF(N11&gt;$O$10,IF(N11&lt;=$P$10,N11,""),""),IF(N11&lt;$O$10,IF(N11&gt;=$P$10,N11,""),""))</f>
        <v/>
      </c>
      <c r="Q11" s="131" t="str">
        <f>IF(I$8="A",IF(N11&gt;$P$10,IF(N11&lt;=$Q$10,N11,""),""),IF(N11&lt;$P$10,IF(N11&gt;=$Q$10,N11,""),""))</f>
        <v/>
      </c>
      <c r="R11" s="127" t="str">
        <f>IF(I$8="A",IF(N11&gt;$Q$10,N11,""),IF(N11&lt;$Q$10,N11,""))</f>
        <v/>
      </c>
      <c r="S11" s="60" t="str">
        <f>IF(L11=D$3,"u","")</f>
        <v/>
      </c>
      <c r="T11" s="231" t="str">
        <f>IF(L11="","",VLOOKUP(L11,classifications!C:K,9,FALSE))</f>
        <v>Sparse</v>
      </c>
      <c r="U11" s="238">
        <f>IF(T11="Sparse",M11,"")</f>
        <v>4</v>
      </c>
      <c r="V11" s="239">
        <f>IF(U11="","",IF($I$8="A",(RANK(U11,U$11:U$363)+COUNTIF(U$11:U11,U11)-1),(RANK(U11,U$11:U$363,1)+COUNTIF(U$11:U11,U11)-1)))</f>
        <v>95</v>
      </c>
      <c r="W11" s="240"/>
      <c r="X11" s="61" t="str">
        <f>IF(L11="","",VLOOKUP($L11,classifications!$C:$J,6,FALSE))</f>
        <v>Urban with Significant Rural (rural including hub towns 26-49%)</v>
      </c>
      <c r="Y11" s="49" t="str">
        <f t="shared" ref="Y11:Y74" si="0">IF($D$1="UA",IF(X11="Largely Rural (rural including hub towns 50-79%) ",M11,IF(X11="Mainly Rural (rural including hub towns &gt;=80%) ",M11,IF(X11="Urban with Significant Rural (rural including hub towns 26-49%)",M11,""))),IF($D$1="SD",IF(X11=$H$3,M11,"")))</f>
        <v/>
      </c>
      <c r="Z11" s="57" t="str">
        <f>IF(Y11="","",IF(I$8="A",(RANK(Y11,Y$11:Y$363,1)+COUNTIF(Y$11:Y11,Y11)-1),(RANK(Y11,Y$11:Y$363)+COUNTIF(Y$11:Y11,Y11)-1)))</f>
        <v/>
      </c>
      <c r="AA11" s="245" t="str">
        <f>IF(L11="","",VLOOKUP($L11,classifications!C:I,7,FALSE))</f>
        <v>Significant Rural</v>
      </c>
      <c r="AB11" s="239" t="str">
        <f>IF(AA11=$J$3,M11,"")</f>
        <v/>
      </c>
      <c r="AC11" s="239" t="str">
        <f>IF(AB11="","",IF($I$8="A",(RANK(AB11,AB$11:AB$363)+COUNTIF(AB$11:AB11,AB11)-1),(RANK(AB11,AB$11:AB$363,1)+COUNTIF(AB$11:AB11,AB11)-1)))</f>
        <v/>
      </c>
      <c r="AD11" s="239"/>
      <c r="AE11" s="71">
        <f>IF(I$8="A",(RANK(AG11,AG$11:AG$363,1)+COUNTIF(AG$11:AG11,AG11)-1),(RANK(AG11,AG$11:AG$363)+COUNTIF(AG$11:AG11,AG11)-1))</f>
        <v>11</v>
      </c>
      <c r="AF11" s="69" t="str">
        <f>'Filtered Data'!D3</f>
        <v>Allerdale</v>
      </c>
      <c r="AG11" s="142">
        <f>VLOOKUP(Profile!$J$5,$C$11:$H$363,4,FALSE)</f>
        <v>21</v>
      </c>
      <c r="AH11" s="72">
        <f>AE11</f>
        <v>11</v>
      </c>
      <c r="AI11" s="61" t="str">
        <f>IF(L11="","",VLOOKUP($L11,classifications!$C:$J,8,FALSE))</f>
        <v>Lincolnshire</v>
      </c>
      <c r="AJ11" s="62" t="str">
        <f t="shared" ref="AJ11:AJ74" si="1">IF(AI11=$I$3,M11,"")</f>
        <v/>
      </c>
      <c r="AK11" s="57" t="str">
        <f>IF(AJ11="","",IF(I$8="A",(RANK(AJ11,AJ$11:AJ$363,1)+COUNTIF(AJ$11:AJ11,AJ11)-1),(RANK(AJ11,AJ$11:AJ$363)+COUNTIF(AJ$11:AJ11,AJ11)-1)))</f>
        <v/>
      </c>
      <c r="AL11" s="57">
        <v>1</v>
      </c>
      <c r="AM11" s="31" t="str">
        <f>IF(ISNA(IF(AL11="","",INDEX(L$11:L$363,MATCH(AL11,AK$11:AK$363,0)))),"",(IF(AL11="","",INDEX(L$11:L$363,MATCH(AL11,AK$11:AK$363,0)))))</f>
        <v>Barrow-in-Furness</v>
      </c>
      <c r="AN11" s="31">
        <f>(VLOOKUP(AM11,L:M,2,FALSE))</f>
        <v>17</v>
      </c>
      <c r="AP11" s="61" t="str">
        <f>IF(L11="","",VLOOKUP($L11,classifications!$C:$E,3,FALSE))</f>
        <v>East Midlands</v>
      </c>
      <c r="AQ11" s="62" t="str">
        <f>IF(AP11=$G$3,$M11,"")</f>
        <v/>
      </c>
      <c r="AR11" s="57" t="str">
        <f>IF(AQ11="","",IF(I$8="A",(RANK(AQ11,AQ$11:AQ$363,1)+COUNTIF(AQ$11:AQ11,AQ11)-1),(RANK(AQ11,AQ$11:AQ$363)+COUNTIF(AQ$11:AQ11,AQ11)-1)))</f>
        <v/>
      </c>
      <c r="AS11" s="57">
        <v>1</v>
      </c>
      <c r="AT11" s="57" t="str">
        <f>IF(AS11="","",INDEX(L$11:L$363,MATCH(AS11,AR$11:AR$363,0)))</f>
        <v>Preston</v>
      </c>
      <c r="AU11" s="62">
        <f>IF(AT11="","",VLOOKUP(AT11,L:M,2,FALSE))</f>
        <v>14</v>
      </c>
      <c r="AX11" s="44">
        <f>HLOOKUP($AX$9&amp;$AX$10,Data!$A$1:$ZZ$2000,(MATCH($C11,Data!$A$1:$A$2000,0)),FALSE)</f>
        <v>17</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2">HLOOKUP($D$6,AX$10:ZX$363,ROW()-9,FALSE)</f>
        <v>21</v>
      </c>
      <c r="G12" s="105"/>
      <c r="H12" s="60">
        <f t="shared" ref="H12:H74" si="3">IF(D12=$D$1,HLOOKUP($D$6,$AX$10:$ZZ$363,ROW()-9,FALSE),"")</f>
        <v>21</v>
      </c>
      <c r="I12" s="112">
        <f>IF(H12="","",IF($I$8="A",(RANK(H12,H$11:H$363,1)+COUNTIF(H$11:H12,H12)-1),(RANK(H12,H$11:H$363)+COUNTIF(H$11:H12,H12)-1)))</f>
        <v>125</v>
      </c>
      <c r="J12" s="58"/>
      <c r="K12" s="51">
        <f>IF(K11="","",IF(K11+1&gt;(COUNT(H$11:H$363)),"",K11+1))</f>
        <v>2</v>
      </c>
      <c r="L12" s="59" t="str">
        <f>IF(K12="","",INDEX(C$11:C$363,MATCH(K12,I$11:I$363,0)))</f>
        <v>Fareham</v>
      </c>
      <c r="M12" s="153">
        <f>IF(L12="","",IF(VLOOKUP(L12,C:D,2,FALSE)=$F$3,VLOOKUP(L12,C:H,6,FALSE),""))</f>
        <v>5</v>
      </c>
      <c r="N12" s="148">
        <f>IF(L12="","",IF($H$8="%%",M12*100,M12))</f>
        <v>5</v>
      </c>
      <c r="O12" s="131">
        <f t="shared" ref="O12:O74" si="4">IF(I$8="A",IF(N12&gt;=$P$7,IF(N12&lt;=$O$10,N12,""),""),IF(N12&lt;=$P$7,IF(N12&gt;=$O$10,N12,""),""))</f>
        <v>5</v>
      </c>
      <c r="P12" s="131" t="str">
        <f>IF(I$8="A",IF(N12&gt;$O$10,IF(N12&lt;=$P$10,N12,""),""),IF(N12&lt;$O$10,IF(N12&gt;=$P$10,N12,""),""))</f>
        <v/>
      </c>
      <c r="Q12" s="131" t="str">
        <f>IF(I$8="A",IF(N12&gt;$P$10,IF(N12&lt;=$Q$10,N12,""),""),IF(N12&lt;$P$10,IF(N12&gt;=$Q$10,N12,""),""))</f>
        <v/>
      </c>
      <c r="R12" s="127" t="str">
        <f>IF(I$8="A",IF(N12&gt;$Q$10,N12,""),IF(N12&lt;$Q$10,N12,""))</f>
        <v/>
      </c>
      <c r="S12" s="60" t="str">
        <f t="shared" ref="S12:S75" si="5">IF(L12=D$3,"u","")</f>
        <v/>
      </c>
      <c r="T12" s="231">
        <f>IF(L12="","",VLOOKUP(L12,classifications!C:K,9,FALSE))</f>
        <v>0</v>
      </c>
      <c r="U12" s="238" t="str">
        <f t="shared" ref="U12:U42" si="6">IF(T12="Sparse",M12,"")</f>
        <v/>
      </c>
      <c r="V12" s="239" t="str">
        <f>IF(U12="","",IF($I$8="A",(RANK(U12,U$11:U$363)+COUNTIF(U$11:U12,U12)-1),(RANK(U12,U$11:U$363,1)+COUNTIF(U$11:U12,U12)-1)))</f>
        <v/>
      </c>
      <c r="W12" s="240"/>
      <c r="X12" s="61" t="str">
        <f>IF(L12="","",VLOOKUP($L12,classifications!$C:$J,6,FALSE))</f>
        <v>Urban with City and Town</v>
      </c>
      <c r="Y12" s="49" t="str">
        <f t="shared" si="0"/>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5</v>
      </c>
      <c r="AF12" s="6" t="str">
        <f>VLOOKUP(Profile!$J$5,Families!$C:$R,2,FALSE)</f>
        <v>Bassetlaw</v>
      </c>
      <c r="AG12" s="143">
        <f>VLOOKUP(AF12,$C$11:$H$363,4,FALSE)</f>
        <v>14</v>
      </c>
      <c r="AH12" s="72">
        <f>AE12</f>
        <v>5</v>
      </c>
      <c r="AI12" s="61" t="str">
        <f>IF(L12="","",VLOOKUP($L12,classifications!$C:$J,8,FALSE))</f>
        <v>Hampshire</v>
      </c>
      <c r="AJ12" s="62" t="str">
        <f t="shared" si="1"/>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Eden</v>
      </c>
      <c r="AN12" s="31">
        <f t="shared" ref="AN12:AN75" si="9">(VLOOKUP(AM12,L:M,2,FALSE))</f>
        <v>19</v>
      </c>
      <c r="AP12" s="61" t="str">
        <f>IF(L12="","",VLOOKUP($L12,classifications!$C:$E,3,FALSE))</f>
        <v>South East</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Barrow-in-Furness</v>
      </c>
      <c r="AU12" s="62">
        <f t="shared" ref="AU12:AU75" si="12">IF(AT12="","",VLOOKUP(AT12,L:M,2,FALSE))</f>
        <v>17</v>
      </c>
      <c r="AX12" s="44">
        <f>HLOOKUP($AX$9&amp;$AX$10,Data!$A$1:$ZZ$2000,(MATCH($C12,Data!$A$1:$A$2000,0)),FALSE)</f>
        <v>21</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2"/>
        <v>14</v>
      </c>
      <c r="G13" s="105"/>
      <c r="H13" s="60">
        <f t="shared" si="3"/>
        <v>14</v>
      </c>
      <c r="I13" s="112">
        <f>IF(H13="","",IF($I$8="A",(RANK(H13,H$11:H$363,1)+COUNTIF(H$11:H13,H13)-1),(RANK(H13,H$11:H$363)+COUNTIF(H$11:H13,H13)-1)))</f>
        <v>23</v>
      </c>
      <c r="J13" s="58"/>
      <c r="K13" s="51">
        <f t="shared" ref="K13:K76" si="13">IF(K12="","",IF(K12+1&gt;(COUNT(H$11:H$363)),"",K12+1))</f>
        <v>3</v>
      </c>
      <c r="L13" s="59" t="str">
        <f t="shared" ref="L13:L74" si="14">IF(K13="","",INDEX(C$11:C$363,MATCH(K13,I$11:I$363,0)))</f>
        <v>Rushmoor</v>
      </c>
      <c r="M13" s="153">
        <f>IF(L13="","",IF(VLOOKUP(L13,C:D,2,FALSE)=$F$3,VLOOKUP(L13,C:H,6,FALSE),""))</f>
        <v>5</v>
      </c>
      <c r="N13" s="148">
        <f>IF(L13="","",IF($H$8="%%",M13*100,M13))</f>
        <v>5</v>
      </c>
      <c r="O13" s="131">
        <f t="shared" si="4"/>
        <v>5</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5"/>
        <v/>
      </c>
      <c r="T13" s="231">
        <f>IF(L13="","",VLOOKUP(L13,classifications!C:K,9,FALSE))</f>
        <v>0</v>
      </c>
      <c r="U13" s="238" t="str">
        <f t="shared" si="6"/>
        <v/>
      </c>
      <c r="V13" s="239" t="str">
        <f>IF(U13="","",IF($I$8="A",(RANK(U13,U$11:U$363)+COUNTIF(U$11:U13,U13)-1),(RANK(U13,U$11:U$363,1)+COUNTIF(U$11:U13,U13)-1)))</f>
        <v/>
      </c>
      <c r="W13" s="240"/>
      <c r="X13" s="61" t="str">
        <f>IF(L13="","",VLOOKUP($L13,classifications!$C:$J,6,FALSE))</f>
        <v>Urban with City and Town</v>
      </c>
      <c r="Y13" s="49" t="str">
        <f t="shared" si="0"/>
        <v/>
      </c>
      <c r="Z13" s="57" t="str">
        <f>IF(Y13="","",IF(I$8="A",(RANK(Y13,Y$11:Y$363,1)+COUNTIF(Y$11:Y13,Y13)-1),(RANK(Y13,Y$11:Y$363)+COUNTIF(Y$11:Y13,Y13)-1)))</f>
        <v/>
      </c>
      <c r="AA13" s="245" t="str">
        <f>IF(L13="","",VLOOKUP($L13,classifications!C:I,7,FALSE))</f>
        <v>Predominantly Urban</v>
      </c>
      <c r="AB13" s="239" t="str">
        <f>IF(AA13=$J$3,M13,"")</f>
        <v/>
      </c>
      <c r="AC13" s="239" t="str">
        <f>IF(AB13="","",IF($I$8="A",(RANK(AB13,AB$11:AB$363)+COUNTIF(AB$11:AB13,AB13)-1),(RANK(AB13,AB$11:AB$363,1)+COUNTIF(AB$11:AB13,AB13)-1)))</f>
        <v/>
      </c>
      <c r="AD13" s="239"/>
      <c r="AE13" s="71">
        <f>IF(I$8="A",(RANK(AG13,AG$11:AG$363,1)+COUNTIF(AG$11:AG13,AG13)-1),(RANK(AG13,AG$11:AG$363)+COUNTIF(AG$11:AG13,AG13)-1))</f>
        <v>10</v>
      </c>
      <c r="AF13" s="6" t="str">
        <f>VLOOKUP(Profile!$J$5,Families!$C:$R,3,FALSE)</f>
        <v>North East Derbyshire</v>
      </c>
      <c r="AG13" s="143">
        <f>VLOOKUP(AF13,$C$11:$H$363,4,FALSE)</f>
        <v>20</v>
      </c>
      <c r="AH13" s="72">
        <f t="shared" ref="AH13:AH26" si="18">AE13</f>
        <v>10</v>
      </c>
      <c r="AI13" s="61" t="str">
        <f>IF(L13="","",VLOOKUP($L13,classifications!$C:$J,8,FALSE))</f>
        <v>Hampshire</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Allerdale</v>
      </c>
      <c r="AN13" s="31">
        <f t="shared" si="9"/>
        <v>21</v>
      </c>
      <c r="AP13" s="61" t="str">
        <f>IF(L13="","",VLOOKUP($L13,classifications!$C:$E,3,FALSE))</f>
        <v>South East</v>
      </c>
      <c r="AQ13" s="62" t="str">
        <f t="shared" si="10"/>
        <v/>
      </c>
      <c r="AR13" s="57" t="str">
        <f>IF(AQ13="","",IF(I$8="A",(RANK(AQ13,AQ$11:AQ$363,1)+COUNTIF(AQ$11:AQ13,AQ13)-1),(RANK(AQ13,AQ$11:AQ$363)+COUNTIF(AQ$11:AQ13,AQ13)-1)))</f>
        <v/>
      </c>
      <c r="AS13" s="52">
        <f>IF(AS12="","",IF(AS12+1&gt;(COUNT(AQ$11:AQ$363)),"",AS12+1))</f>
        <v>3</v>
      </c>
      <c r="AT13" s="57" t="str">
        <f t="shared" si="11"/>
        <v>Wyre</v>
      </c>
      <c r="AU13" s="62">
        <f t="shared" si="12"/>
        <v>18</v>
      </c>
      <c r="AX13" s="44">
        <f>HLOOKUP($AX$9&amp;$AX$10,Data!$A$1:$ZZ$2000,(MATCH($C13,Data!$A$1:$A$2000,0)),FALSE)</f>
        <v>14</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2"/>
        <v>19</v>
      </c>
      <c r="G14" s="105"/>
      <c r="H14" s="60">
        <f t="shared" si="3"/>
        <v>19</v>
      </c>
      <c r="I14" s="112">
        <f>IF(H14="","",IF($I$8="A",(RANK(H14,H$11:H$363,1)+COUNTIF(H$11:H14,H14)-1),(RANK(H14,H$11:H$363)+COUNTIF(H$11:H14,H14)-1)))</f>
        <v>95</v>
      </c>
      <c r="J14" s="58"/>
      <c r="K14" s="51">
        <f t="shared" si="13"/>
        <v>4</v>
      </c>
      <c r="L14" s="59" t="str">
        <f t="shared" si="14"/>
        <v>Sedgemoor</v>
      </c>
      <c r="M14" s="153">
        <f t="shared" ref="M14:M75" si="20">IF(L14="","",IF(VLOOKUP(L14,C:D,2,FALSE)=$F$3,VLOOKUP(L14,C:H,6,FALSE),""))</f>
        <v>6</v>
      </c>
      <c r="N14" s="148">
        <f t="shared" ref="N14:N75" si="21">IF(L14="","",IF($H$8="%%",M14*100,M14))</f>
        <v>6</v>
      </c>
      <c r="O14" s="131">
        <f t="shared" si="4"/>
        <v>6</v>
      </c>
      <c r="P14" s="131" t="str">
        <f t="shared" si="15"/>
        <v/>
      </c>
      <c r="Q14" s="131" t="str">
        <f t="shared" si="16"/>
        <v/>
      </c>
      <c r="R14" s="127" t="str">
        <f t="shared" si="17"/>
        <v/>
      </c>
      <c r="S14" s="60" t="str">
        <f t="shared" si="5"/>
        <v/>
      </c>
      <c r="T14" s="231" t="str">
        <f>IF(L14="","",VLOOKUP(L14,classifications!C:K,9,FALSE))</f>
        <v>Sparse</v>
      </c>
      <c r="U14" s="238">
        <f t="shared" si="6"/>
        <v>6</v>
      </c>
      <c r="V14" s="239">
        <f>IF(U14="","",IF($I$8="A",(RANK(U14,U$11:U$363)+COUNTIF(U$11:U14,U14)-1),(RANK(U14,U$11:U$363,1)+COUNTIF(U$11:U14,U14)-1)))</f>
        <v>94</v>
      </c>
      <c r="W14" s="240"/>
      <c r="X14" s="61" t="str">
        <f>IF(L14="","",VLOOKUP($L14,classifications!$C:$J,6,FALSE))</f>
        <v xml:space="preserve">Largely Rural (rural including hub towns 50-79%) </v>
      </c>
      <c r="Y14" s="49" t="str">
        <f t="shared" si="0"/>
        <v/>
      </c>
      <c r="Z14" s="57" t="str">
        <f>IF(Y14="","",IF(I$8="A",(RANK(Y14,Y$11:Y$363,1)+COUNTIF(Y$11:Y14,Y14)-1),(RANK(Y14,Y$11:Y$363)+COUNTIF(Y$11:Y14,Y14)-1)))</f>
        <v/>
      </c>
      <c r="AA14" s="245" t="str">
        <f>IF(L14="","",VLOOKUP($L14,classifications!C:I,7,FALSE))</f>
        <v>Predominantly Rural</v>
      </c>
      <c r="AB14" s="239">
        <f t="shared" si="7"/>
        <v>6</v>
      </c>
      <c r="AC14" s="239">
        <f>IF(AB14="","",IF($I$8="A",(RANK(AB14,AB$11:AB$363)+COUNTIF(AB$11:AB14,AB14)-1),(RANK(AB14,AB$11:AB$363,1)+COUNTIF(AB$11:AB14,AB14)-1)))</f>
        <v>80</v>
      </c>
      <c r="AD14" s="239"/>
      <c r="AE14" s="71">
        <f>IF(I$8="A",(RANK(AG14,AG$11:AG$363,1)+COUNTIF(AG$11:AG14,AG14)-1),(RANK(AG14,AG$11:AG$363)+COUNTIF(AG$11:AG14,AG14)-1))</f>
        <v>3</v>
      </c>
      <c r="AF14" s="6" t="str">
        <f>VLOOKUP(Profile!$J$5,Families!$C:$R,4,FALSE)</f>
        <v>Dover</v>
      </c>
      <c r="AG14" s="143">
        <f t="shared" ref="AG14:AG26" si="22">VLOOKUP(AF14,$C$11:$H$363,4,FALSE)</f>
        <v>11</v>
      </c>
      <c r="AH14" s="72">
        <f t="shared" si="18"/>
        <v>3</v>
      </c>
      <c r="AI14" s="61" t="str">
        <f>IF(L14="","",VLOOKUP($L14,classifications!$C:$J,8,FALSE))</f>
        <v>Somerset</v>
      </c>
      <c r="AJ14" s="62" t="str">
        <f t="shared" si="1"/>
        <v/>
      </c>
      <c r="AK14" s="57" t="str">
        <f>IF(AJ14="","",IF(I$8="A",(RANK(AJ14,AJ$11:AJ$363,1)+COUNTIF(AJ$11:AJ14,AJ14)-1),(RANK(AJ14,AJ$11:AJ$363)+COUNTIF(AJ$11:AJ14,AJ14)-1)))</f>
        <v/>
      </c>
      <c r="AL14" s="52">
        <f t="shared" si="19"/>
        <v>4</v>
      </c>
      <c r="AM14" s="31" t="str">
        <f t="shared" si="8"/>
        <v>Carlisle</v>
      </c>
      <c r="AN14" s="31">
        <f t="shared" si="9"/>
        <v>25</v>
      </c>
      <c r="AP14" s="61" t="str">
        <f>IF(L14="","",VLOOKUP($L14,classifications!$C:$E,3,FALSE))</f>
        <v>South West</v>
      </c>
      <c r="AQ14" s="62" t="str">
        <f t="shared" si="10"/>
        <v/>
      </c>
      <c r="AR14" s="57" t="str">
        <f>IF(AQ14="","",IF(I$8="A",(RANK(AQ14,AQ$11:AQ$363,1)+COUNTIF(AQ$11:AQ14,AQ14)-1),(RANK(AQ14,AQ$11:AQ$363)+COUNTIF(AQ$11:AQ14,AQ14)-1)))</f>
        <v/>
      </c>
      <c r="AS14" s="52">
        <f t="shared" ref="AS14:AS75" si="23">IF(AS13="","",IF(AS13+1&gt;(COUNT(AQ$11:AQ$363)),"",AS13+1))</f>
        <v>4</v>
      </c>
      <c r="AT14" s="57" t="str">
        <f t="shared" si="11"/>
        <v>Eden</v>
      </c>
      <c r="AU14" s="62">
        <f t="shared" si="12"/>
        <v>19</v>
      </c>
      <c r="AX14" s="44">
        <f>HLOOKUP($AX$9&amp;$AX$10,Data!$A$1:$ZZ$2000,(MATCH($C14,Data!$A$1:$A$2000,0)),FALSE)</f>
        <v>19</v>
      </c>
      <c r="AY14" s="156"/>
      <c r="AZ14" s="44"/>
    </row>
    <row r="15" spans="1:735">
      <c r="A15" s="84" t="str">
        <f>$D$1&amp;5</f>
        <v>SD5</v>
      </c>
      <c r="B15" s="85" t="str">
        <f>IF(ISERROR(VLOOKUP(A15,classifications!A:C,3,FALSE)),0,VLOOKUP(A15,classifications!A:C,3,FALSE))</f>
        <v>Bassetlaw</v>
      </c>
      <c r="C15" s="31" t="s">
        <v>9</v>
      </c>
      <c r="D15" s="49" t="str">
        <f>VLOOKUP($C15,classifications!$C:$J,4,FALSE)</f>
        <v>SD</v>
      </c>
      <c r="E15" s="49">
        <f>VLOOKUP(C15,classifications!C:K,9,FALSE)</f>
        <v>0</v>
      </c>
      <c r="F15" s="59">
        <f t="shared" si="2"/>
        <v>20</v>
      </c>
      <c r="G15" s="105"/>
      <c r="H15" s="60">
        <f t="shared" si="3"/>
        <v>20</v>
      </c>
      <c r="I15" s="112">
        <f>IF(H15="","",IF($I$8="A",(RANK(H15,H$11:H$363,1)+COUNTIF(H$11:H15,H15)-1),(RANK(H15,H$11:H$363)+COUNTIF(H$11:H15,H15)-1)))</f>
        <v>105</v>
      </c>
      <c r="J15" s="58"/>
      <c r="K15" s="51">
        <f t="shared" si="13"/>
        <v>5</v>
      </c>
      <c r="L15" s="59" t="str">
        <f t="shared" si="14"/>
        <v>Tendring</v>
      </c>
      <c r="M15" s="153">
        <f t="shared" si="20"/>
        <v>8</v>
      </c>
      <c r="N15" s="148">
        <f t="shared" si="21"/>
        <v>8</v>
      </c>
      <c r="O15" s="131">
        <f t="shared" si="4"/>
        <v>8</v>
      </c>
      <c r="P15" s="131" t="str">
        <f t="shared" si="15"/>
        <v/>
      </c>
      <c r="Q15" s="131" t="str">
        <f t="shared" si="16"/>
        <v/>
      </c>
      <c r="R15" s="127" t="str">
        <f t="shared" si="17"/>
        <v/>
      </c>
      <c r="S15" s="60" t="str">
        <f t="shared" si="5"/>
        <v/>
      </c>
      <c r="T15" s="231">
        <f>IF(L15="","",VLOOKUP(L15,classifications!C:K,9,FALSE))</f>
        <v>0</v>
      </c>
      <c r="U15" s="238" t="str">
        <f t="shared" si="6"/>
        <v/>
      </c>
      <c r="V15" s="239" t="str">
        <f>IF(U15="","",IF($I$8="A",(RANK(U15,U$11:U$363)+COUNTIF(U$11:U15,U15)-1),(RANK(U15,U$11:U$363,1)+COUNTIF(U$11:U15,U15)-1)))</f>
        <v/>
      </c>
      <c r="W15" s="240"/>
      <c r="X15" s="61" t="str">
        <f>IF(L15="","",VLOOKUP($L15,classifications!$C:$J,6,FALSE))</f>
        <v xml:space="preserve">Largely Rural (rural including hub towns 50-79%) </v>
      </c>
      <c r="Y15" s="49" t="str">
        <f t="shared" si="0"/>
        <v/>
      </c>
      <c r="Z15" s="57" t="str">
        <f>IF(Y15="","",IF(I$8="A",(RANK(Y15,Y$11:Y$363,1)+COUNTIF(Y$11:Y15,Y15)-1),(RANK(Y15,Y$11:Y$363)+COUNTIF(Y$11:Y15,Y15)-1)))</f>
        <v/>
      </c>
      <c r="AA15" s="245" t="str">
        <f>IF(L15="","",VLOOKUP($L15,classifications!C:I,7,FALSE))</f>
        <v>Predominantly Rural</v>
      </c>
      <c r="AB15" s="239">
        <f t="shared" si="7"/>
        <v>8</v>
      </c>
      <c r="AC15" s="239">
        <f>IF(AB15="","",IF($I$8="A",(RANK(AB15,AB$11:AB$363)+COUNTIF(AB$11:AB15,AB15)-1),(RANK(AB15,AB$11:AB$363,1)+COUNTIF(AB$11:AB15,AB15)-1)))</f>
        <v>79</v>
      </c>
      <c r="AD15" s="239"/>
      <c r="AE15" s="71">
        <f>IF(I$8="A",(RANK(AG15,AG$11:AG$363,1)+COUNTIF(AG$11:AG15,AG15)-1),(RANK(AG15,AG$11:AG$363)+COUNTIF(AG$11:AG15,AG15)-1))</f>
        <v>1</v>
      </c>
      <c r="AF15" s="6" t="str">
        <f>VLOOKUP(Profile!$J$5,Families!$C:$R,5,FALSE)</f>
        <v>Boston</v>
      </c>
      <c r="AG15" s="143">
        <f t="shared" si="22"/>
        <v>4</v>
      </c>
      <c r="AH15" s="72">
        <f t="shared" si="18"/>
        <v>1</v>
      </c>
      <c r="AI15" s="61" t="str">
        <f>IF(L15="","",VLOOKUP($L15,classifications!$C:$J,8,FALSE))</f>
        <v>Essex</v>
      </c>
      <c r="AJ15" s="62" t="str">
        <f t="shared" si="1"/>
        <v/>
      </c>
      <c r="AK15" s="57" t="str">
        <f>IF(AJ15="","",IF(I$8="A",(RANK(AJ15,AJ$11:AJ$363,1)+COUNTIF(AJ$11:AJ15,AJ15)-1),(RANK(AJ15,AJ$11:AJ$363)+COUNTIF(AJ$11:AJ15,AJ15)-1)))</f>
        <v/>
      </c>
      <c r="AL15" s="52">
        <f t="shared" si="19"/>
        <v>5</v>
      </c>
      <c r="AM15" s="31" t="str">
        <f>IF(ISNA(IF(AL15="","",INDEX(L$11:L$363,MATCH(AL15,AK$11:AK$363,0)))),"",(IF(AL15="","",INDEX(L$11:L$363,MATCH(AL15,AK$11:AK$363,0)))))</f>
        <v>South Lakeland</v>
      </c>
      <c r="AN15" s="31">
        <f t="shared" si="9"/>
        <v>26</v>
      </c>
      <c r="AP15" s="61" t="str">
        <f>IF(L15="","",VLOOKUP($L15,classifications!$C:$E,3,FALSE))</f>
        <v>East of England</v>
      </c>
      <c r="AQ15" s="62" t="str">
        <f t="shared" si="10"/>
        <v/>
      </c>
      <c r="AR15" s="57" t="str">
        <f>IF(AQ15="","",IF(I$8="A",(RANK(AQ15,AQ$11:AQ$363,1)+COUNTIF(AQ$11:AQ15,AQ15)-1),(RANK(AQ15,AQ$11:AQ$363)+COUNTIF(AQ$11:AQ15,AQ15)-1)))</f>
        <v/>
      </c>
      <c r="AS15" s="52">
        <f t="shared" si="23"/>
        <v>5</v>
      </c>
      <c r="AT15" s="57" t="str">
        <f t="shared" si="11"/>
        <v>Ribble Valley</v>
      </c>
      <c r="AU15" s="62">
        <f t="shared" si="12"/>
        <v>19</v>
      </c>
      <c r="AX15" s="44">
        <f>HLOOKUP($AX$9&amp;$AX$10,Data!$A$1:$ZZ$2000,(MATCH($C15,Data!$A$1:$A$2000,0)),FALSE)</f>
        <v>20</v>
      </c>
      <c r="AY15" s="156"/>
      <c r="AZ15" s="44"/>
    </row>
    <row r="16" spans="1:735">
      <c r="A16" s="84" t="str">
        <f>$D$1&amp;6</f>
        <v>SD6</v>
      </c>
      <c r="B16" s="85" t="str">
        <f>IF(ISERROR(VLOOKUP(A16,classifications!A:C,3,FALSE)),0,VLOOKUP(A16,classifications!A:C,3,FALSE))</f>
        <v>Boston</v>
      </c>
      <c r="C16" s="31" t="s">
        <v>10</v>
      </c>
      <c r="D16" s="49" t="str">
        <f>VLOOKUP($C16,classifications!$C:$J,4,FALSE)</f>
        <v>SD</v>
      </c>
      <c r="E16" s="49" t="str">
        <f>VLOOKUP(C16,classifications!C:K,9,FALSE)</f>
        <v>Sparse</v>
      </c>
      <c r="F16" s="59">
        <f t="shared" si="2"/>
        <v>20</v>
      </c>
      <c r="G16" s="105"/>
      <c r="H16" s="60">
        <f t="shared" si="3"/>
        <v>20</v>
      </c>
      <c r="I16" s="112">
        <f>IF(H16="","",IF($I$8="A",(RANK(H16,H$11:H$363,1)+COUNTIF(H$11:H16,H16)-1),(RANK(H16,H$11:H$363)+COUNTIF(H$11:H16,H16)-1)))</f>
        <v>106</v>
      </c>
      <c r="J16" s="58"/>
      <c r="K16" s="51">
        <f t="shared" si="13"/>
        <v>6</v>
      </c>
      <c r="L16" s="59" t="str">
        <f t="shared" si="14"/>
        <v>Elmbridge</v>
      </c>
      <c r="M16" s="153">
        <f t="shared" si="20"/>
        <v>9</v>
      </c>
      <c r="N16" s="148">
        <f t="shared" si="21"/>
        <v>9</v>
      </c>
      <c r="O16" s="131">
        <f t="shared" si="4"/>
        <v>9</v>
      </c>
      <c r="P16" s="131" t="str">
        <f t="shared" si="15"/>
        <v/>
      </c>
      <c r="Q16" s="131" t="str">
        <f t="shared" si="16"/>
        <v/>
      </c>
      <c r="R16" s="127" t="str">
        <f t="shared" si="17"/>
        <v/>
      </c>
      <c r="S16" s="60" t="str">
        <f t="shared" si="5"/>
        <v/>
      </c>
      <c r="T16" s="231">
        <f>IF(L16="","",VLOOKUP(L16,classifications!C:K,9,FALSE))</f>
        <v>0</v>
      </c>
      <c r="U16" s="238" t="str">
        <f t="shared" si="6"/>
        <v/>
      </c>
      <c r="V16" s="239" t="str">
        <f>IF(U16="","",IF($I$8="A",(RANK(U16,U$11:U$363)+COUNTIF(U$11:U16,U16)-1),(RANK(U16,U$11:U$363,1)+COUNTIF(U$11:U16,U16)-1)))</f>
        <v/>
      </c>
      <c r="W16" s="240"/>
      <c r="X16" s="61" t="str">
        <f>IF(L16="","",VLOOKUP($L16,classifications!$C:$J,6,FALSE))</f>
        <v>Urban with Major Conurbation</v>
      </c>
      <c r="Y16" s="49" t="str">
        <f t="shared" si="0"/>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14</v>
      </c>
      <c r="AF16" s="6" t="str">
        <f>VLOOKUP(Profile!$J$5,Families!$C:$R,6,FALSE)</f>
        <v>Copeland</v>
      </c>
      <c r="AG16" s="143">
        <f t="shared" si="22"/>
        <v>28</v>
      </c>
      <c r="AH16" s="72">
        <f t="shared" si="18"/>
        <v>14</v>
      </c>
      <c r="AI16" s="61" t="str">
        <f>IF(L16="","",VLOOKUP($L16,classifications!$C:$J,8,FALSE))</f>
        <v>Surrey</v>
      </c>
      <c r="AJ16" s="62" t="str">
        <f t="shared" si="1"/>
        <v/>
      </c>
      <c r="AK16" s="57" t="str">
        <f>IF(AJ16="","",IF(I$8="A",(RANK(AJ16,AJ$11:AJ$363,1)+COUNTIF(AJ$11:AJ16,AJ16)-1),(RANK(AJ16,AJ$11:AJ$363)+COUNTIF(AJ$11:AJ16,AJ16)-1)))</f>
        <v/>
      </c>
      <c r="AL16" s="52">
        <f t="shared" si="19"/>
        <v>6</v>
      </c>
      <c r="AM16" s="31" t="str">
        <f t="shared" si="8"/>
        <v>Copeland</v>
      </c>
      <c r="AN16" s="31">
        <f t="shared" si="9"/>
        <v>28</v>
      </c>
      <c r="AP16" s="61" t="str">
        <f>IF(L16="","",VLOOKUP($L16,classifications!$C:$E,3,FALSE))</f>
        <v>South East</v>
      </c>
      <c r="AQ16" s="62" t="str">
        <f t="shared" si="10"/>
        <v/>
      </c>
      <c r="AR16" s="57" t="str">
        <f>IF(AQ16="","",IF(I$8="A",(RANK(AQ16,AQ$11:AQ$363,1)+COUNTIF(AQ$11:AQ16,AQ16)-1),(RANK(AQ16,AQ$11:AQ$363)+COUNTIF(AQ$11:AQ16,AQ16)-1)))</f>
        <v/>
      </c>
      <c r="AS16" s="52">
        <f t="shared" si="23"/>
        <v>6</v>
      </c>
      <c r="AT16" s="57" t="str">
        <f t="shared" si="11"/>
        <v>Burnley</v>
      </c>
      <c r="AU16" s="62">
        <f t="shared" si="12"/>
        <v>20</v>
      </c>
      <c r="AX16" s="44">
        <f>HLOOKUP($AX$9&amp;$AX$10,Data!$A$1:$ZZ$2000,(MATCH($C16,Data!$A$1:$A$2000,0)),FALSE)</f>
        <v>20</v>
      </c>
      <c r="AY16" s="156"/>
      <c r="AZ16" s="44"/>
    </row>
    <row r="17" spans="1:52">
      <c r="A17" s="84" t="str">
        <f>$D$1&amp;7</f>
        <v>SD7</v>
      </c>
      <c r="B17" s="85" t="str">
        <f>IF(ISERROR(VLOOKUP(A17,classifications!A:C,3,FALSE)),0,VLOOKUP(A17,classifications!A:C,3,FALSE))</f>
        <v>Braintree</v>
      </c>
      <c r="C17" s="31" t="s">
        <v>11</v>
      </c>
      <c r="D17" s="49" t="str">
        <f>VLOOKUP($C17,classifications!$C:$J,4,FALSE)</f>
        <v>SD</v>
      </c>
      <c r="E17" s="49" t="str">
        <f>VLOOKUP(C17,classifications!C:K,9,FALSE)</f>
        <v>Sparse</v>
      </c>
      <c r="F17" s="59">
        <f t="shared" si="2"/>
        <v>20</v>
      </c>
      <c r="G17" s="105"/>
      <c r="H17" s="60">
        <f t="shared" si="3"/>
        <v>20</v>
      </c>
      <c r="I17" s="112">
        <f>IF(H17="","",IF($I$8="A",(RANK(H17,H$11:H$363,1)+COUNTIF(H$11:H17,H17)-1),(RANK(H17,H$11:H$363)+COUNTIF(H$11:H17,H17)-1)))</f>
        <v>107</v>
      </c>
      <c r="J17" s="58"/>
      <c r="K17" s="51">
        <f t="shared" si="13"/>
        <v>7</v>
      </c>
      <c r="L17" s="59" t="str">
        <f t="shared" si="14"/>
        <v>South Northamptonshire</v>
      </c>
      <c r="M17" s="153">
        <f t="shared" si="20"/>
        <v>9</v>
      </c>
      <c r="N17" s="148">
        <f t="shared" si="21"/>
        <v>9</v>
      </c>
      <c r="O17" s="131">
        <f t="shared" si="4"/>
        <v>9</v>
      </c>
      <c r="P17" s="131" t="str">
        <f t="shared" si="15"/>
        <v/>
      </c>
      <c r="Q17" s="131" t="str">
        <f t="shared" si="16"/>
        <v/>
      </c>
      <c r="R17" s="127" t="str">
        <f t="shared" si="17"/>
        <v/>
      </c>
      <c r="S17" s="60" t="str">
        <f t="shared" si="5"/>
        <v/>
      </c>
      <c r="T17" s="231" t="str">
        <f>IF(L17="","",VLOOKUP(L17,classifications!C:K,9,FALSE))</f>
        <v>Sparse</v>
      </c>
      <c r="U17" s="238">
        <f t="shared" si="6"/>
        <v>9</v>
      </c>
      <c r="V17" s="239">
        <f>IF(U17="","",IF($I$8="A",(RANK(U17,U$11:U$363)+COUNTIF(U$11:U17,U17)-1),(RANK(U17,U$11:U$363,1)+COUNTIF(U$11:U17,U17)-1)))</f>
        <v>93</v>
      </c>
      <c r="W17" s="240"/>
      <c r="X17" s="61" t="str">
        <f>IF(L17="","",VLOOKUP($L17,classifications!$C:$J,6,FALSE))</f>
        <v xml:space="preserve">Mainly Rural (rural including hub towns &gt;=80%) </v>
      </c>
      <c r="Y17" s="49">
        <f t="shared" si="0"/>
        <v>9</v>
      </c>
      <c r="Z17" s="57">
        <f>IF(Y17="","",IF(I$8="A",(RANK(Y17,Y$11:Y$363,1)+COUNTIF(Y$11:Y17,Y17)-1),(RANK(Y17,Y$11:Y$363)+COUNTIF(Y$11:Y17,Y17)-1)))</f>
        <v>1</v>
      </c>
      <c r="AA17" s="245" t="str">
        <f>IF(L17="","",VLOOKUP($L17,classifications!C:I,7,FALSE))</f>
        <v>Predominantly Rural</v>
      </c>
      <c r="AB17" s="239">
        <f t="shared" si="7"/>
        <v>9</v>
      </c>
      <c r="AC17" s="239">
        <f>IF(AB17="","",IF($I$8="A",(RANK(AB17,AB$11:AB$363)+COUNTIF(AB$11:AB17,AB17)-1),(RANK(AB17,AB$11:AB$363,1)+COUNTIF(AB$11:AB17,AB17)-1)))</f>
        <v>78</v>
      </c>
      <c r="AD17" s="239"/>
      <c r="AE17" s="71">
        <f>IF(I$8="A",(RANK(AG17,AG$11:AG$363,1)+COUNTIF(AG$11:AG17,AG17)-1),(RANK(AG17,AG$11:AG$363)+COUNTIF(AG$11:AG17,AG17)-1))</f>
        <v>16</v>
      </c>
      <c r="AF17" s="6" t="str">
        <f>VLOOKUP(Profile!$J$5,Families!$C:$R,7,FALSE)</f>
        <v>Newark &amp; Sherwood</v>
      </c>
      <c r="AG17" s="143">
        <f t="shared" si="22"/>
        <v>32</v>
      </c>
      <c r="AH17" s="72">
        <f t="shared" si="18"/>
        <v>16</v>
      </c>
      <c r="AI17" s="61" t="str">
        <f>IF(L17="","",VLOOKUP($L17,classifications!$C:$J,8,FALSE))</f>
        <v>Northamptonshire</v>
      </c>
      <c r="AJ17" s="62" t="str">
        <f t="shared" si="1"/>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East Midlands</v>
      </c>
      <c r="AQ17" s="62" t="str">
        <f t="shared" si="10"/>
        <v/>
      </c>
      <c r="AR17" s="57" t="str">
        <f>IF(AQ17="","",IF(I$8="A",(RANK(AQ17,AQ$11:AQ$363,1)+COUNTIF(AQ$11:AQ17,AQ17)-1),(RANK(AQ17,AQ$11:AQ$363)+COUNTIF(AQ$11:AQ17,AQ17)-1)))</f>
        <v/>
      </c>
      <c r="AS17" s="52">
        <f t="shared" si="23"/>
        <v>7</v>
      </c>
      <c r="AT17" s="57" t="str">
        <f t="shared" si="11"/>
        <v>Pendle</v>
      </c>
      <c r="AU17" s="62">
        <f t="shared" si="12"/>
        <v>20</v>
      </c>
      <c r="AX17" s="44">
        <f>HLOOKUP($AX$9&amp;$AX$10,Data!$A$1:$ZZ$2000,(MATCH($C17,Data!$A$1:$A$2000,0)),FALSE)</f>
        <v>20</v>
      </c>
      <c r="AY17" s="156"/>
      <c r="AZ17" s="44"/>
    </row>
    <row r="18" spans="1:52">
      <c r="A18" s="84" t="str">
        <f>$D$1&amp;8</f>
        <v>SD8</v>
      </c>
      <c r="B18" s="85" t="str">
        <f>IF(ISERROR(VLOOKUP(A18,classifications!A:C,3,FALSE)),0,VLOOKUP(A18,classifications!A:C,3,FALSE))</f>
        <v>Breckland</v>
      </c>
      <c r="C18" s="31" t="s">
        <v>12</v>
      </c>
      <c r="D18" s="49" t="str">
        <f>VLOOKUP($C18,classifications!$C:$J,4,FALSE)</f>
        <v>SD</v>
      </c>
      <c r="E18" s="49" t="str">
        <f>VLOOKUP(C18,classifications!C:K,9,FALSE)</f>
        <v>Sparse</v>
      </c>
      <c r="F18" s="59">
        <f t="shared" si="2"/>
        <v>23</v>
      </c>
      <c r="G18" s="105"/>
      <c r="H18" s="60">
        <f t="shared" si="3"/>
        <v>23</v>
      </c>
      <c r="I18" s="112">
        <f>IF(H18="","",IF($I$8="A",(RANK(H18,H$11:H$363,1)+COUNTIF(H$11:H18,H18)-1),(RANK(H18,H$11:H$363)+COUNTIF(H$11:H18,H18)-1)))</f>
        <v>144</v>
      </c>
      <c r="J18" s="58"/>
      <c r="K18" s="51">
        <f t="shared" si="13"/>
        <v>8</v>
      </c>
      <c r="L18" s="59" t="str">
        <f t="shared" si="14"/>
        <v>Rushcliffe</v>
      </c>
      <c r="M18" s="153">
        <f t="shared" si="20"/>
        <v>10</v>
      </c>
      <c r="N18" s="148">
        <f t="shared" si="21"/>
        <v>10</v>
      </c>
      <c r="O18" s="131">
        <f t="shared" si="4"/>
        <v>10</v>
      </c>
      <c r="P18" s="131" t="str">
        <f t="shared" si="15"/>
        <v/>
      </c>
      <c r="Q18" s="131" t="str">
        <f t="shared" si="16"/>
        <v/>
      </c>
      <c r="R18" s="127" t="str">
        <f t="shared" si="17"/>
        <v/>
      </c>
      <c r="S18" s="60" t="str">
        <f t="shared" si="5"/>
        <v/>
      </c>
      <c r="T18" s="231">
        <f>IF(L18="","",VLOOKUP(L18,classifications!C:K,9,FALSE))</f>
        <v>0</v>
      </c>
      <c r="U18" s="238" t="str">
        <f t="shared" si="6"/>
        <v/>
      </c>
      <c r="V18" s="239" t="str">
        <f>IF(U18="","",IF($I$8="A",(RANK(U18,U$11:U$363)+COUNTIF(U$11:U18,U18)-1),(RANK(U18,U$11:U$363,1)+COUNTIF(U$11:U18,U18)-1)))</f>
        <v/>
      </c>
      <c r="W18" s="240"/>
      <c r="X18" s="61" t="str">
        <f>IF(L18="","",VLOOKUP($L18,classifications!$C:$J,6,FALSE))</f>
        <v xml:space="preserve">Largely Rural (rural including hub towns 50-79%) </v>
      </c>
      <c r="Y18" s="49" t="str">
        <f t="shared" si="0"/>
        <v/>
      </c>
      <c r="Z18" s="57" t="str">
        <f>IF(Y18="","",IF(I$8="A",(RANK(Y18,Y$11:Y$363,1)+COUNTIF(Y$11:Y18,Y18)-1),(RANK(Y18,Y$11:Y$363)+COUNTIF(Y$11:Y18,Y18)-1)))</f>
        <v/>
      </c>
      <c r="AA18" s="245" t="str">
        <f>IF(L18="","",VLOOKUP($L18,classifications!C:I,7,FALSE))</f>
        <v>Predominantly Rural</v>
      </c>
      <c r="AB18" s="239">
        <f t="shared" si="7"/>
        <v>10</v>
      </c>
      <c r="AC18" s="239">
        <f>IF(AB18="","",IF($I$8="A",(RANK(AB18,AB$11:AB$363)+COUNTIF(AB$11:AB18,AB18)-1),(RANK(AB18,AB$11:AB$363,1)+COUNTIF(AB$11:AB18,AB18)-1)))</f>
        <v>76</v>
      </c>
      <c r="AD18" s="239"/>
      <c r="AE18" s="71">
        <f>IF(I$8="A",(RANK(AG18,AG$11:AG$363,1)+COUNTIF(AG$11:AG18,AG18)-1),(RANK(AG18,AG$11:AG$363)+COUNTIF(AG$11:AG18,AG18)-1))</f>
        <v>2</v>
      </c>
      <c r="AF18" s="6" t="str">
        <f>VLOOKUP(Profile!$J$5,Families!$C:$R,8,FALSE)</f>
        <v>Sedgemoor</v>
      </c>
      <c r="AG18" s="143">
        <f t="shared" si="22"/>
        <v>6</v>
      </c>
      <c r="AH18" s="72">
        <f t="shared" si="18"/>
        <v>2</v>
      </c>
      <c r="AI18" s="61" t="str">
        <f>IF(L18="","",VLOOKUP($L18,classifications!$C:$J,8,FALSE))</f>
        <v>Nottinghamshire</v>
      </c>
      <c r="AJ18" s="62" t="str">
        <f t="shared" si="1"/>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East Midlands</v>
      </c>
      <c r="AQ18" s="62" t="str">
        <f t="shared" si="10"/>
        <v/>
      </c>
      <c r="AR18" s="57" t="str">
        <f>IF(AQ18="","",IF(I$8="A",(RANK(AQ18,AQ$11:AQ$363,1)+COUNTIF(AQ$11:AQ18,AQ18)-1),(RANK(AQ18,AQ$11:AQ$363)+COUNTIF(AQ$11:AQ18,AQ18)-1)))</f>
        <v/>
      </c>
      <c r="AS18" s="52">
        <f t="shared" si="23"/>
        <v>8</v>
      </c>
      <c r="AT18" s="57" t="str">
        <f t="shared" si="11"/>
        <v>Allerdale</v>
      </c>
      <c r="AU18" s="62">
        <f t="shared" si="12"/>
        <v>21</v>
      </c>
      <c r="AX18" s="44">
        <f>HLOOKUP($AX$9&amp;$AX$10,Data!$A$1:$ZZ$2000,(MATCH($C18,Data!$A$1:$A$2000,0)),FALSE)</f>
        <v>23</v>
      </c>
      <c r="AY18" s="156"/>
      <c r="AZ18" s="44"/>
    </row>
    <row r="19" spans="1:52">
      <c r="A19" s="84" t="str">
        <f>$D$1&amp;9</f>
        <v>SD9</v>
      </c>
      <c r="B19" s="85" t="str">
        <f>IF(ISERROR(VLOOKUP(A19,classifications!A:C,3,FALSE)),0,VLOOKUP(A19,classifications!A:C,3,FALSE))</f>
        <v>Broadland</v>
      </c>
      <c r="C19" s="31" t="s">
        <v>339</v>
      </c>
      <c r="D19" s="49" t="str">
        <f>VLOOKUP($C19,classifications!$C:$J,4,FALSE)</f>
        <v>L</v>
      </c>
      <c r="E19" s="49">
        <f>VLOOKUP(C19,classifications!C:K,9,FALSE)</f>
        <v>0</v>
      </c>
      <c r="F19" s="59">
        <f t="shared" si="2"/>
        <v>28</v>
      </c>
      <c r="G19" s="105"/>
      <c r="H19" s="60" t="str">
        <f t="shared" si="3"/>
        <v/>
      </c>
      <c r="I19" s="112" t="str">
        <f>IF(H19="","",IF($I$8="A",(RANK(H19,H$11:H$363,1)+COUNTIF(H$11:H19,H19)-1),(RANK(H19,H$11:H$363)+COUNTIF(H$11:H19,H19)-1)))</f>
        <v/>
      </c>
      <c r="J19" s="58"/>
      <c r="K19" s="51">
        <f t="shared" si="13"/>
        <v>9</v>
      </c>
      <c r="L19" s="59" t="str">
        <f t="shared" si="14"/>
        <v>South Norfolk</v>
      </c>
      <c r="M19" s="153">
        <f t="shared" si="20"/>
        <v>10</v>
      </c>
      <c r="N19" s="148">
        <f t="shared" si="21"/>
        <v>10</v>
      </c>
      <c r="O19" s="131">
        <f t="shared" si="4"/>
        <v>10</v>
      </c>
      <c r="P19" s="131" t="str">
        <f t="shared" si="15"/>
        <v/>
      </c>
      <c r="Q19" s="131" t="str">
        <f t="shared" si="16"/>
        <v/>
      </c>
      <c r="R19" s="127" t="str">
        <f t="shared" si="17"/>
        <v/>
      </c>
      <c r="S19" s="60" t="str">
        <f t="shared" si="5"/>
        <v/>
      </c>
      <c r="T19" s="231" t="str">
        <f>IF(L19="","",VLOOKUP(L19,classifications!C:K,9,FALSE))</f>
        <v>Sparse</v>
      </c>
      <c r="U19" s="238">
        <f t="shared" si="6"/>
        <v>10</v>
      </c>
      <c r="V19" s="239">
        <f>IF(U19="","",IF($I$8="A",(RANK(U19,U$11:U$363)+COUNTIF(U$11:U19,U19)-1),(RANK(U19,U$11:U$363,1)+COUNTIF(U$11:U19,U19)-1)))</f>
        <v>92</v>
      </c>
      <c r="W19" s="240"/>
      <c r="X19" s="61" t="str">
        <f>IF(L19="","",VLOOKUP($L19,classifications!$C:$J,6,FALSE))</f>
        <v xml:space="preserve">Mainly Rural (rural including hub towns &gt;=80%) </v>
      </c>
      <c r="Y19" s="49">
        <f t="shared" si="0"/>
        <v>10</v>
      </c>
      <c r="Z19" s="57">
        <f>IF(Y19="","",IF(I$8="A",(RANK(Y19,Y$11:Y$363,1)+COUNTIF(Y$11:Y19,Y19)-1),(RANK(Y19,Y$11:Y$363)+COUNTIF(Y$11:Y19,Y19)-1)))</f>
        <v>2</v>
      </c>
      <c r="AA19" s="245" t="str">
        <f>IF(L19="","",VLOOKUP($L19,classifications!C:I,7,FALSE))</f>
        <v>Predominantly Rural</v>
      </c>
      <c r="AB19" s="239">
        <f t="shared" si="7"/>
        <v>10</v>
      </c>
      <c r="AC19" s="239">
        <f>IF(AB19="","",IF($I$8="A",(RANK(AB19,AB$11:AB$363)+COUNTIF(AB$11:AB19,AB19)-1),(RANK(AB19,AB$11:AB$363,1)+COUNTIF(AB$11:AB19,AB19)-1)))</f>
        <v>77</v>
      </c>
      <c r="AD19" s="239"/>
      <c r="AE19" s="71">
        <f>IF(I$8="A",(RANK(AG19,AG$11:AG$363,1)+COUNTIF(AG$11:AG19,AG19)-1),(RANK(AG19,AG$11:AG$363)+COUNTIF(AG$11:AG19,AG19)-1))</f>
        <v>4</v>
      </c>
      <c r="AF19" s="6" t="str">
        <f>VLOOKUP(Profile!$J$5,Families!$C:$R,9,FALSE)</f>
        <v>North Devon</v>
      </c>
      <c r="AG19" s="143">
        <f t="shared" si="22"/>
        <v>12</v>
      </c>
      <c r="AH19" s="72">
        <f t="shared" si="18"/>
        <v>4</v>
      </c>
      <c r="AI19" s="61" t="str">
        <f>IF(L19="","",VLOOKUP($L19,classifications!$C:$J,8,FALSE))</f>
        <v>Norfolk</v>
      </c>
      <c r="AJ19" s="62" t="str">
        <f t="shared" si="1"/>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East of England</v>
      </c>
      <c r="AQ19" s="62" t="str">
        <f t="shared" si="10"/>
        <v/>
      </c>
      <c r="AR19" s="57" t="str">
        <f>IF(AQ19="","",IF(I$8="A",(RANK(AQ19,AQ$11:AQ$363,1)+COUNTIF(AQ$11:AQ19,AQ19)-1),(RANK(AQ19,AQ$11:AQ$363)+COUNTIF(AQ$11:AQ19,AQ19)-1)))</f>
        <v/>
      </c>
      <c r="AS19" s="52">
        <f t="shared" si="23"/>
        <v>9</v>
      </c>
      <c r="AT19" s="57" t="str">
        <f t="shared" si="11"/>
        <v>Fylde</v>
      </c>
      <c r="AU19" s="62">
        <f t="shared" si="12"/>
        <v>22</v>
      </c>
      <c r="AX19" s="44">
        <f>HLOOKUP($AX$9&amp;$AX$10,Data!$A$1:$ZZ$2000,(MATCH($C19,Data!$A$1:$A$2000,0)),FALSE)</f>
        <v>28</v>
      </c>
      <c r="AY19" s="156"/>
      <c r="AZ19" s="44"/>
    </row>
    <row r="20" spans="1:52">
      <c r="A20" s="84" t="str">
        <f>$D$1&amp;10</f>
        <v>SD10</v>
      </c>
      <c r="B20" s="85" t="str">
        <f>IF(ISERROR(VLOOKUP(A20,classifications!A:C,3,FALSE)),0,VLOOKUP(A20,classifications!A:C,3,FALSE))</f>
        <v>Cherwell</v>
      </c>
      <c r="C20" s="31" t="s">
        <v>197</v>
      </c>
      <c r="D20" s="49" t="str">
        <f>VLOOKUP($C20,classifications!$C:$J,4,FALSE)</f>
        <v>L</v>
      </c>
      <c r="E20" s="49">
        <f>VLOOKUP(C20,classifications!C:K,9,FALSE)</f>
        <v>0</v>
      </c>
      <c r="F20" s="59">
        <f t="shared" si="2"/>
        <v>7</v>
      </c>
      <c r="G20" s="105"/>
      <c r="H20" s="60" t="str">
        <f t="shared" si="3"/>
        <v/>
      </c>
      <c r="I20" s="112" t="str">
        <f>IF(H20="","",IF($I$8="A",(RANK(H20,H$11:H$363,1)+COUNTIF(H$11:H20,H20)-1),(RANK(H20,H$11:H$363)+COUNTIF(H$11:H20,H20)-1)))</f>
        <v/>
      </c>
      <c r="J20" s="58"/>
      <c r="K20" s="51">
        <f t="shared" si="13"/>
        <v>10</v>
      </c>
      <c r="L20" s="59" t="str">
        <f t="shared" si="14"/>
        <v>Dover</v>
      </c>
      <c r="M20" s="153">
        <f t="shared" si="20"/>
        <v>11</v>
      </c>
      <c r="N20" s="148">
        <f t="shared" si="21"/>
        <v>11</v>
      </c>
      <c r="O20" s="131">
        <f t="shared" si="4"/>
        <v>11</v>
      </c>
      <c r="P20" s="131" t="str">
        <f t="shared" si="15"/>
        <v/>
      </c>
      <c r="Q20" s="131" t="str">
        <f t="shared" si="16"/>
        <v/>
      </c>
      <c r="R20" s="127" t="str">
        <f t="shared" si="17"/>
        <v/>
      </c>
      <c r="S20" s="60" t="str">
        <f t="shared" si="5"/>
        <v/>
      </c>
      <c r="T20" s="231" t="str">
        <f>IF(L20="","",VLOOKUP(L20,classifications!C:K,9,FALSE))</f>
        <v>Sparse</v>
      </c>
      <c r="U20" s="238">
        <f t="shared" si="6"/>
        <v>11</v>
      </c>
      <c r="V20" s="239">
        <f>IF(U20="","",IF($I$8="A",(RANK(U20,U$11:U$363)+COUNTIF(U$11:U20,U20)-1),(RANK(U20,U$11:U$363,1)+COUNTIF(U$11:U20,U20)-1)))</f>
        <v>87</v>
      </c>
      <c r="W20" s="240"/>
      <c r="X20" s="61" t="str">
        <f>IF(L20="","",VLOOKUP($L20,classifications!$C:$J,6,FALSE))</f>
        <v>Urban with Significant Rural (rural including hub towns 26-49%)</v>
      </c>
      <c r="Y20" s="49" t="str">
        <f t="shared" si="0"/>
        <v/>
      </c>
      <c r="Z20" s="57" t="str">
        <f>IF(Y20="","",IF(I$8="A",(RANK(Y20,Y$11:Y$363,1)+COUNTIF(Y$11:Y20,Y20)-1),(RANK(Y20,Y$11:Y$363)+COUNTIF(Y$11:Y20,Y20)-1)))</f>
        <v/>
      </c>
      <c r="AA20" s="245" t="str">
        <f>IF(L20="","",VLOOKUP($L20,classifications!C:I,7,FALSE))</f>
        <v>Significant Rural</v>
      </c>
      <c r="AB20" s="239" t="str">
        <f t="shared" si="7"/>
        <v/>
      </c>
      <c r="AC20" s="239" t="str">
        <f>IF(AB20="","",IF($I$8="A",(RANK(AB20,AB$11:AB$363)+COUNTIF(AB$11:AB20,AB20)-1),(RANK(AB20,AB$11:AB$363,1)+COUNTIF(AB$11:AB20,AB20)-1)))</f>
        <v/>
      </c>
      <c r="AD20" s="239"/>
      <c r="AE20" s="71">
        <f>IF(I$8="A",(RANK(AG20,AG$11:AG$363,1)+COUNTIF(AG$11:AG20,AG20)-1),(RANK(AG20,AG$11:AG$363)+COUNTIF(AG$11:AG20,AG20)-1))</f>
        <v>13</v>
      </c>
      <c r="AF20" s="6" t="str">
        <f>VLOOKUP(Profile!$J$5,Families!$C:$R,10,FALSE)</f>
        <v>Carlisle</v>
      </c>
      <c r="AG20" s="143">
        <f t="shared" si="22"/>
        <v>25</v>
      </c>
      <c r="AH20" s="72">
        <f t="shared" si="18"/>
        <v>13</v>
      </c>
      <c r="AI20" s="61" t="str">
        <f>IF(L20="","",VLOOKUP($L20,classifications!$C:$J,8,FALSE))</f>
        <v>Kent</v>
      </c>
      <c r="AJ20" s="62" t="str">
        <f t="shared" si="1"/>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South East</v>
      </c>
      <c r="AQ20" s="62" t="str">
        <f t="shared" si="10"/>
        <v/>
      </c>
      <c r="AR20" s="57" t="str">
        <f>IF(AQ20="","",IF(I$8="A",(RANK(AQ20,AQ$11:AQ$363,1)+COUNTIF(AQ$11:AQ20,AQ20)-1),(RANK(AQ20,AQ$11:AQ$363)+COUNTIF(AQ$11:AQ20,AQ20)-1)))</f>
        <v/>
      </c>
      <c r="AS20" s="52">
        <f t="shared" si="23"/>
        <v>10</v>
      </c>
      <c r="AT20" s="57" t="str">
        <f t="shared" si="11"/>
        <v>Lancaster</v>
      </c>
      <c r="AU20" s="62">
        <f t="shared" si="12"/>
        <v>22</v>
      </c>
      <c r="AX20" s="44">
        <f>HLOOKUP($AX$9&amp;$AX$10,Data!$A$1:$ZZ$2000,(MATCH($C20,Data!$A$1:$A$2000,0)),FALSE)</f>
        <v>7</v>
      </c>
      <c r="AY20" s="156"/>
      <c r="AZ20" s="44"/>
    </row>
    <row r="21" spans="1:52">
      <c r="A21" s="84" t="str">
        <f>$D$1&amp;11</f>
        <v>SD11</v>
      </c>
      <c r="B21" s="85" t="str">
        <f>IF(ISERROR(VLOOKUP(A21,classifications!A:C,3,FALSE)),0,VLOOKUP(A21,classifications!A:C,3,FALSE))</f>
        <v>Chichester</v>
      </c>
      <c r="C21" s="31" t="s">
        <v>223</v>
      </c>
      <c r="D21" s="49" t="str">
        <f>VLOOKUP($C21,classifications!$C:$J,4,FALSE)</f>
        <v>MD</v>
      </c>
      <c r="E21" s="49">
        <f>VLOOKUP(C21,classifications!C:K,9,FALSE)</f>
        <v>0</v>
      </c>
      <c r="F21" s="59">
        <f t="shared" si="2"/>
        <v>24</v>
      </c>
      <c r="G21" s="105"/>
      <c r="H21" s="60" t="str">
        <f t="shared" si="3"/>
        <v/>
      </c>
      <c r="I21" s="112" t="str">
        <f>IF(H21="","",IF($I$8="A",(RANK(H21,H$11:H$363,1)+COUNTIF(H$11:H21,H21)-1),(RANK(H21,H$11:H$363)+COUNTIF(H$11:H21,H21)-1)))</f>
        <v/>
      </c>
      <c r="J21" s="58"/>
      <c r="K21" s="51">
        <f t="shared" si="13"/>
        <v>11</v>
      </c>
      <c r="L21" s="59" t="str">
        <f t="shared" si="14"/>
        <v>Gedling</v>
      </c>
      <c r="M21" s="153">
        <f t="shared" si="20"/>
        <v>11</v>
      </c>
      <c r="N21" s="148">
        <f t="shared" si="21"/>
        <v>11</v>
      </c>
      <c r="O21" s="131">
        <f t="shared" si="4"/>
        <v>11</v>
      </c>
      <c r="P21" s="131" t="str">
        <f t="shared" si="15"/>
        <v/>
      </c>
      <c r="Q21" s="131" t="str">
        <f t="shared" si="16"/>
        <v/>
      </c>
      <c r="R21" s="127" t="str">
        <f t="shared" si="17"/>
        <v/>
      </c>
      <c r="S21" s="60" t="str">
        <f t="shared" si="5"/>
        <v/>
      </c>
      <c r="T21" s="231">
        <f>IF(L21="","",VLOOKUP(L21,classifications!C:K,9,FALSE))</f>
        <v>0</v>
      </c>
      <c r="U21" s="238" t="str">
        <f t="shared" si="6"/>
        <v/>
      </c>
      <c r="V21" s="239" t="str">
        <f>IF(U21="","",IF($I$8="A",(RANK(U21,U$11:U$363)+COUNTIF(U$11:U21,U21)-1),(RANK(U21,U$11:U$363,1)+COUNTIF(U$11:U21,U21)-1)))</f>
        <v/>
      </c>
      <c r="W21" s="240"/>
      <c r="X21" s="61" t="str">
        <f>IF(L21="","",VLOOKUP($L21,classifications!$C:$J,6,FALSE))</f>
        <v>Urban with Minor Conurbation</v>
      </c>
      <c r="Y21" s="49" t="str">
        <f t="shared" si="0"/>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9</v>
      </c>
      <c r="AF21" s="6" t="str">
        <f>VLOOKUP(Profile!$J$5,Families!$C:$R,11,FALSE)</f>
        <v>Fenland</v>
      </c>
      <c r="AG21" s="143">
        <f t="shared" si="22"/>
        <v>18</v>
      </c>
      <c r="AH21" s="72">
        <f t="shared" si="18"/>
        <v>9</v>
      </c>
      <c r="AI21" s="61" t="str">
        <f>IF(L21="","",VLOOKUP($L21,classifications!$C:$J,8,FALSE))</f>
        <v>Nottinghamshire</v>
      </c>
      <c r="AJ21" s="62" t="str">
        <f t="shared" si="1"/>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East Midlands</v>
      </c>
      <c r="AQ21" s="62" t="str">
        <f t="shared" si="10"/>
        <v/>
      </c>
      <c r="AR21" s="57" t="str">
        <f>IF(AQ21="","",IF(I$8="A",(RANK(AQ21,AQ$11:AQ$363,1)+COUNTIF(AQ$11:AQ21,AQ21)-1),(RANK(AQ21,AQ$11:AQ$363)+COUNTIF(AQ$11:AQ21,AQ21)-1)))</f>
        <v/>
      </c>
      <c r="AS21" s="52">
        <f t="shared" si="23"/>
        <v>11</v>
      </c>
      <c r="AT21" s="57" t="str">
        <f t="shared" si="11"/>
        <v>Hyndburn</v>
      </c>
      <c r="AU21" s="62">
        <f t="shared" si="12"/>
        <v>23</v>
      </c>
      <c r="AX21" s="44">
        <f>HLOOKUP($AX$9&amp;$AX$10,Data!$A$1:$ZZ$2000,(MATCH($C21,Data!$A$1:$A$2000,0)),FALSE)</f>
        <v>24</v>
      </c>
      <c r="AY21" s="156"/>
      <c r="AZ21" s="44"/>
    </row>
    <row r="22" spans="1:52">
      <c r="A22" s="84" t="str">
        <f>$D$1&amp;12</f>
        <v>SD12</v>
      </c>
      <c r="B22" s="85" t="str">
        <f>IF(ISERROR(VLOOKUP(A22,classifications!A:C,3,FALSE)),0,VLOOKUP(A22,classifications!A:C,3,FALSE))</f>
        <v>Cotswold</v>
      </c>
      <c r="C22" s="31" t="s">
        <v>13</v>
      </c>
      <c r="D22" s="49" t="str">
        <f>VLOOKUP($C22,classifications!$C:$J,4,FALSE)</f>
        <v>SD</v>
      </c>
      <c r="E22" s="49">
        <f>VLOOKUP(C22,classifications!C:K,9,FALSE)</f>
        <v>0</v>
      </c>
      <c r="F22" s="59">
        <f t="shared" si="2"/>
        <v>17</v>
      </c>
      <c r="G22" s="105"/>
      <c r="H22" s="60">
        <f t="shared" si="3"/>
        <v>17</v>
      </c>
      <c r="I22" s="112">
        <f>IF(H22="","",IF($I$8="A",(RANK(H22,H$11:H$363,1)+COUNTIF(H$11:H22,H22)-1),(RANK(H22,H$11:H$363)+COUNTIF(H$11:H22,H22)-1)))</f>
        <v>71</v>
      </c>
      <c r="J22" s="58"/>
      <c r="K22" s="51">
        <f t="shared" si="13"/>
        <v>12</v>
      </c>
      <c r="L22" s="59" t="str">
        <f t="shared" si="14"/>
        <v>Maldon</v>
      </c>
      <c r="M22" s="153">
        <f t="shared" si="20"/>
        <v>11</v>
      </c>
      <c r="N22" s="148">
        <f t="shared" si="21"/>
        <v>11</v>
      </c>
      <c r="O22" s="131">
        <f t="shared" si="4"/>
        <v>11</v>
      </c>
      <c r="P22" s="131" t="str">
        <f t="shared" si="15"/>
        <v/>
      </c>
      <c r="Q22" s="131" t="str">
        <f t="shared" si="16"/>
        <v/>
      </c>
      <c r="R22" s="127" t="str">
        <f t="shared" si="17"/>
        <v/>
      </c>
      <c r="S22" s="60" t="str">
        <f t="shared" si="5"/>
        <v/>
      </c>
      <c r="T22" s="231" t="str">
        <f>IF(L22="","",VLOOKUP(L22,classifications!C:K,9,FALSE))</f>
        <v>Sparse</v>
      </c>
      <c r="U22" s="238">
        <f t="shared" si="6"/>
        <v>11</v>
      </c>
      <c r="V22" s="239">
        <f>IF(U22="","",IF($I$8="A",(RANK(U22,U$11:U$363)+COUNTIF(U$11:U22,U22)-1),(RANK(U22,U$11:U$363,1)+COUNTIF(U$11:U22,U22)-1)))</f>
        <v>88</v>
      </c>
      <c r="W22" s="240"/>
      <c r="X22" s="61" t="str">
        <f>IF(L22="","",VLOOKUP($L22,classifications!$C:$J,6,FALSE))</f>
        <v xml:space="preserve">Mainly Rural (rural including hub towns &gt;=80%) </v>
      </c>
      <c r="Y22" s="49">
        <f t="shared" si="0"/>
        <v>11</v>
      </c>
      <c r="Z22" s="57">
        <f>IF(Y22="","",IF(I$8="A",(RANK(Y22,Y$11:Y$363,1)+COUNTIF(Y$11:Y22,Y22)-1),(RANK(Y22,Y$11:Y$363)+COUNTIF(Y$11:Y22,Y22)-1)))</f>
        <v>3</v>
      </c>
      <c r="AA22" s="245" t="str">
        <f>IF(L22="","",VLOOKUP($L22,classifications!C:I,7,FALSE))</f>
        <v>Predominantly Rural</v>
      </c>
      <c r="AB22" s="239">
        <f t="shared" si="7"/>
        <v>11</v>
      </c>
      <c r="AC22" s="239">
        <f>IF(AB22="","",IF($I$8="A",(RANK(AB22,AB$11:AB$363)+COUNTIF(AB$11:AB22,AB22)-1),(RANK(AB22,AB$11:AB$363,1)+COUNTIF(AB$11:AB22,AB22)-1)))</f>
        <v>72</v>
      </c>
      <c r="AD22" s="239"/>
      <c r="AE22" s="71">
        <f>IF(I$8="A",(RANK(AG22,AG$11:AG$363,1)+COUNTIF(AG$11:AG22,AG22)-1),(RANK(AG22,AG$11:AG$363)+COUNTIF(AG$11:AG22,AG22)-1))</f>
        <v>7</v>
      </c>
      <c r="AF22" s="6" t="str">
        <f>VLOOKUP(Profile!$J$5,Families!$C:$R,12,FALSE)</f>
        <v>Bolsover</v>
      </c>
      <c r="AG22" s="143">
        <f t="shared" si="22"/>
        <v>15</v>
      </c>
      <c r="AH22" s="72">
        <f t="shared" si="18"/>
        <v>7</v>
      </c>
      <c r="AI22" s="61" t="str">
        <f>IF(L22="","",VLOOKUP($L22,classifications!$C:$J,8,FALSE))</f>
        <v>Essex</v>
      </c>
      <c r="AJ22" s="62" t="str">
        <f t="shared" si="1"/>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East of England</v>
      </c>
      <c r="AQ22" s="62" t="str">
        <f t="shared" si="10"/>
        <v/>
      </c>
      <c r="AR22" s="57" t="str">
        <f>IF(AQ22="","",IF(I$8="A",(RANK(AQ22,AQ$11:AQ$363,1)+COUNTIF(AQ$11:AQ22,AQ22)-1),(RANK(AQ22,AQ$11:AQ$363)+COUNTIF(AQ$11:AQ22,AQ22)-1)))</f>
        <v/>
      </c>
      <c r="AS22" s="52">
        <f t="shared" si="23"/>
        <v>12</v>
      </c>
      <c r="AT22" s="57" t="str">
        <f t="shared" si="11"/>
        <v>Carlisle</v>
      </c>
      <c r="AU22" s="62">
        <f t="shared" si="12"/>
        <v>25</v>
      </c>
      <c r="AX22" s="44">
        <f>HLOOKUP($AX$9&amp;$AX$10,Data!$A$1:$ZZ$2000,(MATCH($C22,Data!$A$1:$A$2000,0)),FALSE)</f>
        <v>17</v>
      </c>
      <c r="AY22" s="156"/>
      <c r="AZ22" s="44"/>
    </row>
    <row r="23" spans="1:52">
      <c r="A23" s="84" t="str">
        <f>$D$1&amp;13</f>
        <v>SD13</v>
      </c>
      <c r="B23" s="85" t="str">
        <f>IF(ISERROR(VLOOKUP(A23,classifications!A:C,3,FALSE)),0,VLOOKUP(A23,classifications!A:C,3,FALSE))</f>
        <v>Craven</v>
      </c>
      <c r="C23" s="31" t="s">
        <v>14</v>
      </c>
      <c r="D23" s="49" t="str">
        <f>VLOOKUP($C23,classifications!$C:$J,4,FALSE)</f>
        <v>SD</v>
      </c>
      <c r="E23" s="49">
        <f>VLOOKUP(C23,classifications!C:K,9,FALSE)</f>
        <v>0</v>
      </c>
      <c r="F23" s="59">
        <f t="shared" si="2"/>
        <v>24</v>
      </c>
      <c r="G23" s="105"/>
      <c r="H23" s="60">
        <f t="shared" si="3"/>
        <v>24</v>
      </c>
      <c r="I23" s="112">
        <f>IF(H23="","",IF($I$8="A",(RANK(H23,H$11:H$363,1)+COUNTIF(H$11:H23,H23)-1),(RANK(H23,H$11:H$363)+COUNTIF(H$11:H23,H23)-1)))</f>
        <v>157</v>
      </c>
      <c r="J23" s="58"/>
      <c r="K23" s="51">
        <f t="shared" si="13"/>
        <v>13</v>
      </c>
      <c r="L23" s="59" t="str">
        <f t="shared" si="14"/>
        <v>North Kesteven</v>
      </c>
      <c r="M23" s="153">
        <f t="shared" si="20"/>
        <v>11</v>
      </c>
      <c r="N23" s="148">
        <f t="shared" si="21"/>
        <v>11</v>
      </c>
      <c r="O23" s="131">
        <f t="shared" si="4"/>
        <v>11</v>
      </c>
      <c r="P23" s="131" t="str">
        <f t="shared" si="15"/>
        <v/>
      </c>
      <c r="Q23" s="131" t="str">
        <f t="shared" si="16"/>
        <v/>
      </c>
      <c r="R23" s="127" t="str">
        <f t="shared" si="17"/>
        <v/>
      </c>
      <c r="S23" s="60" t="str">
        <f t="shared" si="5"/>
        <v/>
      </c>
      <c r="T23" s="231" t="str">
        <f>IF(L23="","",VLOOKUP(L23,classifications!C:K,9,FALSE))</f>
        <v>Sparse</v>
      </c>
      <c r="U23" s="238">
        <f t="shared" si="6"/>
        <v>11</v>
      </c>
      <c r="V23" s="239">
        <f>IF(U23="","",IF($I$8="A",(RANK(U23,U$11:U$363)+COUNTIF(U$11:U23,U23)-1),(RANK(U23,U$11:U$363,1)+COUNTIF(U$11:U23,U23)-1)))</f>
        <v>89</v>
      </c>
      <c r="W23" s="240"/>
      <c r="X23" s="61" t="str">
        <f>IF(L23="","",VLOOKUP($L23,classifications!$C:$J,6,FALSE))</f>
        <v xml:space="preserve">Mainly Rural (rural including hub towns &gt;=80%) </v>
      </c>
      <c r="Y23" s="49">
        <f t="shared" si="0"/>
        <v>11</v>
      </c>
      <c r="Z23" s="57">
        <f>IF(Y23="","",IF(I$8="A",(RANK(Y23,Y$11:Y$363,1)+COUNTIF(Y$11:Y23,Y23)-1),(RANK(Y23,Y$11:Y$363)+COUNTIF(Y$11:Y23,Y23)-1)))</f>
        <v>4</v>
      </c>
      <c r="AA23" s="245" t="str">
        <f>IF(L23="","",VLOOKUP($L23,classifications!C:I,7,FALSE))</f>
        <v>Predominantly Rural</v>
      </c>
      <c r="AB23" s="239">
        <f t="shared" si="7"/>
        <v>11</v>
      </c>
      <c r="AC23" s="239">
        <f>IF(AB23="","",IF($I$8="A",(RANK(AB23,AB$11:AB$363)+COUNTIF(AB$11:AB23,AB23)-1),(RANK(AB23,AB$11:AB$363,1)+COUNTIF(AB$11:AB23,AB23)-1)))</f>
        <v>73</v>
      </c>
      <c r="AD23" s="239"/>
      <c r="AE23" s="71">
        <f>IF(I$8="A",(RANK(AG23,AG$11:AG$363,1)+COUNTIF(AG$11:AG23,AG23)-1),(RANK(AG23,AG$11:AG$363)+COUNTIF(AG$11:AG23,AG23)-1))</f>
        <v>15</v>
      </c>
      <c r="AF23" s="6" t="str">
        <f>VLOOKUP(Profile!$J$5,Families!$C:$R,13,FALSE)</f>
        <v>West Lancashire</v>
      </c>
      <c r="AG23" s="143">
        <f t="shared" si="22"/>
        <v>29</v>
      </c>
      <c r="AH23" s="72">
        <f t="shared" si="18"/>
        <v>15</v>
      </c>
      <c r="AI23" s="61" t="str">
        <f>IF(L23="","",VLOOKUP($L23,classifications!$C:$J,8,FALSE))</f>
        <v>Lincolnshire</v>
      </c>
      <c r="AJ23" s="62" t="str">
        <f t="shared" si="1"/>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East Midlands</v>
      </c>
      <c r="AQ23" s="62" t="str">
        <f t="shared" si="10"/>
        <v/>
      </c>
      <c r="AR23" s="57" t="str">
        <f>IF(AQ23="","",IF(I$8="A",(RANK(AQ23,AQ$11:AQ$363,1)+COUNTIF(AQ$11:AQ23,AQ23)-1),(RANK(AQ23,AQ$11:AQ$363)+COUNTIF(AQ$11:AQ23,AQ23)-1)))</f>
        <v/>
      </c>
      <c r="AS23" s="52">
        <f t="shared" si="23"/>
        <v>13</v>
      </c>
      <c r="AT23" s="57" t="str">
        <f t="shared" si="11"/>
        <v>South Lakeland</v>
      </c>
      <c r="AU23" s="62">
        <f t="shared" si="12"/>
        <v>26</v>
      </c>
      <c r="AX23" s="44">
        <f>HLOOKUP($AX$9&amp;$AX$10,Data!$A$1:$ZZ$2000,(MATCH($C23,Data!$A$1:$A$2000,0)),FALSE)</f>
        <v>24</v>
      </c>
      <c r="AY23" s="156"/>
      <c r="AZ23" s="44"/>
    </row>
    <row r="24" spans="1:52">
      <c r="A24" s="84" t="str">
        <f>$D$1&amp;14</f>
        <v>SD14</v>
      </c>
      <c r="B24" s="85" t="str">
        <f>IF(ISERROR(VLOOKUP(A24,classifications!A:C,3,FALSE)),0,VLOOKUP(A24,classifications!A:C,3,FALSE))</f>
        <v>Daventry</v>
      </c>
      <c r="C24" s="31" t="s">
        <v>344</v>
      </c>
      <c r="D24" s="49" t="str">
        <f>VLOOKUP($C24,classifications!$C:$J,4,FALSE)</f>
        <v>SD</v>
      </c>
      <c r="E24" s="49">
        <f>VLOOKUP(C24,classifications!C:K,9,FALSE)</f>
        <v>0</v>
      </c>
      <c r="F24" s="59">
        <f t="shared" si="2"/>
        <v>16</v>
      </c>
      <c r="G24" s="105"/>
      <c r="H24" s="60">
        <f t="shared" si="3"/>
        <v>16</v>
      </c>
      <c r="I24" s="112">
        <f>IF(H24="","",IF($I$8="A",(RANK(H24,H$11:H$363,1)+COUNTIF(H$11:H24,H24)-1),(RANK(H24,H$11:H$363)+COUNTIF(H$11:H24,H24)-1)))</f>
        <v>54</v>
      </c>
      <c r="J24" s="58"/>
      <c r="K24" s="51">
        <f t="shared" si="13"/>
        <v>14</v>
      </c>
      <c r="L24" s="59" t="str">
        <f t="shared" si="14"/>
        <v>South Kesteven</v>
      </c>
      <c r="M24" s="153">
        <f t="shared" si="20"/>
        <v>11</v>
      </c>
      <c r="N24" s="148">
        <f t="shared" si="21"/>
        <v>11</v>
      </c>
      <c r="O24" s="131">
        <f t="shared" si="4"/>
        <v>11</v>
      </c>
      <c r="P24" s="131" t="str">
        <f t="shared" si="15"/>
        <v/>
      </c>
      <c r="Q24" s="131" t="str">
        <f t="shared" si="16"/>
        <v/>
      </c>
      <c r="R24" s="127" t="str">
        <f t="shared" si="17"/>
        <v/>
      </c>
      <c r="S24" s="60" t="str">
        <f t="shared" si="5"/>
        <v/>
      </c>
      <c r="T24" s="231" t="str">
        <f>IF(L24="","",VLOOKUP(L24,classifications!C:K,9,FALSE))</f>
        <v>Sparse</v>
      </c>
      <c r="U24" s="238">
        <f t="shared" si="6"/>
        <v>11</v>
      </c>
      <c r="V24" s="239">
        <f>IF(U24="","",IF($I$8="A",(RANK(U24,U$11:U$363)+COUNTIF(U$11:U24,U24)-1),(RANK(U24,U$11:U$363,1)+COUNTIF(U$11:U24,U24)-1)))</f>
        <v>90</v>
      </c>
      <c r="W24" s="240"/>
      <c r="X24" s="61" t="str">
        <f>IF(L24="","",VLOOKUP($L24,classifications!$C:$J,6,FALSE))</f>
        <v xml:space="preserve">Largely Rural (rural including hub towns 50-79%) </v>
      </c>
      <c r="Y24" s="49" t="str">
        <f t="shared" si="0"/>
        <v/>
      </c>
      <c r="Z24" s="57" t="str">
        <f>IF(Y24="","",IF(I$8="A",(RANK(Y24,Y$11:Y$363,1)+COUNTIF(Y$11:Y24,Y24)-1),(RANK(Y24,Y$11:Y$363)+COUNTIF(Y$11:Y24,Y24)-1)))</f>
        <v/>
      </c>
      <c r="AA24" s="245" t="str">
        <f>IF(L24="","",VLOOKUP($L24,classifications!C:I,7,FALSE))</f>
        <v>Predominantly Rural</v>
      </c>
      <c r="AB24" s="239">
        <f t="shared" si="7"/>
        <v>11</v>
      </c>
      <c r="AC24" s="239">
        <f>IF(AB24="","",IF($I$8="A",(RANK(AB24,AB$11:AB$363)+COUNTIF(AB$11:AB24,AB24)-1),(RANK(AB24,AB$11:AB$363,1)+COUNTIF(AB$11:AB24,AB24)-1)))</f>
        <v>74</v>
      </c>
      <c r="AD24" s="239"/>
      <c r="AE24" s="71">
        <f>IF(I$8="A",(RANK(AG24,AG$11:AG$363,1)+COUNTIF(AG$11:AG24,AG24)-1),(RANK(AG24,AG$11:AG$363)+COUNTIF(AG$11:AG24,AG24)-1))</f>
        <v>12</v>
      </c>
      <c r="AF24" s="6" t="str">
        <f>VLOOKUP(Profile!$J$5,Families!$C:$R,14,FALSE)</f>
        <v>Scarborough</v>
      </c>
      <c r="AG24" s="143">
        <f t="shared" si="22"/>
        <v>22</v>
      </c>
      <c r="AH24" s="72">
        <f t="shared" si="18"/>
        <v>12</v>
      </c>
      <c r="AI24" s="61" t="str">
        <f>IF(L24="","",VLOOKUP($L24,classifications!$C:$J,8,FALSE))</f>
        <v>Lincolnshire</v>
      </c>
      <c r="AJ24" s="62" t="str">
        <f t="shared" si="1"/>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East Midlands</v>
      </c>
      <c r="AQ24" s="62" t="str">
        <f t="shared" si="10"/>
        <v/>
      </c>
      <c r="AR24" s="57" t="str">
        <f>IF(AQ24="","",IF(I$8="A",(RANK(AQ24,AQ$11:AQ$363,1)+COUNTIF(AQ$11:AQ24,AQ24)-1),(RANK(AQ24,AQ$11:AQ$363)+COUNTIF(AQ$11:AQ24,AQ24)-1)))</f>
        <v/>
      </c>
      <c r="AS24" s="52">
        <f t="shared" si="23"/>
        <v>14</v>
      </c>
      <c r="AT24" s="57" t="str">
        <f t="shared" si="11"/>
        <v>South Ribble</v>
      </c>
      <c r="AU24" s="62">
        <f t="shared" si="12"/>
        <v>26</v>
      </c>
      <c r="AX24" s="44">
        <f>HLOOKUP($AX$9&amp;$AX$10,Data!$A$1:$ZZ$2000,(MATCH($C24,Data!$A$1:$A$2000,0)),FALSE)</f>
        <v>16</v>
      </c>
      <c r="AY24" s="156"/>
      <c r="AZ24" s="44"/>
    </row>
    <row r="25" spans="1:52">
      <c r="A25" s="84" t="str">
        <f>$D$1&amp;15</f>
        <v>SD15</v>
      </c>
      <c r="B25" s="85" t="str">
        <f>IF(ISERROR(VLOOKUP(A25,classifications!A:C,3,FALSE)),0,VLOOKUP(A25,classifications!A:C,3,FALSE))</f>
        <v>Derbyshire Dales</v>
      </c>
      <c r="C25" s="31" t="s">
        <v>15</v>
      </c>
      <c r="D25" s="49" t="str">
        <f>VLOOKUP($C25,classifications!$C:$J,4,FALSE)</f>
        <v>SD</v>
      </c>
      <c r="E25" s="49" t="str">
        <f>VLOOKUP(C25,classifications!C:K,9,FALSE)</f>
        <v>Sparse</v>
      </c>
      <c r="F25" s="59">
        <f t="shared" si="2"/>
        <v>14</v>
      </c>
      <c r="G25" s="105"/>
      <c r="H25" s="60">
        <f t="shared" si="3"/>
        <v>14</v>
      </c>
      <c r="I25" s="112">
        <f>IF(H25="","",IF($I$8="A",(RANK(H25,H$11:H$363,1)+COUNTIF(H$11:H25,H25)-1),(RANK(H25,H$11:H$363)+COUNTIF(H$11:H25,H25)-1)))</f>
        <v>24</v>
      </c>
      <c r="J25" s="58"/>
      <c r="K25" s="51">
        <f t="shared" si="13"/>
        <v>15</v>
      </c>
      <c r="L25" s="59" t="str">
        <f t="shared" si="14"/>
        <v>Tewkesbury</v>
      </c>
      <c r="M25" s="153">
        <f t="shared" si="20"/>
        <v>11</v>
      </c>
      <c r="N25" s="148">
        <f t="shared" si="21"/>
        <v>11</v>
      </c>
      <c r="O25" s="131">
        <f t="shared" si="4"/>
        <v>11</v>
      </c>
      <c r="P25" s="131" t="str">
        <f t="shared" si="15"/>
        <v/>
      </c>
      <c r="Q25" s="131" t="str">
        <f t="shared" si="16"/>
        <v/>
      </c>
      <c r="R25" s="127" t="str">
        <f t="shared" si="17"/>
        <v/>
      </c>
      <c r="S25" s="60" t="str">
        <f t="shared" si="5"/>
        <v/>
      </c>
      <c r="T25" s="231" t="str">
        <f>IF(L25="","",VLOOKUP(L25,classifications!C:K,9,FALSE))</f>
        <v>Sparse</v>
      </c>
      <c r="U25" s="238">
        <f t="shared" si="6"/>
        <v>11</v>
      </c>
      <c r="V25" s="239">
        <f>IF(U25="","",IF($I$8="A",(RANK(U25,U$11:U$363)+COUNTIF(U$11:U25,U25)-1),(RANK(U25,U$11:U$363,1)+COUNTIF(U$11:U25,U25)-1)))</f>
        <v>91</v>
      </c>
      <c r="W25" s="240"/>
      <c r="X25" s="61" t="str">
        <f>IF(L25="","",VLOOKUP($L25,classifications!$C:$J,6,FALSE))</f>
        <v xml:space="preserve">Largely Rural (rural including hub towns 50-79%) </v>
      </c>
      <c r="Y25" s="49" t="str">
        <f t="shared" si="0"/>
        <v/>
      </c>
      <c r="Z25" s="57" t="str">
        <f>IF(Y25="","",IF(I$8="A",(RANK(Y25,Y$11:Y$363,1)+COUNTIF(Y$11:Y25,Y25)-1),(RANK(Y25,Y$11:Y$363)+COUNTIF(Y$11:Y25,Y25)-1)))</f>
        <v/>
      </c>
      <c r="AA25" s="245" t="str">
        <f>IF(L25="","",VLOOKUP($L25,classifications!C:I,7,FALSE))</f>
        <v>Predominantly Rural</v>
      </c>
      <c r="AB25" s="239">
        <f t="shared" si="7"/>
        <v>11</v>
      </c>
      <c r="AC25" s="239">
        <f>IF(AB25="","",IF($I$8="A",(RANK(AB25,AB$11:AB$363)+COUNTIF(AB$11:AB25,AB25)-1),(RANK(AB25,AB$11:AB$363,1)+COUNTIF(AB$11:AB25,AB25)-1)))</f>
        <v>75</v>
      </c>
      <c r="AD25" s="239"/>
      <c r="AE25" s="71">
        <f>IF(I$8="A",(RANK(AG25,AG$11:AG$363,1)+COUNTIF(AG$11:AG25,AG25)-1),(RANK(AG25,AG$11:AG$363)+COUNTIF(AG$11:AG25,AG25)-1))</f>
        <v>6</v>
      </c>
      <c r="AF25" s="6" t="str">
        <f>VLOOKUP(Profile!$J$5,Families!$C:$R,15,FALSE)</f>
        <v>Amber Valley</v>
      </c>
      <c r="AG25" s="143">
        <f t="shared" si="22"/>
        <v>14</v>
      </c>
      <c r="AH25" s="72">
        <f t="shared" si="18"/>
        <v>6</v>
      </c>
      <c r="AI25" s="61" t="str">
        <f>IF(L25="","",VLOOKUP($L25,classifications!$C:$J,8,FALSE))</f>
        <v>Gloucestershire</v>
      </c>
      <c r="AJ25" s="62" t="str">
        <f t="shared" si="1"/>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South West</v>
      </c>
      <c r="AQ25" s="62" t="str">
        <f t="shared" si="10"/>
        <v/>
      </c>
      <c r="AR25" s="57" t="str">
        <f>IF(AQ25="","",IF(I$8="A",(RANK(AQ25,AQ$11:AQ$363,1)+COUNTIF(AQ$11:AQ25,AQ25)-1),(RANK(AQ25,AQ$11:AQ$363)+COUNTIF(AQ$11:AQ25,AQ25)-1)))</f>
        <v/>
      </c>
      <c r="AS25" s="52">
        <f t="shared" si="23"/>
        <v>15</v>
      </c>
      <c r="AT25" s="57" t="str">
        <f t="shared" si="11"/>
        <v>Copeland</v>
      </c>
      <c r="AU25" s="62">
        <f t="shared" si="12"/>
        <v>28</v>
      </c>
      <c r="AX25" s="44">
        <f>HLOOKUP($AX$9&amp;$AX$10,Data!$A$1:$ZZ$2000,(MATCH($C25,Data!$A$1:$A$2000,0)),FALSE)</f>
        <v>14</v>
      </c>
      <c r="AY25" s="156"/>
      <c r="AZ25" s="44"/>
    </row>
    <row r="26" spans="1:52">
      <c r="A26" s="84" t="str">
        <f>$D$1&amp;16</f>
        <v>SD16</v>
      </c>
      <c r="B26" s="85" t="str">
        <f>IF(ISERROR(VLOOKUP(A26,classifications!A:C,3,FALSE)),0,VLOOKUP(A26,classifications!A:C,3,FALSE))</f>
        <v>Dover</v>
      </c>
      <c r="C26" s="31" t="s">
        <v>259</v>
      </c>
      <c r="D26" s="49" t="str">
        <f>VLOOKUP($C26,classifications!$C:$J,4,FALSE)</f>
        <v>UA</v>
      </c>
      <c r="E26" s="49" t="str">
        <f>VLOOKUP(C26,classifications!C:K,9,FALSE)</f>
        <v>Sparse</v>
      </c>
      <c r="F26" s="59">
        <f t="shared" si="2"/>
        <v>16</v>
      </c>
      <c r="G26" s="105"/>
      <c r="H26" s="60" t="str">
        <f t="shared" si="3"/>
        <v/>
      </c>
      <c r="I26" s="112" t="str">
        <f>IF(H26="","",IF($I$8="A",(RANK(H26,H$11:H$363,1)+COUNTIF(H$11:H26,H26)-1),(RANK(H26,H$11:H$363)+COUNTIF(H$11:H26,H26)-1)))</f>
        <v/>
      </c>
      <c r="J26" s="58"/>
      <c r="K26" s="51">
        <f t="shared" si="13"/>
        <v>16</v>
      </c>
      <c r="L26" s="59" t="str">
        <f t="shared" si="14"/>
        <v>Tonbridge &amp; Malling</v>
      </c>
      <c r="M26" s="153">
        <f t="shared" si="20"/>
        <v>11</v>
      </c>
      <c r="N26" s="148">
        <f t="shared" si="21"/>
        <v>11</v>
      </c>
      <c r="O26" s="131">
        <f t="shared" si="4"/>
        <v>11</v>
      </c>
      <c r="P26" s="131" t="str">
        <f t="shared" si="15"/>
        <v/>
      </c>
      <c r="Q26" s="131" t="str">
        <f t="shared" si="16"/>
        <v/>
      </c>
      <c r="R26" s="127" t="str">
        <f t="shared" si="17"/>
        <v/>
      </c>
      <c r="S26" s="60" t="str">
        <f t="shared" si="5"/>
        <v/>
      </c>
      <c r="T26" s="231">
        <f>IF(L26="","",VLOOKUP(L26,classifications!C:K,9,FALSE))</f>
        <v>0</v>
      </c>
      <c r="U26" s="238" t="str">
        <f t="shared" si="6"/>
        <v/>
      </c>
      <c r="V26" s="239" t="str">
        <f>IF(U26="","",IF($I$8="A",(RANK(U26,U$11:U$363)+COUNTIF(U$11:U26,U26)-1),(RANK(U26,U$11:U$363,1)+COUNTIF(U$11:U26,U26)-1)))</f>
        <v/>
      </c>
      <c r="W26" s="240"/>
      <c r="X26" s="61" t="str">
        <f>IF(L26="","",VLOOKUP($L26,classifications!$C:$J,6,FALSE))</f>
        <v>Urban with Significant Rural (rural including hub towns 26-49%)</v>
      </c>
      <c r="Y26" s="49" t="str">
        <f t="shared" si="0"/>
        <v/>
      </c>
      <c r="Z26" s="57" t="str">
        <f>IF(Y26="","",IF(I$8="A",(RANK(Y26,Y$11:Y$363,1)+COUNTIF(Y$11:Y26,Y26)-1),(RANK(Y26,Y$11:Y$363)+COUNTIF(Y$11:Y26,Y26)-1)))</f>
        <v/>
      </c>
      <c r="AA26" s="245" t="str">
        <f>IF(L26="","",VLOOKUP($L26,classifications!C:I,7,FALSE))</f>
        <v>Significant Rural</v>
      </c>
      <c r="AB26" s="239" t="str">
        <f t="shared" si="7"/>
        <v/>
      </c>
      <c r="AC26" s="239" t="str">
        <f>IF(AB26="","",IF($I$8="A",(RANK(AB26,AB$11:AB$363)+COUNTIF(AB$11:AB26,AB26)-1),(RANK(AB26,AB$11:AB$363,1)+COUNTIF(AB$11:AB26,AB26)-1)))</f>
        <v/>
      </c>
      <c r="AD26" s="239"/>
      <c r="AE26" s="71">
        <f>IF(I$8="A",(RANK(AG26,AG$11:AG$363,1)+COUNTIF(AG$11:AG26,AG26)-1),(RANK(AG26,AG$11:AG$363)+COUNTIF(AG$11:AG26,AG26)-1))</f>
        <v>8</v>
      </c>
      <c r="AF26" s="6" t="str">
        <f>VLOOKUP(Profile!$J$5,Families!$C:$R,16,FALSE)</f>
        <v>Swale</v>
      </c>
      <c r="AG26" s="143">
        <f t="shared" si="22"/>
        <v>15</v>
      </c>
      <c r="AH26" s="72">
        <f t="shared" si="18"/>
        <v>8</v>
      </c>
      <c r="AI26" s="61" t="str">
        <f>IF(L26="","",VLOOKUP($L26,classifications!$C:$J,8,FALSE))</f>
        <v>Kent</v>
      </c>
      <c r="AJ26" s="62" t="str">
        <f t="shared" si="1"/>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South East</v>
      </c>
      <c r="AQ26" s="62" t="str">
        <f t="shared" si="10"/>
        <v/>
      </c>
      <c r="AR26" s="57" t="str">
        <f>IF(AQ26="","",IF(I$8="A",(RANK(AQ26,AQ$11:AQ$363,1)+COUNTIF(AQ$11:AQ26,AQ26)-1),(RANK(AQ26,AQ$11:AQ$363)+COUNTIF(AQ$11:AQ26,AQ26)-1)))</f>
        <v/>
      </c>
      <c r="AS26" s="52">
        <f t="shared" si="23"/>
        <v>16</v>
      </c>
      <c r="AT26" s="57" t="str">
        <f t="shared" si="11"/>
        <v>Rossendale</v>
      </c>
      <c r="AU26" s="62">
        <f t="shared" si="12"/>
        <v>29</v>
      </c>
      <c r="AX26" s="44">
        <f>HLOOKUP($AX$9&amp;$AX$10,Data!$A$1:$ZZ$2000,(MATCH($C26,Data!$A$1:$A$2000,0)),FALSE)</f>
        <v>16</v>
      </c>
      <c r="AY26" s="156"/>
      <c r="AZ26" s="44"/>
    </row>
    <row r="27" spans="1:52">
      <c r="A27" s="84" t="str">
        <f>$D$1&amp;17</f>
        <v>SD17</v>
      </c>
      <c r="B27" s="85" t="str">
        <f>IF(ISERROR(VLOOKUP(A27,classifications!A:C,3,FALSE)),0,VLOOKUP(A27,classifications!A:C,3,FALSE))</f>
        <v>East Cambridgeshire</v>
      </c>
      <c r="C27" s="31" t="s">
        <v>260</v>
      </c>
      <c r="D27" s="49" t="str">
        <f>VLOOKUP($C27,classifications!$C:$J,4,FALSE)</f>
        <v>UA</v>
      </c>
      <c r="E27" s="49">
        <f>VLOOKUP(C27,classifications!C:K,9,FALSE)</f>
        <v>0</v>
      </c>
      <c r="F27" s="59">
        <f t="shared" si="2"/>
        <v>21</v>
      </c>
      <c r="G27" s="105"/>
      <c r="H27" s="60" t="str">
        <f t="shared" si="3"/>
        <v/>
      </c>
      <c r="I27" s="112" t="str">
        <f>IF(H27="","",IF($I$8="A",(RANK(H27,H$11:H$363,1)+COUNTIF(H$11:H27,H27)-1),(RANK(H27,H$11:H$363)+COUNTIF(H$11:H27,H27)-1)))</f>
        <v/>
      </c>
      <c r="J27" s="58"/>
      <c r="K27" s="51">
        <f t="shared" si="13"/>
        <v>17</v>
      </c>
      <c r="L27" s="59" t="str">
        <f>IF(K27="","",INDEX(C$11:C$363,MATCH(K27,I$11:I$363,0)))</f>
        <v>East Devon</v>
      </c>
      <c r="M27" s="153">
        <f t="shared" si="20"/>
        <v>12</v>
      </c>
      <c r="N27" s="148">
        <f t="shared" si="21"/>
        <v>12</v>
      </c>
      <c r="O27" s="131">
        <f t="shared" si="4"/>
        <v>12</v>
      </c>
      <c r="P27" s="131" t="str">
        <f t="shared" si="15"/>
        <v/>
      </c>
      <c r="Q27" s="131" t="str">
        <f t="shared" si="16"/>
        <v/>
      </c>
      <c r="R27" s="127" t="str">
        <f t="shared" si="17"/>
        <v/>
      </c>
      <c r="S27" s="60" t="str">
        <f t="shared" si="5"/>
        <v/>
      </c>
      <c r="T27" s="231" t="str">
        <f>IF(L27="","",VLOOKUP(L27,classifications!C:K,9,FALSE))</f>
        <v>Sparse</v>
      </c>
      <c r="U27" s="238">
        <f t="shared" si="6"/>
        <v>12</v>
      </c>
      <c r="V27" s="239">
        <f>IF(U27="","",IF($I$8="A",(RANK(U27,U$11:U$363)+COUNTIF(U$11:U27,U27)-1),(RANK(U27,U$11:U$363,1)+COUNTIF(U$11:U27,U27)-1)))</f>
        <v>84</v>
      </c>
      <c r="W27" s="240"/>
      <c r="X27" s="61" t="str">
        <f>IF(L27="","",VLOOKUP($L27,classifications!$C:$J,6,FALSE))</f>
        <v xml:space="preserve">Largely Rural (rural including hub towns 50-79%) </v>
      </c>
      <c r="Y27" s="49" t="str">
        <f t="shared" si="0"/>
        <v/>
      </c>
      <c r="Z27" s="57" t="str">
        <f>IF(Y27="","",IF(I$8="A",(RANK(Y27,Y$11:Y$363,1)+COUNTIF(Y$11:Y27,Y27)-1),(RANK(Y27,Y$11:Y$363)+COUNTIF(Y$11:Y27,Y27)-1)))</f>
        <v/>
      </c>
      <c r="AA27" s="245" t="str">
        <f>IF(L27="","",VLOOKUP($L27,classifications!C:I,7,FALSE))</f>
        <v>Predominantly Rural</v>
      </c>
      <c r="AB27" s="239">
        <f t="shared" si="7"/>
        <v>12</v>
      </c>
      <c r="AC27" s="239">
        <f>IF(AB27="","",IF($I$8="A",(RANK(AB27,AB$11:AB$363)+COUNTIF(AB$11:AB27,AB27)-1),(RANK(AB27,AB$11:AB$363,1)+COUNTIF(AB$11:AB27,AB27)-1)))</f>
        <v>69</v>
      </c>
      <c r="AD27" s="239"/>
      <c r="AE27" s="51"/>
      <c r="AF27" s="6"/>
      <c r="AG27" s="143"/>
      <c r="AH27" s="52"/>
      <c r="AI27" s="61" t="str">
        <f>IF(L27="","",VLOOKUP($L27,classifications!$C:$J,8,FALSE))</f>
        <v>Devon</v>
      </c>
      <c r="AJ27" s="62" t="str">
        <f t="shared" si="1"/>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South West</v>
      </c>
      <c r="AQ27" s="62" t="str">
        <f t="shared" si="10"/>
        <v/>
      </c>
      <c r="AR27" s="57" t="str">
        <f>IF(AQ27="","",IF(I$8="A",(RANK(AQ27,AQ$11:AQ$363,1)+COUNTIF(AQ$11:AQ27,AQ27)-1),(RANK(AQ27,AQ$11:AQ$363)+COUNTIF(AQ$11:AQ27,AQ27)-1)))</f>
        <v/>
      </c>
      <c r="AS27" s="52">
        <f t="shared" si="23"/>
        <v>17</v>
      </c>
      <c r="AT27" s="57" t="str">
        <f t="shared" si="11"/>
        <v>West Lancashire</v>
      </c>
      <c r="AU27" s="62">
        <f t="shared" si="12"/>
        <v>29</v>
      </c>
      <c r="AX27" s="44">
        <f>HLOOKUP($AX$9&amp;$AX$10,Data!$A$1:$ZZ$2000,(MATCH($C27,Data!$A$1:$A$2000,0)),FALSE)</f>
        <v>21</v>
      </c>
      <c r="AY27" s="156"/>
      <c r="AZ27" s="44"/>
    </row>
    <row r="28" spans="1:52">
      <c r="A28" s="84" t="str">
        <f>$D$1&amp;18</f>
        <v>SD18</v>
      </c>
      <c r="B28" s="85" t="str">
        <f>IF(ISERROR(VLOOKUP(A28,classifications!A:C,3,FALSE)),0,VLOOKUP(A28,classifications!A:C,3,FALSE))</f>
        <v>East Devon</v>
      </c>
      <c r="C28" s="31" t="s">
        <v>198</v>
      </c>
      <c r="D28" s="49" t="str">
        <f>VLOOKUP($C28,classifications!$C:$J,4,FALSE)</f>
        <v>L</v>
      </c>
      <c r="E28" s="49">
        <f>VLOOKUP(C28,classifications!C:K,9,FALSE)</f>
        <v>0</v>
      </c>
      <c r="F28" s="59">
        <f t="shared" si="2"/>
        <v>17</v>
      </c>
      <c r="G28" s="105"/>
      <c r="H28" s="60" t="str">
        <f t="shared" si="3"/>
        <v/>
      </c>
      <c r="I28" s="112" t="str">
        <f>IF(H28="","",IF($I$8="A",(RANK(H28,H$11:H$363,1)+COUNTIF(H$11:H28,H28)-1),(RANK(H28,H$11:H$363)+COUNTIF(H$11:H28,H28)-1)))</f>
        <v/>
      </c>
      <c r="J28" s="58"/>
      <c r="K28" s="51">
        <f t="shared" si="13"/>
        <v>18</v>
      </c>
      <c r="L28" s="59" t="str">
        <f t="shared" si="14"/>
        <v>North Devon</v>
      </c>
      <c r="M28" s="153">
        <f t="shared" si="20"/>
        <v>12</v>
      </c>
      <c r="N28" s="148">
        <f t="shared" si="21"/>
        <v>12</v>
      </c>
      <c r="O28" s="131">
        <f t="shared" si="4"/>
        <v>12</v>
      </c>
      <c r="P28" s="131" t="str">
        <f t="shared" si="15"/>
        <v/>
      </c>
      <c r="Q28" s="131" t="str">
        <f t="shared" si="16"/>
        <v/>
      </c>
      <c r="R28" s="127" t="str">
        <f t="shared" si="17"/>
        <v/>
      </c>
      <c r="S28" s="60" t="str">
        <f t="shared" si="5"/>
        <v/>
      </c>
      <c r="T28" s="231" t="str">
        <f>IF(L28="","",VLOOKUP(L28,classifications!C:K,9,FALSE))</f>
        <v>Sparse</v>
      </c>
      <c r="U28" s="238">
        <f t="shared" si="6"/>
        <v>12</v>
      </c>
      <c r="V28" s="239">
        <f>IF(U28="","",IF($I$8="A",(RANK(U28,U$11:U$363)+COUNTIF(U$11:U28,U28)-1),(RANK(U28,U$11:U$363,1)+COUNTIF(U$11:U28,U28)-1)))</f>
        <v>85</v>
      </c>
      <c r="W28" s="240"/>
      <c r="X28" s="61" t="str">
        <f>IF(L28="","",VLOOKUP($L28,classifications!$C:$J,6,FALSE))</f>
        <v xml:space="preserve">Largely Rural (rural including hub towns 50-79%) </v>
      </c>
      <c r="Y28" s="49" t="str">
        <f t="shared" si="0"/>
        <v/>
      </c>
      <c r="Z28" s="57" t="str">
        <f>IF(Y28="","",IF(I$8="A",(RANK(Y28,Y$11:Y$363,1)+COUNTIF(Y$11:Y28,Y28)-1),(RANK(Y28,Y$11:Y$363)+COUNTIF(Y$11:Y28,Y28)-1)))</f>
        <v/>
      </c>
      <c r="AA28" s="245" t="str">
        <f>IF(L28="","",VLOOKUP($L28,classifications!C:I,7,FALSE))</f>
        <v>Predominantly Rural</v>
      </c>
      <c r="AB28" s="239">
        <f t="shared" si="7"/>
        <v>12</v>
      </c>
      <c r="AC28" s="239">
        <f>IF(AB28="","",IF($I$8="A",(RANK(AB28,AB$11:AB$363)+COUNTIF(AB$11:AB28,AB28)-1),(RANK(AB28,AB$11:AB$363,1)+COUNTIF(AB$11:AB28,AB28)-1)))</f>
        <v>70</v>
      </c>
      <c r="AD28" s="239"/>
      <c r="AE28" s="51"/>
      <c r="AF28" s="6"/>
      <c r="AG28" s="143"/>
      <c r="AH28" s="52"/>
      <c r="AI28" s="61" t="str">
        <f>IF(L28="","",VLOOKUP($L28,classifications!$C:$J,8,FALSE))</f>
        <v>Devon</v>
      </c>
      <c r="AJ28" s="62" t="str">
        <f t="shared" si="1"/>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South West</v>
      </c>
      <c r="AQ28" s="62" t="str">
        <f t="shared" si="10"/>
        <v/>
      </c>
      <c r="AR28" s="57" t="str">
        <f>IF(AQ28="","",IF(I$8="A",(RANK(AQ28,AQ$11:AQ$363,1)+COUNTIF(AQ$11:AQ28,AQ28)-1),(RANK(AQ28,AQ$11:AQ$363)+COUNTIF(AQ$11:AQ28,AQ28)-1)))</f>
        <v/>
      </c>
      <c r="AS28" s="52">
        <f t="shared" si="23"/>
        <v>18</v>
      </c>
      <c r="AT28" s="57" t="str">
        <f t="shared" si="11"/>
        <v>Chorley</v>
      </c>
      <c r="AU28" s="62">
        <f t="shared" si="12"/>
        <v>33</v>
      </c>
      <c r="AX28" s="44">
        <f>HLOOKUP($AX$9&amp;$AX$10,Data!$A$1:$ZZ$2000,(MATCH($C28,Data!$A$1:$A$2000,0)),FALSE)</f>
        <v>17</v>
      </c>
      <c r="AY28" s="156"/>
      <c r="AZ28" s="44"/>
    </row>
    <row r="29" spans="1:52">
      <c r="A29" s="84" t="str">
        <f>$D$1&amp;19</f>
        <v>SD19</v>
      </c>
      <c r="B29" s="85" t="str">
        <f>IF(ISERROR(VLOOKUP(A29,classifications!A:C,3,FALSE)),0,VLOOKUP(A29,classifications!A:C,3,FALSE))</f>
        <v>East Hampshire</v>
      </c>
      <c r="C29" s="31" t="s">
        <v>224</v>
      </c>
      <c r="D29" s="49" t="str">
        <f>VLOOKUP($C29,classifications!$C:$J,4,FALSE)</f>
        <v>MD</v>
      </c>
      <c r="E29" s="49">
        <f>VLOOKUP(C29,classifications!C:K,9,FALSE)</f>
        <v>0</v>
      </c>
      <c r="F29" s="59">
        <f t="shared" si="2"/>
        <v>20</v>
      </c>
      <c r="G29" s="105"/>
      <c r="H29" s="60" t="str">
        <f t="shared" si="3"/>
        <v/>
      </c>
      <c r="I29" s="112" t="str">
        <f>IF(H29="","",IF($I$8="A",(RANK(H29,H$11:H$363,1)+COUNTIF(H$11:H29,H29)-1),(RANK(H29,H$11:H$363)+COUNTIF(H$11:H29,H29)-1)))</f>
        <v/>
      </c>
      <c r="J29" s="58"/>
      <c r="K29" s="51">
        <f t="shared" si="13"/>
        <v>19</v>
      </c>
      <c r="L29" s="59" t="str">
        <f t="shared" si="14"/>
        <v>Oxford</v>
      </c>
      <c r="M29" s="153">
        <f t="shared" si="20"/>
        <v>12</v>
      </c>
      <c r="N29" s="148">
        <f t="shared" si="21"/>
        <v>12</v>
      </c>
      <c r="O29" s="131">
        <f t="shared" si="4"/>
        <v>12</v>
      </c>
      <c r="P29" s="131" t="str">
        <f t="shared" si="15"/>
        <v/>
      </c>
      <c r="Q29" s="131" t="str">
        <f t="shared" si="16"/>
        <v/>
      </c>
      <c r="R29" s="127" t="str">
        <f t="shared" si="17"/>
        <v/>
      </c>
      <c r="S29" s="60" t="str">
        <f t="shared" si="5"/>
        <v/>
      </c>
      <c r="T29" s="231">
        <f>IF(L29="","",VLOOKUP(L29,classifications!C:K,9,FALSE))</f>
        <v>0</v>
      </c>
      <c r="U29" s="238" t="str">
        <f t="shared" si="6"/>
        <v/>
      </c>
      <c r="V29" s="239" t="str">
        <f>IF(U29="","",IF($I$8="A",(RANK(U29,U$11:U$363)+COUNTIF(U$11:U29,U29)-1),(RANK(U29,U$11:U$363,1)+COUNTIF(U$11:U29,U29)-1)))</f>
        <v/>
      </c>
      <c r="W29" s="240"/>
      <c r="X29" s="61" t="str">
        <f>IF(L29="","",VLOOKUP($L29,classifications!$C:$J,6,FALSE))</f>
        <v>Urban with City and Town</v>
      </c>
      <c r="Y29" s="49" t="str">
        <f t="shared" si="0"/>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Oxfordshire</v>
      </c>
      <c r="AJ29" s="62" t="str">
        <f t="shared" si="1"/>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South East</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20</v>
      </c>
      <c r="AY29" s="156"/>
      <c r="AZ29" s="44"/>
    </row>
    <row r="30" spans="1:52">
      <c r="A30" s="84" t="str">
        <f>$D$1&amp;20</f>
        <v>SD20</v>
      </c>
      <c r="B30" s="85" t="str">
        <f>IF(ISERROR(VLOOKUP(A30,classifications!A:C,3,FALSE)),0,VLOOKUP(A30,classifications!A:C,3,FALSE))</f>
        <v>East Hertfordshire</v>
      </c>
      <c r="C30" s="31" t="s">
        <v>16</v>
      </c>
      <c r="D30" s="49" t="str">
        <f>VLOOKUP($C30,classifications!$C:$J,4,FALSE)</f>
        <v>SD</v>
      </c>
      <c r="E30" s="49">
        <f>VLOOKUP(C30,classifications!C:K,9,FALSE)</f>
        <v>0</v>
      </c>
      <c r="F30" s="59">
        <f t="shared" si="2"/>
        <v>23</v>
      </c>
      <c r="G30" s="105"/>
      <c r="H30" s="60">
        <f t="shared" si="3"/>
        <v>23</v>
      </c>
      <c r="I30" s="112">
        <f>IF(H30="","",IF($I$8="A",(RANK(H30,H$11:H$363,1)+COUNTIF(H$11:H30,H30)-1),(RANK(H30,H$11:H$363)+COUNTIF(H$11:H30,H30)-1)))</f>
        <v>145</v>
      </c>
      <c r="J30" s="58"/>
      <c r="K30" s="51">
        <f t="shared" si="13"/>
        <v>20</v>
      </c>
      <c r="L30" s="59" t="str">
        <f t="shared" si="14"/>
        <v>Vale of White Horse</v>
      </c>
      <c r="M30" s="153">
        <f t="shared" si="20"/>
        <v>12</v>
      </c>
      <c r="N30" s="148">
        <f t="shared" si="21"/>
        <v>12</v>
      </c>
      <c r="O30" s="131">
        <f t="shared" si="4"/>
        <v>12</v>
      </c>
      <c r="P30" s="131" t="str">
        <f t="shared" si="15"/>
        <v/>
      </c>
      <c r="Q30" s="131" t="str">
        <f t="shared" si="16"/>
        <v/>
      </c>
      <c r="R30" s="127" t="str">
        <f t="shared" si="17"/>
        <v/>
      </c>
      <c r="S30" s="60" t="str">
        <f t="shared" si="5"/>
        <v/>
      </c>
      <c r="T30" s="231" t="str">
        <f>IF(L30="","",VLOOKUP(L30,classifications!C:K,9,FALSE))</f>
        <v>Sparse</v>
      </c>
      <c r="U30" s="238">
        <f t="shared" si="6"/>
        <v>12</v>
      </c>
      <c r="V30" s="239">
        <f>IF(U30="","",IF($I$8="A",(RANK(U30,U$11:U$363)+COUNTIF(U$11:U30,U30)-1),(RANK(U30,U$11:U$363,1)+COUNTIF(U$11:U30,U30)-1)))</f>
        <v>86</v>
      </c>
      <c r="W30" s="240"/>
      <c r="X30" s="61" t="str">
        <f>IF(L30="","",VLOOKUP($L30,classifications!$C:$J,6,FALSE))</f>
        <v xml:space="preserve">Largely Rural (rural including hub towns 50-79%) </v>
      </c>
      <c r="Y30" s="49" t="str">
        <f t="shared" si="0"/>
        <v/>
      </c>
      <c r="Z30" s="57" t="str">
        <f>IF(Y30="","",IF(I$8="A",(RANK(Y30,Y$11:Y$363,1)+COUNTIF(Y$11:Y30,Y30)-1),(RANK(Y30,Y$11:Y$363)+COUNTIF(Y$11:Y30,Y30)-1)))</f>
        <v/>
      </c>
      <c r="AA30" s="245" t="str">
        <f>IF(L30="","",VLOOKUP($L30,classifications!C:I,7,FALSE))</f>
        <v>Predominantly Rural</v>
      </c>
      <c r="AB30" s="239">
        <f t="shared" si="7"/>
        <v>12</v>
      </c>
      <c r="AC30" s="239">
        <f>IF(AB30="","",IF($I$8="A",(RANK(AB30,AB$11:AB$363)+COUNTIF(AB$11:AB30,AB30)-1),(RANK(AB30,AB$11:AB$363,1)+COUNTIF(AB$11:AB30,AB30)-1)))</f>
        <v>71</v>
      </c>
      <c r="AD30" s="239"/>
      <c r="AE30" s="51"/>
      <c r="AF30" s="6"/>
      <c r="AG30" s="143"/>
      <c r="AH30" s="52"/>
      <c r="AI30" s="61" t="str">
        <f>IF(L30="","",VLOOKUP($L30,classifications!$C:$J,8,FALSE))</f>
        <v>Oxfordshire</v>
      </c>
      <c r="AJ30" s="62" t="str">
        <f t="shared" si="1"/>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South East</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23</v>
      </c>
      <c r="AY30" s="156"/>
      <c r="AZ30" s="44"/>
    </row>
    <row r="31" spans="1:52">
      <c r="A31" s="84" t="str">
        <f>$D$1&amp;21</f>
        <v>SD21</v>
      </c>
      <c r="B31" s="85" t="str">
        <f>IF(ISERROR(VLOOKUP(A31,classifications!A:C,3,FALSE)),0,VLOOKUP(A31,classifications!A:C,3,FALSE))</f>
        <v>East Lindsey</v>
      </c>
      <c r="C31" s="31" t="s">
        <v>261</v>
      </c>
      <c r="D31" s="49" t="str">
        <f>VLOOKUP($C31,classifications!$C:$J,4,FALSE)</f>
        <v>UA</v>
      </c>
      <c r="E31" s="49">
        <f>VLOOKUP(C31,classifications!C:K,9,FALSE)</f>
        <v>0</v>
      </c>
      <c r="F31" s="59">
        <f t="shared" si="2"/>
        <v>19</v>
      </c>
      <c r="G31" s="105"/>
      <c r="H31" s="60" t="str">
        <f t="shared" si="3"/>
        <v/>
      </c>
      <c r="I31" s="112" t="str">
        <f>IF(H31="","",IF($I$8="A",(RANK(H31,H$11:H$363,1)+COUNTIF(H$11:H31,H31)-1),(RANK(H31,H$11:H$363)+COUNTIF(H$11:H31,H31)-1)))</f>
        <v/>
      </c>
      <c r="J31" s="58"/>
      <c r="K31" s="51">
        <f t="shared" si="13"/>
        <v>21</v>
      </c>
      <c r="L31" s="59" t="str">
        <f t="shared" si="14"/>
        <v>Welwyn Hatfield</v>
      </c>
      <c r="M31" s="153">
        <f t="shared" si="20"/>
        <v>12</v>
      </c>
      <c r="N31" s="148">
        <f t="shared" si="21"/>
        <v>12</v>
      </c>
      <c r="O31" s="131">
        <f t="shared" si="4"/>
        <v>12</v>
      </c>
      <c r="P31" s="131" t="str">
        <f t="shared" si="15"/>
        <v/>
      </c>
      <c r="Q31" s="131" t="str">
        <f t="shared" si="16"/>
        <v/>
      </c>
      <c r="R31" s="127" t="str">
        <f t="shared" si="17"/>
        <v/>
      </c>
      <c r="S31" s="60" t="str">
        <f t="shared" si="5"/>
        <v/>
      </c>
      <c r="T31" s="231">
        <f>IF(L31="","",VLOOKUP(L31,classifications!C:K,9,FALSE))</f>
        <v>0</v>
      </c>
      <c r="U31" s="238" t="str">
        <f t="shared" si="6"/>
        <v/>
      </c>
      <c r="V31" s="239" t="str">
        <f>IF(U31="","",IF($I$8="A",(RANK(U31,U$11:U$363)+COUNTIF(U$11:U31,U31)-1),(RANK(U31,U$11:U$363,1)+COUNTIF(U$11:U31,U31)-1)))</f>
        <v/>
      </c>
      <c r="W31" s="240"/>
      <c r="X31" s="61" t="str">
        <f>IF(L31="","",VLOOKUP($L31,classifications!$C:$J,6,FALSE))</f>
        <v>Urban with City and Town</v>
      </c>
      <c r="Y31" s="49" t="str">
        <f t="shared" si="0"/>
        <v/>
      </c>
      <c r="Z31" s="57" t="str">
        <f>IF(Y31="","",IF(I$8="A",(RANK(Y31,Y$11:Y$363,1)+COUNTIF(Y$11:Y31,Y31)-1),(RANK(Y31,Y$11:Y$363)+COUNTIF(Y$11:Y31,Y31)-1)))</f>
        <v/>
      </c>
      <c r="AA31" s="245" t="str">
        <f>IF(L31="","",VLOOKUP($L31,classifications!C:I,7,FALSE))</f>
        <v>Predominantly Urban</v>
      </c>
      <c r="AB31" s="239" t="str">
        <f t="shared" si="7"/>
        <v/>
      </c>
      <c r="AC31" s="239" t="str">
        <f>IF(AB31="","",IF($I$8="A",(RANK(AB31,AB$11:AB$363)+COUNTIF(AB$11:AB31,AB31)-1),(RANK(AB31,AB$11:AB$363,1)+COUNTIF(AB$11:AB31,AB31)-1)))</f>
        <v/>
      </c>
      <c r="AD31" s="239"/>
      <c r="AE31" s="51"/>
      <c r="AF31" s="6"/>
      <c r="AG31" s="143"/>
      <c r="AH31" s="52"/>
      <c r="AI31" s="61" t="str">
        <f>IF(L31="","",VLOOKUP($L31,classifications!$C:$J,8,FALSE))</f>
        <v>Hertfordshire</v>
      </c>
      <c r="AJ31" s="62" t="str">
        <f t="shared" si="1"/>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East of England</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19</v>
      </c>
      <c r="AY31" s="156"/>
      <c r="AZ31" s="44"/>
    </row>
    <row r="32" spans="1:52">
      <c r="A32" s="84" t="str">
        <f>$D$1&amp;22</f>
        <v>SD22</v>
      </c>
      <c r="B32" s="85" t="str">
        <f>IF(ISERROR(VLOOKUP(A32,classifications!A:C,3,FALSE)),0,VLOOKUP(A32,classifications!A:C,3,FALSE))</f>
        <v>East Northamptonshire</v>
      </c>
      <c r="C32" s="31" t="s">
        <v>262</v>
      </c>
      <c r="D32" s="49" t="str">
        <f>VLOOKUP($C32,classifications!$C:$J,4,FALSE)</f>
        <v>UA</v>
      </c>
      <c r="E32" s="49">
        <f>VLOOKUP(C32,classifications!C:K,9,FALSE)</f>
        <v>0</v>
      </c>
      <c r="F32" s="59">
        <f t="shared" si="2"/>
        <v>41</v>
      </c>
      <c r="G32" s="105"/>
      <c r="H32" s="60" t="str">
        <f t="shared" si="3"/>
        <v/>
      </c>
      <c r="I32" s="112" t="str">
        <f>IF(H32="","",IF($I$8="A",(RANK(H32,H$11:H$363,1)+COUNTIF(H$11:H32,H32)-1),(RANK(H32,H$11:H$363)+COUNTIF(H$11:H32,H32)-1)))</f>
        <v/>
      </c>
      <c r="J32" s="58"/>
      <c r="K32" s="51">
        <f t="shared" si="13"/>
        <v>22</v>
      </c>
      <c r="L32" s="59" t="str">
        <f t="shared" si="14"/>
        <v>Crawley</v>
      </c>
      <c r="M32" s="153">
        <f t="shared" si="20"/>
        <v>13</v>
      </c>
      <c r="N32" s="148">
        <f t="shared" si="21"/>
        <v>13</v>
      </c>
      <c r="O32" s="131">
        <f t="shared" si="4"/>
        <v>13</v>
      </c>
      <c r="P32" s="131" t="str">
        <f t="shared" si="15"/>
        <v/>
      </c>
      <c r="Q32" s="131" t="str">
        <f t="shared" si="16"/>
        <v/>
      </c>
      <c r="R32" s="127" t="str">
        <f t="shared" si="17"/>
        <v/>
      </c>
      <c r="S32" s="60" t="str">
        <f t="shared" si="5"/>
        <v/>
      </c>
      <c r="T32" s="231">
        <f>IF(L32="","",VLOOKUP(L32,classifications!C:K,9,FALSE))</f>
        <v>0</v>
      </c>
      <c r="U32" s="238" t="str">
        <f t="shared" si="6"/>
        <v/>
      </c>
      <c r="V32" s="239" t="str">
        <f>IF(U32="","",IF($I$8="A",(RANK(U32,U$11:U$363)+COUNTIF(U$11:U32,U32)-1),(RANK(U32,U$11:U$363,1)+COUNTIF(U$11:U32,U32)-1)))</f>
        <v/>
      </c>
      <c r="W32" s="240"/>
      <c r="X32" s="61" t="str">
        <f>IF(L32="","",VLOOKUP($L32,classifications!$C:$J,6,FALSE))</f>
        <v>Urban with City and Town</v>
      </c>
      <c r="Y32" s="49" t="str">
        <f t="shared" si="0"/>
        <v/>
      </c>
      <c r="Z32" s="57" t="str">
        <f>IF(Y32="","",IF(I$8="A",(RANK(Y32,Y$11:Y$363,1)+COUNTIF(Y$11:Y32,Y32)-1),(RANK(Y32,Y$11:Y$363)+COUNTIF(Y$11:Y32,Y32)-1)))</f>
        <v/>
      </c>
      <c r="AA32" s="245" t="str">
        <f>IF(L32="","",VLOOKUP($L32,classifications!C:I,7,FALSE))</f>
        <v>Predominantly Urban</v>
      </c>
      <c r="AB32" s="239" t="str">
        <f t="shared" si="7"/>
        <v/>
      </c>
      <c r="AC32" s="239" t="str">
        <f>IF(AB32="","",IF($I$8="A",(RANK(AB32,AB$11:AB$363)+COUNTIF(AB$11:AB32,AB32)-1),(RANK(AB32,AB$11:AB$363,1)+COUNTIF(AB$11:AB32,AB32)-1)))</f>
        <v/>
      </c>
      <c r="AD32" s="239"/>
      <c r="AE32" s="51"/>
      <c r="AG32" s="143"/>
      <c r="AH32" s="52"/>
      <c r="AI32" s="61" t="str">
        <f>IF(L32="","",VLOOKUP($L32,classifications!$C:$J,8,FALSE))</f>
        <v>West Sussex</v>
      </c>
      <c r="AJ32" s="62" t="str">
        <f t="shared" si="1"/>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South East</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41</v>
      </c>
      <c r="AY32" s="156"/>
      <c r="AZ32" s="44"/>
    </row>
    <row r="33" spans="1:52">
      <c r="A33" s="84" t="str">
        <f>$D$1&amp;23</f>
        <v>SD23</v>
      </c>
      <c r="B33" s="85" t="str">
        <f>IF(ISERROR(VLOOKUP(A33,classifications!A:C,3,FALSE)),0,VLOOKUP(A33,classifications!A:C,3,FALSE))</f>
        <v>Eden</v>
      </c>
      <c r="C33" s="31" t="s">
        <v>17</v>
      </c>
      <c r="D33" s="49" t="str">
        <f>VLOOKUP($C33,classifications!$C:$J,4,FALSE)</f>
        <v>SD</v>
      </c>
      <c r="E33" s="49">
        <f>VLOOKUP(C33,classifications!C:K,9,FALSE)</f>
        <v>0</v>
      </c>
      <c r="F33" s="59">
        <f t="shared" si="2"/>
        <v>15</v>
      </c>
      <c r="G33" s="105"/>
      <c r="H33" s="60">
        <f t="shared" si="3"/>
        <v>15</v>
      </c>
      <c r="I33" s="112">
        <f>IF(H33="","",IF($I$8="A",(RANK(H33,H$11:H$363,1)+COUNTIF(H$11:H33,H33)-1),(RANK(H33,H$11:H$363)+COUNTIF(H$11:H33,H33)-1)))</f>
        <v>33</v>
      </c>
      <c r="J33" s="58"/>
      <c r="K33" s="51">
        <f t="shared" si="13"/>
        <v>23</v>
      </c>
      <c r="L33" s="59" t="str">
        <f t="shared" si="14"/>
        <v>Amber Valley</v>
      </c>
      <c r="M33" s="153">
        <f t="shared" si="20"/>
        <v>14</v>
      </c>
      <c r="N33" s="148">
        <f t="shared" si="21"/>
        <v>14</v>
      </c>
      <c r="O33" s="131">
        <f t="shared" si="4"/>
        <v>14</v>
      </c>
      <c r="P33" s="131" t="str">
        <f t="shared" si="15"/>
        <v/>
      </c>
      <c r="Q33" s="131" t="str">
        <f t="shared" si="16"/>
        <v/>
      </c>
      <c r="R33" s="127" t="str">
        <f t="shared" si="17"/>
        <v/>
      </c>
      <c r="S33" s="60" t="str">
        <f t="shared" si="5"/>
        <v/>
      </c>
      <c r="T33" s="231">
        <f>IF(L33="","",VLOOKUP(L33,classifications!C:K,9,FALSE))</f>
        <v>0</v>
      </c>
      <c r="U33" s="238" t="str">
        <f t="shared" si="6"/>
        <v/>
      </c>
      <c r="V33" s="239" t="str">
        <f>IF(U33="","",IF($I$8="A",(RANK(U33,U$11:U$363)+COUNTIF(U$11:U33,U33)-1),(RANK(U33,U$11:U$363,1)+COUNTIF(U$11:U33,U33)-1)))</f>
        <v/>
      </c>
      <c r="W33" s="240"/>
      <c r="X33" s="61" t="str">
        <f>IF(L33="","",VLOOKUP($L33,classifications!$C:$J,6,FALSE))</f>
        <v>Urban with Minor Conurbation</v>
      </c>
      <c r="Y33" s="49" t="str">
        <f t="shared" si="0"/>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Derbyshire</v>
      </c>
      <c r="AJ33" s="62" t="str">
        <f t="shared" si="1"/>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East Midlands</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15</v>
      </c>
      <c r="AY33" s="156"/>
      <c r="AZ33" s="44"/>
    </row>
    <row r="34" spans="1:52">
      <c r="A34" s="84" t="str">
        <f>$D$1&amp;24</f>
        <v>SD24</v>
      </c>
      <c r="B34" s="85" t="str">
        <f>IF(ISERROR(VLOOKUP(A34,classifications!A:C,3,FALSE)),0,VLOOKUP(A34,classifications!A:C,3,FALSE))</f>
        <v>Fenland</v>
      </c>
      <c r="C34" s="31" t="s">
        <v>225</v>
      </c>
      <c r="D34" s="49" t="str">
        <f>VLOOKUP($C34,classifications!$C:$J,4,FALSE)</f>
        <v>MD</v>
      </c>
      <c r="E34" s="49">
        <f>VLOOKUP(C34,classifications!C:K,9,FALSE)</f>
        <v>0</v>
      </c>
      <c r="F34" s="59">
        <f t="shared" si="2"/>
        <v>17</v>
      </c>
      <c r="G34" s="105"/>
      <c r="H34" s="60" t="str">
        <f t="shared" si="3"/>
        <v/>
      </c>
      <c r="I34" s="112" t="str">
        <f>IF(H34="","",IF($I$8="A",(RANK(H34,H$11:H$363,1)+COUNTIF(H$11:H34,H34)-1),(RANK(H34,H$11:H$363)+COUNTIF(H$11:H34,H34)-1)))</f>
        <v/>
      </c>
      <c r="J34" s="58"/>
      <c r="K34" s="51">
        <f t="shared" si="13"/>
        <v>24</v>
      </c>
      <c r="L34" s="59" t="str">
        <f t="shared" si="14"/>
        <v>Bassetlaw</v>
      </c>
      <c r="M34" s="153">
        <f t="shared" si="20"/>
        <v>14</v>
      </c>
      <c r="N34" s="148">
        <f t="shared" si="21"/>
        <v>14</v>
      </c>
      <c r="O34" s="131">
        <f t="shared" si="4"/>
        <v>14</v>
      </c>
      <c r="P34" s="131" t="str">
        <f t="shared" si="15"/>
        <v/>
      </c>
      <c r="Q34" s="131" t="str">
        <f t="shared" si="16"/>
        <v/>
      </c>
      <c r="R34" s="127" t="str">
        <f t="shared" si="17"/>
        <v/>
      </c>
      <c r="S34" s="60" t="str">
        <f t="shared" si="5"/>
        <v/>
      </c>
      <c r="T34" s="231" t="str">
        <f>IF(L34="","",VLOOKUP(L34,classifications!C:K,9,FALSE))</f>
        <v>Sparse</v>
      </c>
      <c r="U34" s="238">
        <f t="shared" si="6"/>
        <v>14</v>
      </c>
      <c r="V34" s="239">
        <f>IF(U34="","",IF($I$8="A",(RANK(U34,U$11:U$363)+COUNTIF(U$11:U34,U34)-1),(RANK(U34,U$11:U$363,1)+COUNTIF(U$11:U34,U34)-1)))</f>
        <v>79</v>
      </c>
      <c r="W34" s="240"/>
      <c r="X34" s="61" t="str">
        <f>IF(L34="","",VLOOKUP($L34,classifications!$C:$J,6,FALSE))</f>
        <v xml:space="preserve">Largely Rural (rural including hub towns 50-79%) </v>
      </c>
      <c r="Y34" s="49" t="str">
        <f t="shared" si="0"/>
        <v/>
      </c>
      <c r="Z34" s="57" t="str">
        <f>IF(Y34="","",IF(I$8="A",(RANK(Y34,Y$11:Y$363,1)+COUNTIF(Y$11:Y34,Y34)-1),(RANK(Y34,Y$11:Y$363)+COUNTIF(Y$11:Y34,Y34)-1)))</f>
        <v/>
      </c>
      <c r="AA34" s="245" t="str">
        <f>IF(L34="","",VLOOKUP($L34,classifications!C:I,7,FALSE))</f>
        <v>Predominantly Rural</v>
      </c>
      <c r="AB34" s="239">
        <f t="shared" si="7"/>
        <v>14</v>
      </c>
      <c r="AC34" s="239">
        <f>IF(AB34="","",IF($I$8="A",(RANK(AB34,AB$11:AB$363)+COUNTIF(AB$11:AB34,AB34)-1),(RANK(AB34,AB$11:AB$363,1)+COUNTIF(AB$11:AB34,AB34)-1)))</f>
        <v>65</v>
      </c>
      <c r="AD34" s="239"/>
      <c r="AE34" s="51"/>
      <c r="AG34" s="143"/>
      <c r="AH34" s="52"/>
      <c r="AI34" s="61" t="str">
        <f>IF(L34="","",VLOOKUP($L34,classifications!$C:$J,8,FALSE))</f>
        <v>Nottinghamshire</v>
      </c>
      <c r="AJ34" s="62" t="str">
        <f t="shared" si="1"/>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East Midlands</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17</v>
      </c>
      <c r="AY34" s="156"/>
      <c r="AZ34" s="44"/>
    </row>
    <row r="35" spans="1:52">
      <c r="A35" s="84" t="str">
        <f>$D$1&amp;25</f>
        <v>SD25</v>
      </c>
      <c r="B35" s="85" t="str">
        <f>IF(ISERROR(VLOOKUP(A35,classifications!A:C,3,FALSE)),0,VLOOKUP(A35,classifications!A:C,3,FALSE))</f>
        <v>Forest Heath</v>
      </c>
      <c r="C35" s="31" t="s">
        <v>18</v>
      </c>
      <c r="D35" s="49" t="str">
        <f>VLOOKUP($C35,classifications!$C:$J,4,FALSE)</f>
        <v>SD</v>
      </c>
      <c r="E35" s="49" t="str">
        <f>VLOOKUP(C35,classifications!C:K,9,FALSE)</f>
        <v>Sparse</v>
      </c>
      <c r="F35" s="59">
        <f t="shared" si="2"/>
        <v>4</v>
      </c>
      <c r="G35" s="105"/>
      <c r="H35" s="60">
        <f t="shared" si="3"/>
        <v>4</v>
      </c>
      <c r="I35" s="112">
        <f>IF(H35="","",IF($I$8="A",(RANK(H35,H$11:H$363,1)+COUNTIF(H$11:H35,H35)-1),(RANK(H35,H$11:H$363)+COUNTIF(H$11:H35,H35)-1)))</f>
        <v>1</v>
      </c>
      <c r="J35" s="58"/>
      <c r="K35" s="51">
        <f t="shared" si="13"/>
        <v>25</v>
      </c>
      <c r="L35" s="59" t="str">
        <f t="shared" si="14"/>
        <v>Chiltern</v>
      </c>
      <c r="M35" s="153">
        <f t="shared" si="20"/>
        <v>14</v>
      </c>
      <c r="N35" s="148">
        <f t="shared" si="21"/>
        <v>14</v>
      </c>
      <c r="O35" s="131">
        <f t="shared" si="4"/>
        <v>14</v>
      </c>
      <c r="P35" s="131" t="str">
        <f t="shared" si="15"/>
        <v/>
      </c>
      <c r="Q35" s="131" t="str">
        <f t="shared" si="16"/>
        <v/>
      </c>
      <c r="R35" s="127" t="str">
        <f t="shared" si="17"/>
        <v/>
      </c>
      <c r="S35" s="60" t="str">
        <f t="shared" si="5"/>
        <v/>
      </c>
      <c r="T35" s="231">
        <f>IF(L35="","",VLOOKUP(L35,classifications!C:K,9,FALSE))</f>
        <v>0</v>
      </c>
      <c r="U35" s="238" t="str">
        <f t="shared" si="6"/>
        <v/>
      </c>
      <c r="V35" s="239" t="str">
        <f>IF(U35="","",IF($I$8="A",(RANK(U35,U$11:U$363)+COUNTIF(U$11:U35,U35)-1),(RANK(U35,U$11:U$363,1)+COUNTIF(U$11:U35,U35)-1)))</f>
        <v/>
      </c>
      <c r="W35" s="240"/>
      <c r="X35" s="61" t="str">
        <f>IF(L35="","",VLOOKUP($L35,classifications!$C:$J,6,FALSE))</f>
        <v>Urban with Significant Rural (rural including hub towns 26-49%)</v>
      </c>
      <c r="Y35" s="49" t="str">
        <f t="shared" si="0"/>
        <v/>
      </c>
      <c r="Z35" s="57" t="str">
        <f>IF(Y35="","",IF(I$8="A",(RANK(Y35,Y$11:Y$363,1)+COUNTIF(Y$11:Y35,Y35)-1),(RANK(Y35,Y$11:Y$363)+COUNTIF(Y$11:Y35,Y35)-1)))</f>
        <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Buckinghamshire</v>
      </c>
      <c r="AJ35" s="62" t="str">
        <f t="shared" si="1"/>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South East</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4</v>
      </c>
      <c r="AY35" s="156"/>
      <c r="AZ35" s="44"/>
    </row>
    <row r="36" spans="1:52">
      <c r="A36" s="84" t="str">
        <f>$D$1&amp;26</f>
        <v>SD26</v>
      </c>
      <c r="B36" s="85" t="str">
        <f>IF(ISERROR(VLOOKUP(A36,classifications!A:C,3,FALSE)),0,VLOOKUP(A36,classifications!A:C,3,FALSE))</f>
        <v>Forest of Dean</v>
      </c>
      <c r="C36" s="31" t="s">
        <v>263</v>
      </c>
      <c r="D36" s="49" t="str">
        <f>VLOOKUP($C36,classifications!$C:$J,4,FALSE)</f>
        <v>UA</v>
      </c>
      <c r="E36" s="49">
        <f>VLOOKUP(C36,classifications!C:K,9,FALSE)</f>
        <v>0</v>
      </c>
      <c r="F36" s="59">
        <f t="shared" si="2"/>
        <v>18</v>
      </c>
      <c r="G36" s="105"/>
      <c r="H36" s="60" t="str">
        <f t="shared" si="3"/>
        <v/>
      </c>
      <c r="I36" s="112" t="str">
        <f>IF(H36="","",IF($I$8="A",(RANK(H36,H$11:H$363,1)+COUNTIF(H$11:H36,H36)-1),(RANK(H36,H$11:H$363)+COUNTIF(H$11:H36,H36)-1)))</f>
        <v/>
      </c>
      <c r="J36" s="58"/>
      <c r="K36" s="51">
        <f t="shared" si="13"/>
        <v>26</v>
      </c>
      <c r="L36" s="59" t="str">
        <f t="shared" si="14"/>
        <v>Havant</v>
      </c>
      <c r="M36" s="153">
        <f t="shared" si="20"/>
        <v>14</v>
      </c>
      <c r="N36" s="148">
        <f t="shared" si="21"/>
        <v>14</v>
      </c>
      <c r="O36" s="131">
        <f t="shared" si="4"/>
        <v>14</v>
      </c>
      <c r="P36" s="131" t="str">
        <f t="shared" si="15"/>
        <v/>
      </c>
      <c r="Q36" s="131" t="str">
        <f t="shared" si="16"/>
        <v/>
      </c>
      <c r="R36" s="127" t="str">
        <f t="shared" si="17"/>
        <v/>
      </c>
      <c r="S36" s="60" t="str">
        <f t="shared" si="5"/>
        <v/>
      </c>
      <c r="T36" s="231">
        <f>IF(L36="","",VLOOKUP(L36,classifications!C:K,9,FALSE))</f>
        <v>0</v>
      </c>
      <c r="U36" s="238" t="str">
        <f t="shared" si="6"/>
        <v/>
      </c>
      <c r="V36" s="239" t="str">
        <f>IF(U36="","",IF($I$8="A",(RANK(U36,U$11:U$363)+COUNTIF(U$11:U36,U36)-1),(RANK(U36,U$11:U$363,1)+COUNTIF(U$11:U36,U36)-1)))</f>
        <v/>
      </c>
      <c r="W36" s="240"/>
      <c r="X36" s="61" t="str">
        <f>IF(L36="","",VLOOKUP($L36,classifications!$C:$J,6,FALSE))</f>
        <v>Urban with City and Town</v>
      </c>
      <c r="Y36" s="49" t="str">
        <f t="shared" si="0"/>
        <v/>
      </c>
      <c r="Z36" s="57" t="str">
        <f>IF(Y36="","",IF(I$8="A",(RANK(Y36,Y$11:Y$363,1)+COUNTIF(Y$11:Y36,Y36)-1),(RANK(Y36,Y$11:Y$363)+COUNTIF(Y$11:Y36,Y36)-1)))</f>
        <v/>
      </c>
      <c r="AA36" s="245" t="str">
        <f>IF(L36="","",VLOOKUP($L36,classifications!C:I,7,FALSE))</f>
        <v>Predominantly Urban</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Hampshire</v>
      </c>
      <c r="AJ36" s="62" t="str">
        <f t="shared" si="1"/>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South East</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18</v>
      </c>
      <c r="AY36" s="156"/>
      <c r="AZ36" s="44"/>
    </row>
    <row r="37" spans="1:52">
      <c r="A37" s="84" t="str">
        <f>$D$1&amp;27</f>
        <v>SD27</v>
      </c>
      <c r="B37" s="85" t="str">
        <f>IF(ISERROR(VLOOKUP(A37,classifications!A:C,3,FALSE)),0,VLOOKUP(A37,classifications!A:C,3,FALSE))</f>
        <v>Hambleton</v>
      </c>
      <c r="C37" s="31" t="s">
        <v>264</v>
      </c>
      <c r="D37" s="49" t="str">
        <f>VLOOKUP($C37,classifications!$C:$J,4,FALSE)</f>
        <v>UA</v>
      </c>
      <c r="E37" s="49">
        <f>VLOOKUP(C37,classifications!C:K,9,FALSE)</f>
        <v>0</v>
      </c>
      <c r="F37" s="59">
        <f t="shared" si="2"/>
        <v>24</v>
      </c>
      <c r="G37" s="105"/>
      <c r="H37" s="60" t="str">
        <f t="shared" si="3"/>
        <v/>
      </c>
      <c r="I37" s="112" t="str">
        <f>IF(H37="","",IF($I$8="A",(RANK(H37,H$11:H$363,1)+COUNTIF(H$11:H37,H37)-1),(RANK(H37,H$11:H$363)+COUNTIF(H$11:H37,H37)-1)))</f>
        <v/>
      </c>
      <c r="J37" s="58"/>
      <c r="K37" s="51">
        <f t="shared" si="13"/>
        <v>27</v>
      </c>
      <c r="L37" s="59" t="str">
        <f t="shared" si="14"/>
        <v>High Peak</v>
      </c>
      <c r="M37" s="153">
        <f t="shared" si="20"/>
        <v>14</v>
      </c>
      <c r="N37" s="148">
        <f t="shared" si="21"/>
        <v>14</v>
      </c>
      <c r="O37" s="131">
        <f t="shared" si="4"/>
        <v>14</v>
      </c>
      <c r="P37" s="131" t="str">
        <f t="shared" si="15"/>
        <v/>
      </c>
      <c r="Q37" s="131" t="str">
        <f t="shared" si="16"/>
        <v/>
      </c>
      <c r="R37" s="127" t="str">
        <f t="shared" si="17"/>
        <v/>
      </c>
      <c r="S37" s="60" t="str">
        <f t="shared" si="5"/>
        <v/>
      </c>
      <c r="T37" s="231">
        <f>IF(L37="","",VLOOKUP(L37,classifications!C:K,9,FALSE))</f>
        <v>0</v>
      </c>
      <c r="U37" s="238" t="str">
        <f t="shared" si="6"/>
        <v/>
      </c>
      <c r="V37" s="239" t="str">
        <f>IF(U37="","",IF($I$8="A",(RANK(U37,U$11:U$363)+COUNTIF(U$11:U37,U37)-1),(RANK(U37,U$11:U$363,1)+COUNTIF(U$11:U37,U37)-1)))</f>
        <v/>
      </c>
      <c r="W37" s="240"/>
      <c r="X37" s="61" t="str">
        <f>IF(L37="","",VLOOKUP($L37,classifications!$C:$J,6,FALSE))</f>
        <v xml:space="preserve">Largely Rural (rural including hub towns 50-79%) </v>
      </c>
      <c r="Y37" s="49" t="str">
        <f t="shared" si="0"/>
        <v/>
      </c>
      <c r="Z37" s="57" t="str">
        <f>IF(Y37="","",IF(I$8="A",(RANK(Y37,Y$11:Y$363,1)+COUNTIF(Y$11:Y37,Y37)-1),(RANK(Y37,Y$11:Y$363)+COUNTIF(Y$11:Y37,Y37)-1)))</f>
        <v/>
      </c>
      <c r="AA37" s="245" t="str">
        <f>IF(L37="","",VLOOKUP($L37,classifications!C:I,7,FALSE))</f>
        <v>Predominantly Rural</v>
      </c>
      <c r="AB37" s="239">
        <f t="shared" si="7"/>
        <v>14</v>
      </c>
      <c r="AC37" s="239">
        <f>IF(AB37="","",IF($I$8="A",(RANK(AB37,AB$11:AB$363)+COUNTIF(AB$11:AB37,AB37)-1),(RANK(AB37,AB$11:AB$363,1)+COUNTIF(AB$11:AB37,AB37)-1)))</f>
        <v>66</v>
      </c>
      <c r="AD37" s="239"/>
      <c r="AE37" s="51" t="str">
        <f t="shared" si="25"/>
        <v/>
      </c>
      <c r="AG37" s="143"/>
      <c r="AH37" s="52"/>
      <c r="AI37" s="61" t="str">
        <f>IF(L37="","",VLOOKUP($L37,classifications!$C:$J,8,FALSE))</f>
        <v>Derbyshire</v>
      </c>
      <c r="AJ37" s="62" t="str">
        <f t="shared" si="1"/>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East Midlands</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24</v>
      </c>
      <c r="AY37" s="156"/>
      <c r="AZ37" s="44"/>
    </row>
    <row r="38" spans="1:52">
      <c r="A38" s="84" t="str">
        <f>$D$1&amp;28</f>
        <v>SD28</v>
      </c>
      <c r="B38" s="85" t="str">
        <f>IF(ISERROR(VLOOKUP(A38,classifications!A:C,3,FALSE)),0,VLOOKUP(A38,classifications!A:C,3,FALSE))</f>
        <v>Harborough</v>
      </c>
      <c r="C38" s="31" t="s">
        <v>226</v>
      </c>
      <c r="D38" s="49" t="str">
        <f>VLOOKUP($C38,classifications!$C:$J,4,FALSE)</f>
        <v>MD</v>
      </c>
      <c r="E38" s="49">
        <f>VLOOKUP(C38,classifications!C:K,9,FALSE)</f>
        <v>0</v>
      </c>
      <c r="F38" s="59">
        <f t="shared" si="2"/>
        <v>21</v>
      </c>
      <c r="G38" s="105"/>
      <c r="H38" s="60" t="str">
        <f t="shared" si="3"/>
        <v/>
      </c>
      <c r="I38" s="112" t="str">
        <f>IF(H38="","",IF($I$8="A",(RANK(H38,H$11:H$363,1)+COUNTIF(H$11:H38,H38)-1),(RANK(H38,H$11:H$363)+COUNTIF(H$11:H38,H38)-1)))</f>
        <v/>
      </c>
      <c r="J38" s="58"/>
      <c r="K38" s="51">
        <f t="shared" si="13"/>
        <v>28</v>
      </c>
      <c r="L38" s="59" t="str">
        <f t="shared" si="14"/>
        <v>North Norfolk</v>
      </c>
      <c r="M38" s="153">
        <f t="shared" si="20"/>
        <v>14</v>
      </c>
      <c r="N38" s="148">
        <f t="shared" si="21"/>
        <v>14</v>
      </c>
      <c r="O38" s="131">
        <f t="shared" si="4"/>
        <v>14</v>
      </c>
      <c r="P38" s="131" t="str">
        <f t="shared" si="15"/>
        <v/>
      </c>
      <c r="Q38" s="131" t="str">
        <f t="shared" si="16"/>
        <v/>
      </c>
      <c r="R38" s="127" t="str">
        <f t="shared" si="17"/>
        <v/>
      </c>
      <c r="S38" s="60" t="str">
        <f t="shared" si="5"/>
        <v/>
      </c>
      <c r="T38" s="231" t="str">
        <f>IF(L38="","",VLOOKUP(L38,classifications!C:K,9,FALSE))</f>
        <v>Sparse</v>
      </c>
      <c r="U38" s="238">
        <f t="shared" si="6"/>
        <v>14</v>
      </c>
      <c r="V38" s="239">
        <f>IF(U38="","",IF($I$8="A",(RANK(U38,U$11:U$363)+COUNTIF(U$11:U38,U38)-1),(RANK(U38,U$11:U$363,1)+COUNTIF(U$11:U38,U38)-1)))</f>
        <v>80</v>
      </c>
      <c r="W38" s="240"/>
      <c r="X38" s="61" t="str">
        <f>IF(L38="","",VLOOKUP($L38,classifications!$C:$J,6,FALSE))</f>
        <v xml:space="preserve">Mainly Rural (rural including hub towns &gt;=80%) </v>
      </c>
      <c r="Y38" s="49">
        <f t="shared" si="0"/>
        <v>14</v>
      </c>
      <c r="Z38" s="57">
        <f>IF(Y38="","",IF(I$8="A",(RANK(Y38,Y$11:Y$363,1)+COUNTIF(Y$11:Y38,Y38)-1),(RANK(Y38,Y$11:Y$363)+COUNTIF(Y$11:Y38,Y38)-1)))</f>
        <v>5</v>
      </c>
      <c r="AA38" s="245" t="str">
        <f>IF(L38="","",VLOOKUP($L38,classifications!C:I,7,FALSE))</f>
        <v>Predominantly Rural</v>
      </c>
      <c r="AB38" s="239">
        <f t="shared" si="7"/>
        <v>14</v>
      </c>
      <c r="AC38" s="239">
        <f>IF(AB38="","",IF($I$8="A",(RANK(AB38,AB$11:AB$363)+COUNTIF(AB$11:AB38,AB38)-1),(RANK(AB38,AB$11:AB$363,1)+COUNTIF(AB$11:AB38,AB38)-1)))</f>
        <v>67</v>
      </c>
      <c r="AD38" s="239"/>
      <c r="AE38" s="51" t="str">
        <f t="shared" si="25"/>
        <v/>
      </c>
      <c r="AG38" s="143"/>
      <c r="AH38" s="52"/>
      <c r="AI38" s="61" t="str">
        <f>IF(L38="","",VLOOKUP($L38,classifications!$C:$J,8,FALSE))</f>
        <v>Norfolk</v>
      </c>
      <c r="AJ38" s="62" t="str">
        <f t="shared" si="1"/>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East of England</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21</v>
      </c>
      <c r="AY38" s="156"/>
      <c r="AZ38" s="44"/>
    </row>
    <row r="39" spans="1:52">
      <c r="A39" s="84" t="str">
        <f>$D$1&amp;29</f>
        <v>SD29</v>
      </c>
      <c r="B39" s="85" t="str">
        <f>IF(ISERROR(VLOOKUP(A39,classifications!A:C,3,FALSE)),0,VLOOKUP(A39,classifications!A:C,3,FALSE))</f>
        <v>Harrogate</v>
      </c>
      <c r="C39" s="31" t="s">
        <v>19</v>
      </c>
      <c r="D39" s="49" t="str">
        <f>VLOOKUP($C39,classifications!$C:$J,4,FALSE)</f>
        <v>SD</v>
      </c>
      <c r="E39" s="49" t="str">
        <f>VLOOKUP(C39,classifications!C:K,9,FALSE)</f>
        <v>Sparse</v>
      </c>
      <c r="F39" s="59">
        <f t="shared" si="2"/>
        <v>16</v>
      </c>
      <c r="G39" s="105"/>
      <c r="H39" s="60">
        <f t="shared" si="3"/>
        <v>16</v>
      </c>
      <c r="I39" s="112">
        <f>IF(H39="","",IF($I$8="A",(RANK(H39,H$11:H$363,1)+COUNTIF(H$11:H39,H39)-1),(RANK(H39,H$11:H$363)+COUNTIF(H$11:H39,H39)-1)))</f>
        <v>55</v>
      </c>
      <c r="J39" s="58"/>
      <c r="K39" s="51">
        <f t="shared" si="13"/>
        <v>29</v>
      </c>
      <c r="L39" s="59" t="str">
        <f t="shared" si="14"/>
        <v>Preston</v>
      </c>
      <c r="M39" s="153">
        <f t="shared" si="20"/>
        <v>14</v>
      </c>
      <c r="N39" s="148">
        <f t="shared" si="21"/>
        <v>14</v>
      </c>
      <c r="O39" s="131">
        <f t="shared" si="4"/>
        <v>14</v>
      </c>
      <c r="P39" s="131" t="str">
        <f t="shared" si="15"/>
        <v/>
      </c>
      <c r="Q39" s="131" t="str">
        <f t="shared" si="16"/>
        <v/>
      </c>
      <c r="R39" s="127" t="str">
        <f t="shared" si="17"/>
        <v/>
      </c>
      <c r="S39" s="60" t="str">
        <f t="shared" si="5"/>
        <v/>
      </c>
      <c r="T39" s="231">
        <f>IF(L39="","",VLOOKUP(L39,classifications!C:K,9,FALSE))</f>
        <v>0</v>
      </c>
      <c r="U39" s="238" t="str">
        <f t="shared" si="6"/>
        <v/>
      </c>
      <c r="V39" s="239" t="str">
        <f>IF(U39="","",IF($I$8="A",(RANK(U39,U$11:U$363)+COUNTIF(U$11:U39,U39)-1),(RANK(U39,U$11:U$363,1)+COUNTIF(U$11:U39,U39)-1)))</f>
        <v/>
      </c>
      <c r="W39" s="240"/>
      <c r="X39" s="61" t="str">
        <f>IF(L39="","",VLOOKUP($L39,classifications!$C:$J,6,FALSE))</f>
        <v>Urban with City and Town</v>
      </c>
      <c r="Y39" s="49" t="str">
        <f t="shared" si="0"/>
        <v/>
      </c>
      <c r="Z39" s="57" t="str">
        <f>IF(Y39="","",IF(I$8="A",(RANK(Y39,Y$11:Y$363,1)+COUNTIF(Y$11:Y39,Y39)-1),(RANK(Y39,Y$11:Y$363)+COUNTIF(Y$11:Y39,Y39)-1)))</f>
        <v/>
      </c>
      <c r="AA39" s="245" t="str">
        <f>IF(L39="","",VLOOKUP($L39,classifications!C:I,7,FALSE))</f>
        <v>Predominantly Urban</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Lancashire</v>
      </c>
      <c r="AJ39" s="62" t="str">
        <f t="shared" si="1"/>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North West</v>
      </c>
      <c r="AQ39" s="62">
        <f t="shared" si="10"/>
        <v>14</v>
      </c>
      <c r="AR39" s="57">
        <f>IF(AQ39="","",IF(I$8="A",(RANK(AQ39,AQ$11:AQ$363,1)+COUNTIF(AQ$11:AQ39,AQ39)-1),(RANK(AQ39,AQ$11:AQ$363)+COUNTIF(AQ$11:AQ39,AQ39)-1)))</f>
        <v>1</v>
      </c>
      <c r="AS39" s="52" t="str">
        <f t="shared" si="23"/>
        <v/>
      </c>
      <c r="AT39" s="57" t="str">
        <f t="shared" si="11"/>
        <v/>
      </c>
      <c r="AU39" s="62" t="str">
        <f t="shared" si="12"/>
        <v/>
      </c>
      <c r="AX39" s="44">
        <f>HLOOKUP($AX$9&amp;$AX$10,Data!$A$1:$ZZ$2000,(MATCH($C39,Data!$A$1:$A$2000,0)),FALSE)</f>
        <v>16</v>
      </c>
      <c r="AY39" s="156"/>
      <c r="AZ39" s="44"/>
    </row>
    <row r="40" spans="1:52">
      <c r="A40" s="84" t="str">
        <f>$D$1&amp;30</f>
        <v>SD30</v>
      </c>
      <c r="B40" s="85" t="str">
        <f>IF(ISERROR(VLOOKUP(A40,classifications!A:C,3,FALSE)),0,VLOOKUP(A40,classifications!A:C,3,FALSE))</f>
        <v>Hinckley &amp; Bosworth</v>
      </c>
      <c r="C40" s="31" t="s">
        <v>20</v>
      </c>
      <c r="D40" s="49" t="str">
        <f>VLOOKUP($C40,classifications!$C:$J,4,FALSE)</f>
        <v>SD</v>
      </c>
      <c r="E40" s="49" t="str">
        <f>VLOOKUP(C40,classifications!C:K,9,FALSE)</f>
        <v>Sparse</v>
      </c>
      <c r="F40" s="59">
        <f t="shared" si="2"/>
        <v>17</v>
      </c>
      <c r="G40" s="105"/>
      <c r="H40" s="60">
        <f t="shared" si="3"/>
        <v>17</v>
      </c>
      <c r="I40" s="112">
        <f>IF(H40="","",IF($I$8="A",(RANK(H40,H$11:H$363,1)+COUNTIF(H$11:H40,H40)-1),(RANK(H40,H$11:H$363)+COUNTIF(H$11:H40,H40)-1)))</f>
        <v>72</v>
      </c>
      <c r="J40" s="58"/>
      <c r="K40" s="51">
        <f t="shared" si="13"/>
        <v>30</v>
      </c>
      <c r="L40" s="59" t="str">
        <f t="shared" si="14"/>
        <v>South Staffordshire</v>
      </c>
      <c r="M40" s="153">
        <f t="shared" si="20"/>
        <v>14</v>
      </c>
      <c r="N40" s="148">
        <f t="shared" si="21"/>
        <v>14</v>
      </c>
      <c r="O40" s="131">
        <f t="shared" si="4"/>
        <v>14</v>
      </c>
      <c r="P40" s="131" t="str">
        <f t="shared" si="15"/>
        <v/>
      </c>
      <c r="Q40" s="131" t="str">
        <f t="shared" si="16"/>
        <v/>
      </c>
      <c r="R40" s="127" t="str">
        <f t="shared" si="17"/>
        <v/>
      </c>
      <c r="S40" s="60" t="str">
        <f t="shared" si="5"/>
        <v/>
      </c>
      <c r="T40" s="231" t="str">
        <f>IF(L40="","",VLOOKUP(L40,classifications!C:K,9,FALSE))</f>
        <v>Sparse</v>
      </c>
      <c r="U40" s="238">
        <f t="shared" si="6"/>
        <v>14</v>
      </c>
      <c r="V40" s="239">
        <f>IF(U40="","",IF($I$8="A",(RANK(U40,U$11:U$363)+COUNTIF(U$11:U40,U40)-1),(RANK(U40,U$11:U$363,1)+COUNTIF(U$11:U40,U40)-1)))</f>
        <v>81</v>
      </c>
      <c r="W40" s="240"/>
      <c r="X40" s="61" t="str">
        <f>IF(L40="","",VLOOKUP($L40,classifications!$C:$J,6,FALSE))</f>
        <v>Urban with Significant Rural (rural including hub towns 26-49%)</v>
      </c>
      <c r="Y40" s="49" t="str">
        <f t="shared" si="0"/>
        <v/>
      </c>
      <c r="Z40" s="57" t="str">
        <f>IF(Y40="","",IF(I$8="A",(RANK(Y40,Y$11:Y$363,1)+COUNTIF(Y$11:Y40,Y40)-1),(RANK(Y40,Y$11:Y$363)+COUNTIF(Y$11:Y40,Y40)-1)))</f>
        <v/>
      </c>
      <c r="AA40" s="245" t="str">
        <f>IF(L40="","",VLOOKUP($L40,classifications!C:I,7,FALSE))</f>
        <v>Significant Rural</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Staffordshire</v>
      </c>
      <c r="AJ40" s="62" t="str">
        <f t="shared" si="1"/>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West Midlands</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17</v>
      </c>
      <c r="AY40" s="156"/>
      <c r="AZ40" s="44"/>
    </row>
    <row r="41" spans="1:52">
      <c r="A41" s="84" t="str">
        <f>$D$1&amp;31</f>
        <v>SD31</v>
      </c>
      <c r="B41" s="85" t="str">
        <f>IF(ISERROR(VLOOKUP(A41,classifications!A:C,3,FALSE)),0,VLOOKUP(A41,classifications!A:C,3,FALSE))</f>
        <v>Horsham</v>
      </c>
      <c r="C41" s="31" t="s">
        <v>199</v>
      </c>
      <c r="D41" s="49" t="str">
        <f>VLOOKUP($C41,classifications!$C:$J,4,FALSE)</f>
        <v>L</v>
      </c>
      <c r="E41" s="49">
        <f>VLOOKUP(C41,classifications!C:K,9,FALSE)</f>
        <v>0</v>
      </c>
      <c r="F41" s="59">
        <f t="shared" si="2"/>
        <v>16</v>
      </c>
      <c r="G41" s="105"/>
      <c r="H41" s="60" t="str">
        <f t="shared" si="3"/>
        <v/>
      </c>
      <c r="I41" s="112" t="str">
        <f>IF(H41="","",IF($I$8="A",(RANK(H41,H$11:H$363,1)+COUNTIF(H$11:H41,H41)-1),(RANK(H41,H$11:H$363)+COUNTIF(H$11:H41,H41)-1)))</f>
        <v/>
      </c>
      <c r="J41" s="58"/>
      <c r="K41" s="51">
        <f t="shared" si="13"/>
        <v>31</v>
      </c>
      <c r="L41" s="59" t="str">
        <f t="shared" si="14"/>
        <v>St Edmundsbury</v>
      </c>
      <c r="M41" s="153">
        <f t="shared" si="20"/>
        <v>14</v>
      </c>
      <c r="N41" s="148">
        <f t="shared" si="21"/>
        <v>14</v>
      </c>
      <c r="O41" s="131">
        <f t="shared" si="4"/>
        <v>14</v>
      </c>
      <c r="P41" s="131" t="str">
        <f t="shared" si="15"/>
        <v/>
      </c>
      <c r="Q41" s="131" t="str">
        <f t="shared" si="16"/>
        <v/>
      </c>
      <c r="R41" s="127" t="str">
        <f t="shared" si="17"/>
        <v/>
      </c>
      <c r="S41" s="60" t="str">
        <f t="shared" si="5"/>
        <v/>
      </c>
      <c r="T41" s="231" t="str">
        <f>IF(L41="","",VLOOKUP(L41,classifications!C:K,9,FALSE))</f>
        <v>Sparse</v>
      </c>
      <c r="U41" s="238">
        <f t="shared" si="6"/>
        <v>14</v>
      </c>
      <c r="V41" s="239">
        <f>IF(U41="","",IF($I$8="A",(RANK(U41,U$11:U$363)+COUNTIF(U$11:U41,U41)-1),(RANK(U41,U$11:U$363,1)+COUNTIF(U$11:U41,U41)-1)))</f>
        <v>82</v>
      </c>
      <c r="W41" s="240"/>
      <c r="X41" s="61" t="str">
        <f>IF(L41="","",VLOOKUP($L41,classifications!$C:$J,6,FALSE))</f>
        <v xml:space="preserve">Largely Rural (rural including hub towns 50-79%) </v>
      </c>
      <c r="Y41" s="49" t="str">
        <f t="shared" si="0"/>
        <v/>
      </c>
      <c r="Z41" s="57" t="str">
        <f>IF(Y41="","",IF(I$8="A",(RANK(Y41,Y$11:Y$363,1)+COUNTIF(Y$11:Y41,Y41)-1),(RANK(Y41,Y$11:Y$363)+COUNTIF(Y$11:Y41,Y41)-1)))</f>
        <v/>
      </c>
      <c r="AA41" s="245" t="str">
        <f>IF(L41="","",VLOOKUP($L41,classifications!C:I,7,FALSE))</f>
        <v>Predominantly Rural</v>
      </c>
      <c r="AB41" s="239">
        <f t="shared" si="7"/>
        <v>14</v>
      </c>
      <c r="AC41" s="239">
        <f>IF(AB41="","",IF($I$8="A",(RANK(AB41,AB$11:AB$363)+COUNTIF(AB$11:AB41,AB41)-1),(RANK(AB41,AB$11:AB$363,1)+COUNTIF(AB$11:AB41,AB41)-1)))</f>
        <v>68</v>
      </c>
      <c r="AD41" s="239"/>
      <c r="AE41" s="51" t="str">
        <f t="shared" si="25"/>
        <v/>
      </c>
      <c r="AG41" s="143"/>
      <c r="AH41" s="52"/>
      <c r="AI41" s="61" t="str">
        <f>IF(L41="","",VLOOKUP($L41,classifications!$C:$J,8,FALSE))</f>
        <v>Suffolk</v>
      </c>
      <c r="AJ41" s="62" t="str">
        <f t="shared" si="1"/>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East of England</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16</v>
      </c>
      <c r="AY41" s="156"/>
      <c r="AZ41" s="44"/>
    </row>
    <row r="42" spans="1:52">
      <c r="A42" s="84" t="str">
        <f>$D$1&amp;32</f>
        <v>SD32</v>
      </c>
      <c r="B42" s="85" t="str">
        <f>IF(ISERROR(VLOOKUP(A42,classifications!A:C,3,FALSE)),0,VLOOKUP(A42,classifications!A:C,3,FALSE))</f>
        <v>Huntingdonshire</v>
      </c>
      <c r="C42" s="31" t="s">
        <v>21</v>
      </c>
      <c r="D42" s="49" t="str">
        <f>VLOOKUP($C42,classifications!$C:$J,4,FALSE)</f>
        <v>SD</v>
      </c>
      <c r="E42" s="49">
        <f>VLOOKUP(C42,classifications!C:K,9,FALSE)</f>
        <v>0</v>
      </c>
      <c r="F42" s="59">
        <f t="shared" si="2"/>
        <v>17</v>
      </c>
      <c r="G42" s="105"/>
      <c r="H42" s="60">
        <f t="shared" si="3"/>
        <v>17</v>
      </c>
      <c r="I42" s="112">
        <f>IF(H42="","",IF($I$8="A",(RANK(H42,H$11:H$363,1)+COUNTIF(H$11:H42,H42)-1),(RANK(H42,H$11:H$363)+COUNTIF(H$11:H42,H42)-1)))</f>
        <v>73</v>
      </c>
      <c r="J42" s="58"/>
      <c r="K42" s="51">
        <f t="shared" si="13"/>
        <v>32</v>
      </c>
      <c r="L42" s="59" t="str">
        <f t="shared" si="14"/>
        <v>Stroud</v>
      </c>
      <c r="M42" s="153">
        <f t="shared" si="20"/>
        <v>14</v>
      </c>
      <c r="N42" s="148">
        <f t="shared" si="21"/>
        <v>14</v>
      </c>
      <c r="O42" s="131">
        <f t="shared" si="4"/>
        <v>14</v>
      </c>
      <c r="P42" s="131" t="str">
        <f t="shared" si="15"/>
        <v/>
      </c>
      <c r="Q42" s="131" t="str">
        <f t="shared" si="16"/>
        <v/>
      </c>
      <c r="R42" s="127" t="str">
        <f t="shared" si="17"/>
        <v/>
      </c>
      <c r="S42" s="60" t="str">
        <f t="shared" si="5"/>
        <v/>
      </c>
      <c r="T42" s="231" t="str">
        <f>IF(L42="","",VLOOKUP(L42,classifications!C:K,9,FALSE))</f>
        <v>Sparse</v>
      </c>
      <c r="U42" s="238">
        <f t="shared" si="6"/>
        <v>14</v>
      </c>
      <c r="V42" s="239">
        <f>IF(U42="","",IF($I$8="A",(RANK(U42,U$11:U$363)+COUNTIF(U$11:U42,U42)-1),(RANK(U42,U$11:U$363,1)+COUNTIF(U$11:U42,U42)-1)))</f>
        <v>83</v>
      </c>
      <c r="W42" s="240"/>
      <c r="X42" s="61" t="str">
        <f>IF(L42="","",VLOOKUP($L42,classifications!$C:$J,6,FALSE))</f>
        <v>Urban with Significant Rural (rural including hub towns 26-49%)</v>
      </c>
      <c r="Y42" s="49" t="str">
        <f t="shared" si="0"/>
        <v/>
      </c>
      <c r="Z42" s="57" t="str">
        <f>IF(Y42="","",IF(I$8="A",(RANK(Y42,Y$11:Y$363,1)+COUNTIF(Y$11:Y42,Y42)-1),(RANK(Y42,Y$11:Y$363)+COUNTIF(Y$11:Y42,Y42)-1)))</f>
        <v/>
      </c>
      <c r="AA42" s="245" t="str">
        <f>IF(L42="","",VLOOKUP($L42,classifications!C:I,7,FALSE))</f>
        <v>Significant Rural</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Gloucestershire</v>
      </c>
      <c r="AJ42" s="62" t="str">
        <f t="shared" si="1"/>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South West</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17</v>
      </c>
      <c r="AY42" s="156"/>
      <c r="AZ42" s="44"/>
    </row>
    <row r="43" spans="1:52">
      <c r="A43" s="84" t="str">
        <f>$D$1&amp;33</f>
        <v>SD33</v>
      </c>
      <c r="B43" s="85" t="str">
        <f>IF(ISERROR(VLOOKUP(A43,classifications!A:C,3,FALSE)),0,VLOOKUP(A43,classifications!A:C,3,FALSE))</f>
        <v>King's Lynn &amp; West Norfolk</v>
      </c>
      <c r="C43" s="31" t="s">
        <v>816</v>
      </c>
      <c r="D43" s="49" t="str">
        <f>VLOOKUP($C43,classifications!$C:$J,4,FALSE)</f>
        <v>UA</v>
      </c>
      <c r="E43" s="49">
        <f>VLOOKUP(C43,classifications!C:K,9,FALSE)</f>
        <v>0</v>
      </c>
      <c r="F43" s="59">
        <f t="shared" si="2"/>
        <v>33</v>
      </c>
      <c r="G43" s="105"/>
      <c r="H43" s="60" t="str">
        <f t="shared" si="3"/>
        <v/>
      </c>
      <c r="I43" s="112" t="str">
        <f>IF(H43="","",IF($I$8="A",(RANK(H43,H$11:H$363,1)+COUNTIF(H$11:H43,H43)-1),(RANK(H43,H$11:H$363)+COUNTIF(H$11:H43,H43)-1)))</f>
        <v/>
      </c>
      <c r="J43" s="58"/>
      <c r="K43" s="51">
        <f t="shared" si="13"/>
        <v>33</v>
      </c>
      <c r="L43" s="59" t="str">
        <f t="shared" si="14"/>
        <v>Bolsover</v>
      </c>
      <c r="M43" s="153">
        <f t="shared" si="20"/>
        <v>15</v>
      </c>
      <c r="N43" s="148">
        <f t="shared" si="21"/>
        <v>15</v>
      </c>
      <c r="O43" s="131">
        <f t="shared" si="4"/>
        <v>15</v>
      </c>
      <c r="P43" s="131" t="str">
        <f t="shared" si="15"/>
        <v/>
      </c>
      <c r="Q43" s="131" t="str">
        <f t="shared" si="16"/>
        <v/>
      </c>
      <c r="R43" s="127" t="str">
        <f t="shared" si="17"/>
        <v/>
      </c>
      <c r="S43" s="60" t="str">
        <f t="shared" si="5"/>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Urban with Significant Rural (rural including hub towns 26-49%)</v>
      </c>
      <c r="Y43" s="49" t="str">
        <f t="shared" si="0"/>
        <v/>
      </c>
      <c r="Z43" s="57" t="str">
        <f>IF(Y43="","",IF(I$8="A",(RANK(Y43,Y$11:Y$363,1)+COUNTIF(Y$11:Y43,Y43)-1),(RANK(Y43,Y$11:Y$363)+COUNTIF(Y$11:Y43,Y43)-1)))</f>
        <v/>
      </c>
      <c r="AA43" s="245" t="str">
        <f>IF(L43="","",VLOOKUP($L43,classifications!C:I,7,FALSE))</f>
        <v>Significant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Derbyshire</v>
      </c>
      <c r="AJ43" s="62" t="str">
        <f t="shared" si="1"/>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East Midlands</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33</v>
      </c>
      <c r="AY43" s="156"/>
      <c r="AZ43" s="44"/>
    </row>
    <row r="44" spans="1:52">
      <c r="A44" s="84" t="str">
        <f>$D$1&amp;34</f>
        <v>SD34</v>
      </c>
      <c r="B44" s="85" t="str">
        <f>IF(ISERROR(VLOOKUP(A44,classifications!A:C,3,FALSE)),0,VLOOKUP(A44,classifications!A:C,3,FALSE))</f>
        <v>Lewes</v>
      </c>
      <c r="C44" s="31" t="s">
        <v>820</v>
      </c>
      <c r="D44" s="49" t="str">
        <f>VLOOKUP($C44,classifications!$C:$J,4,FALSE)</f>
        <v>UA</v>
      </c>
      <c r="E44" s="49">
        <f>VLOOKUP(C44,classifications!C:K,9,FALSE)</f>
        <v>0</v>
      </c>
      <c r="F44" s="59">
        <f t="shared" si="2"/>
        <v>50</v>
      </c>
      <c r="G44" s="105"/>
      <c r="H44" s="60" t="str">
        <f t="shared" si="3"/>
        <v/>
      </c>
      <c r="I44" s="112" t="str">
        <f>IF(H44="","",IF($I$8="A",(RANK(H44,H$11:H$363,1)+COUNTIF(H$11:H44,H44)-1),(RANK(H44,H$11:H$363)+COUNTIF(H$11:H44,H44)-1)))</f>
        <v/>
      </c>
      <c r="J44" s="58"/>
      <c r="K44" s="51">
        <f t="shared" si="13"/>
        <v>34</v>
      </c>
      <c r="L44" s="59" t="str">
        <f t="shared" si="14"/>
        <v>Cambridge</v>
      </c>
      <c r="M44" s="153">
        <f t="shared" si="20"/>
        <v>15</v>
      </c>
      <c r="N44" s="148">
        <f t="shared" si="21"/>
        <v>15</v>
      </c>
      <c r="O44" s="131">
        <f t="shared" si="4"/>
        <v>15</v>
      </c>
      <c r="P44" s="131" t="str">
        <f t="shared" si="15"/>
        <v/>
      </c>
      <c r="Q44" s="131" t="str">
        <f t="shared" si="16"/>
        <v/>
      </c>
      <c r="R44" s="127" t="str">
        <f t="shared" si="17"/>
        <v/>
      </c>
      <c r="S44" s="60" t="str">
        <f t="shared" si="5"/>
        <v/>
      </c>
      <c r="T44" s="231">
        <f>IF(L44="","",VLOOKUP(L44,classifications!C:K,9,FALSE))</f>
        <v>0</v>
      </c>
      <c r="U44" s="238" t="str">
        <f t="shared" si="26"/>
        <v/>
      </c>
      <c r="V44" s="239" t="str">
        <f>IF(U44="","",IF($I$8="A",(RANK(U44,U$11:U$363)+COUNTIF(U$11:U44,U44)-1),(RANK(U44,U$11:U$363,1)+COUNTIF(U$11:U44,U44)-1)))</f>
        <v/>
      </c>
      <c r="W44" s="240"/>
      <c r="X44" s="61" t="str">
        <f>IF(L44="","",VLOOKUP($L44,classifications!$C:$J,6,FALSE))</f>
        <v>Urban with City and Town</v>
      </c>
      <c r="Y44" s="49" t="str">
        <f t="shared" si="0"/>
        <v/>
      </c>
      <c r="Z44" s="57" t="str">
        <f>IF(Y44="","",IF(I$8="A",(RANK(Y44,Y$11:Y$363,1)+COUNTIF(Y$11:Y44,Y44)-1),(RANK(Y44,Y$11:Y$363)+COUNTIF(Y$11:Y44,Y44)-1)))</f>
        <v/>
      </c>
      <c r="AA44" s="245" t="str">
        <f>IF(L44="","",VLOOKUP($L44,classifications!C:I,7,FALSE))</f>
        <v>Predominantly Urban</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Cambridgeshire</v>
      </c>
      <c r="AJ44" s="62" t="str">
        <f t="shared" si="1"/>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East of England</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50</v>
      </c>
      <c r="AY44" s="156"/>
      <c r="AZ44" s="44"/>
    </row>
    <row r="45" spans="1:52">
      <c r="A45" s="84" t="str">
        <f>$D$1&amp;35</f>
        <v>SD35</v>
      </c>
      <c r="B45" s="85" t="str">
        <f>IF(ISERROR(VLOOKUP(A45,classifications!A:C,3,FALSE)),0,VLOOKUP(A45,classifications!A:C,3,FALSE))</f>
        <v>Lichfield</v>
      </c>
      <c r="C45" s="31" t="s">
        <v>22</v>
      </c>
      <c r="D45" s="49" t="str">
        <f>VLOOKUP($C45,classifications!$C:$J,4,FALSE)</f>
        <v>SD</v>
      </c>
      <c r="E45" s="49" t="str">
        <f>VLOOKUP(C45,classifications!C:K,9,FALSE)</f>
        <v>Sparse</v>
      </c>
      <c r="F45" s="59">
        <f t="shared" si="2"/>
        <v>26</v>
      </c>
      <c r="G45" s="105"/>
      <c r="H45" s="60">
        <f t="shared" si="3"/>
        <v>26</v>
      </c>
      <c r="I45" s="112">
        <f>IF(H45="","",IF($I$8="A",(RANK(H45,H$11:H$363,1)+COUNTIF(H$11:H45,H45)-1),(RANK(H45,H$11:H$363)+COUNTIF(H$11:H45,H45)-1)))</f>
        <v>175</v>
      </c>
      <c r="J45" s="58"/>
      <c r="K45" s="51">
        <f t="shared" si="13"/>
        <v>35</v>
      </c>
      <c r="L45" s="59" t="str">
        <f t="shared" si="14"/>
        <v>Cherwell</v>
      </c>
      <c r="M45" s="153">
        <f t="shared" si="20"/>
        <v>15</v>
      </c>
      <c r="N45" s="148">
        <f t="shared" si="21"/>
        <v>15</v>
      </c>
      <c r="O45" s="131">
        <f t="shared" si="4"/>
        <v>15</v>
      </c>
      <c r="P45" s="131" t="str">
        <f t="shared" si="15"/>
        <v/>
      </c>
      <c r="Q45" s="131" t="str">
        <f t="shared" si="16"/>
        <v/>
      </c>
      <c r="R45" s="127" t="str">
        <f t="shared" si="17"/>
        <v/>
      </c>
      <c r="S45" s="60" t="str">
        <f t="shared" si="5"/>
        <v/>
      </c>
      <c r="T45" s="231" t="str">
        <f>IF(L45="","",VLOOKUP(L45,classifications!C:K,9,FALSE))</f>
        <v>Sparse</v>
      </c>
      <c r="U45" s="238">
        <f t="shared" si="26"/>
        <v>15</v>
      </c>
      <c r="V45" s="239">
        <f>IF(U45="","",IF($I$8="A",(RANK(U45,U$11:U$363)+COUNTIF(U$11:U45,U45)-1),(RANK(U45,U$11:U$363,1)+COUNTIF(U$11:U45,U45)-1)))</f>
        <v>67</v>
      </c>
      <c r="W45" s="240"/>
      <c r="X45" s="61" t="str">
        <f>IF(L45="","",VLOOKUP($L45,classifications!$C:$J,6,FALSE))</f>
        <v>Urban with Significant Rural (rural including hub towns 26-49%)</v>
      </c>
      <c r="Y45" s="49" t="str">
        <f t="shared" si="0"/>
        <v/>
      </c>
      <c r="Z45" s="57" t="str">
        <f>IF(Y45="","",IF(I$8="A",(RANK(Y45,Y$11:Y$363,1)+COUNTIF(Y$11:Y45,Y45)-1),(RANK(Y45,Y$11:Y$363)+COUNTIF(Y$11:Y45,Y45)-1)))</f>
        <v/>
      </c>
      <c r="AA45" s="245" t="str">
        <f>IF(L45="","",VLOOKUP($L45,classifications!C:I,7,FALSE))</f>
        <v>Significant Rural</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Oxfordshire</v>
      </c>
      <c r="AJ45" s="62" t="str">
        <f t="shared" si="1"/>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South East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26</v>
      </c>
      <c r="AY45" s="156"/>
      <c r="AZ45" s="44"/>
    </row>
    <row r="46" spans="1:52">
      <c r="A46" s="84" t="str">
        <f>$D$1&amp;36</f>
        <v>SD36</v>
      </c>
      <c r="B46" s="85" t="str">
        <f>IF(ISERROR(VLOOKUP(A46,classifications!A:C,3,FALSE)),0,VLOOKUP(A46,classifications!A:C,3,FALSE))</f>
        <v>Maldon</v>
      </c>
      <c r="C46" s="31" t="s">
        <v>200</v>
      </c>
      <c r="D46" s="49" t="str">
        <f>VLOOKUP($C46,classifications!$C:$J,4,FALSE)</f>
        <v>L</v>
      </c>
      <c r="E46" s="49">
        <f>VLOOKUP(C46,classifications!C:K,9,FALSE)</f>
        <v>0</v>
      </c>
      <c r="F46" s="59">
        <f t="shared" si="2"/>
        <v>38</v>
      </c>
      <c r="G46" s="105"/>
      <c r="H46" s="60" t="str">
        <f t="shared" si="3"/>
        <v/>
      </c>
      <c r="I46" s="112" t="str">
        <f>IF(H46="","",IF($I$8="A",(RANK(H46,H$11:H$363,1)+COUNTIF(H$11:H46,H46)-1),(RANK(H46,H$11:H$363)+COUNTIF(H$11:H46,H46)-1)))</f>
        <v/>
      </c>
      <c r="J46" s="58"/>
      <c r="K46" s="51">
        <f t="shared" si="13"/>
        <v>36</v>
      </c>
      <c r="L46" s="59" t="str">
        <f t="shared" si="14"/>
        <v>Cotswold</v>
      </c>
      <c r="M46" s="153">
        <f t="shared" si="20"/>
        <v>15</v>
      </c>
      <c r="N46" s="148">
        <f t="shared" si="21"/>
        <v>15</v>
      </c>
      <c r="O46" s="131">
        <f t="shared" si="4"/>
        <v>15</v>
      </c>
      <c r="P46" s="131" t="str">
        <f t="shared" si="15"/>
        <v/>
      </c>
      <c r="Q46" s="131" t="str">
        <f t="shared" si="16"/>
        <v/>
      </c>
      <c r="R46" s="127" t="str">
        <f t="shared" si="17"/>
        <v/>
      </c>
      <c r="S46" s="60" t="str">
        <f t="shared" si="5"/>
        <v/>
      </c>
      <c r="T46" s="231" t="str">
        <f>IF(L46="","",VLOOKUP(L46,classifications!C:K,9,FALSE))</f>
        <v>Sparse</v>
      </c>
      <c r="U46" s="238">
        <f t="shared" si="26"/>
        <v>15</v>
      </c>
      <c r="V46" s="239">
        <f>IF(U46="","",IF($I$8="A",(RANK(U46,U$11:U$363)+COUNTIF(U$11:U46,U46)-1),(RANK(U46,U$11:U$363,1)+COUNTIF(U$11:U46,U46)-1)))</f>
        <v>68</v>
      </c>
      <c r="W46" s="240"/>
      <c r="X46" s="61" t="str">
        <f>IF(L46="","",VLOOKUP($L46,classifications!$C:$J,6,FALSE))</f>
        <v xml:space="preserve">Mainly Rural (rural including hub towns &gt;=80%) </v>
      </c>
      <c r="Y46" s="49">
        <f t="shared" si="0"/>
        <v>15</v>
      </c>
      <c r="Z46" s="57">
        <f>IF(Y46="","",IF(I$8="A",(RANK(Y46,Y$11:Y$363,1)+COUNTIF(Y$11:Y46,Y46)-1),(RANK(Y46,Y$11:Y$363)+COUNTIF(Y$11:Y46,Y46)-1)))</f>
        <v>6</v>
      </c>
      <c r="AA46" s="245" t="str">
        <f>IF(L46="","",VLOOKUP($L46,classifications!C:I,7,FALSE))</f>
        <v>Predominantly Rural</v>
      </c>
      <c r="AB46" s="239">
        <f t="shared" si="7"/>
        <v>15</v>
      </c>
      <c r="AC46" s="239">
        <f>IF(AB46="","",IF($I$8="A",(RANK(AB46,AB$11:AB$363)+COUNTIF(AB$11:AB46,AB46)-1),(RANK(AB46,AB$11:AB$363,1)+COUNTIF(AB$11:AB46,AB46)-1)))</f>
        <v>55</v>
      </c>
      <c r="AD46" s="239"/>
      <c r="AE46" s="51" t="str">
        <f t="shared" si="25"/>
        <v/>
      </c>
      <c r="AG46" s="143"/>
      <c r="AH46" s="52"/>
      <c r="AI46" s="61" t="str">
        <f>IF(L46="","",VLOOKUP($L46,classifications!$C:$J,8,FALSE))</f>
        <v>Gloucestershire</v>
      </c>
      <c r="AJ46" s="62" t="str">
        <f t="shared" si="1"/>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South West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38</v>
      </c>
      <c r="AY46" s="156"/>
      <c r="AZ46" s="44"/>
    </row>
    <row r="47" spans="1:52">
      <c r="A47" s="84" t="str">
        <f>$D$1&amp;37</f>
        <v>SD37</v>
      </c>
      <c r="B47" s="85" t="str">
        <f>IF(ISERROR(VLOOKUP(A47,classifications!A:C,3,FALSE)),0,VLOOKUP(A47,classifications!A:C,3,FALSE))</f>
        <v>Malvern Hills</v>
      </c>
      <c r="C47" s="31" t="s">
        <v>23</v>
      </c>
      <c r="D47" s="49" t="str">
        <f>VLOOKUP($C47,classifications!$C:$J,4,FALSE)</f>
        <v>SD</v>
      </c>
      <c r="E47" s="49">
        <f>VLOOKUP(C47,classifications!C:K,9,FALSE)</f>
        <v>0</v>
      </c>
      <c r="F47" s="59">
        <f t="shared" si="2"/>
        <v>25</v>
      </c>
      <c r="G47" s="105"/>
      <c r="H47" s="60">
        <f t="shared" si="3"/>
        <v>25</v>
      </c>
      <c r="I47" s="112">
        <f>IF(H47="","",IF($I$8="A",(RANK(H47,H$11:H$363,1)+COUNTIF(H$11:H47,H47)-1),(RANK(H47,H$11:H$363)+COUNTIF(H$11:H47,H47)-1)))</f>
        <v>165</v>
      </c>
      <c r="J47" s="58"/>
      <c r="K47" s="51">
        <f t="shared" si="13"/>
        <v>37</v>
      </c>
      <c r="L47" s="59" t="str">
        <f t="shared" si="14"/>
        <v>Erewash</v>
      </c>
      <c r="M47" s="153">
        <f t="shared" si="20"/>
        <v>15</v>
      </c>
      <c r="N47" s="148">
        <f t="shared" si="21"/>
        <v>15</v>
      </c>
      <c r="O47" s="131">
        <f t="shared" si="4"/>
        <v>15</v>
      </c>
      <c r="P47" s="131" t="str">
        <f t="shared" si="15"/>
        <v/>
      </c>
      <c r="Q47" s="131" t="str">
        <f t="shared" si="16"/>
        <v/>
      </c>
      <c r="R47" s="127" t="str">
        <f t="shared" si="17"/>
        <v/>
      </c>
      <c r="S47" s="60" t="str">
        <f t="shared" si="5"/>
        <v/>
      </c>
      <c r="T47" s="231">
        <f>IF(L47="","",VLOOKUP(L47,classifications!C:K,9,FALSE))</f>
        <v>0</v>
      </c>
      <c r="U47" s="238" t="str">
        <f t="shared" si="26"/>
        <v/>
      </c>
      <c r="V47" s="239" t="str">
        <f>IF(U47="","",IF($I$8="A",(RANK(U47,U$11:U$363)+COUNTIF(U$11:U47,U47)-1),(RANK(U47,U$11:U$363,1)+COUNTIF(U$11:U47,U47)-1)))</f>
        <v/>
      </c>
      <c r="W47" s="240"/>
      <c r="X47" s="61" t="str">
        <f>IF(L47="","",VLOOKUP($L47,classifications!$C:$J,6,FALSE))</f>
        <v>Urban with Minor Conurbation</v>
      </c>
      <c r="Y47" s="49" t="str">
        <f t="shared" si="0"/>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Derbyshire</v>
      </c>
      <c r="AJ47" s="62" t="str">
        <f t="shared" si="1"/>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East Midlands</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25</v>
      </c>
      <c r="AY47" s="156"/>
      <c r="AZ47" s="44"/>
    </row>
    <row r="48" spans="1:52">
      <c r="A48" s="84" t="str">
        <f>$D$1&amp;38</f>
        <v>SD38</v>
      </c>
      <c r="B48" s="85" t="str">
        <f>IF(ISERROR(VLOOKUP(A48,classifications!A:C,3,FALSE)),0,VLOOKUP(A48,classifications!A:C,3,FALSE))</f>
        <v>Melton</v>
      </c>
      <c r="C48" s="31" t="s">
        <v>24</v>
      </c>
      <c r="D48" s="49" t="str">
        <f>VLOOKUP($C48,classifications!$C:$J,4,FALSE)</f>
        <v>SD</v>
      </c>
      <c r="E48" s="49">
        <f>VLOOKUP(C48,classifications!C:K,9,FALSE)</f>
        <v>0</v>
      </c>
      <c r="F48" s="59">
        <f t="shared" si="2"/>
        <v>22</v>
      </c>
      <c r="G48" s="105"/>
      <c r="H48" s="60">
        <f t="shared" si="3"/>
        <v>22</v>
      </c>
      <c r="I48" s="112">
        <f>IF(H48="","",IF($I$8="A",(RANK(H48,H$11:H$363,1)+COUNTIF(H$11:H48,H48)-1),(RANK(H48,H$11:H$363)+COUNTIF(H$11:H48,H48)-1)))</f>
        <v>135</v>
      </c>
      <c r="J48" s="58"/>
      <c r="K48" s="51">
        <f t="shared" si="13"/>
        <v>38</v>
      </c>
      <c r="L48" s="59" t="str">
        <f t="shared" si="14"/>
        <v>Forest Heath</v>
      </c>
      <c r="M48" s="153">
        <f t="shared" si="20"/>
        <v>15</v>
      </c>
      <c r="N48" s="148">
        <f t="shared" si="21"/>
        <v>15</v>
      </c>
      <c r="O48" s="131">
        <f t="shared" si="4"/>
        <v>15</v>
      </c>
      <c r="P48" s="131" t="str">
        <f t="shared" si="15"/>
        <v/>
      </c>
      <c r="Q48" s="131" t="str">
        <f t="shared" si="16"/>
        <v/>
      </c>
      <c r="R48" s="127" t="str">
        <f t="shared" si="17"/>
        <v/>
      </c>
      <c r="S48" s="60" t="str">
        <f t="shared" si="5"/>
        <v/>
      </c>
      <c r="T48" s="231" t="str">
        <f>IF(L48="","",VLOOKUP(L48,classifications!C:K,9,FALSE))</f>
        <v>Sparse</v>
      </c>
      <c r="U48" s="238">
        <f t="shared" si="26"/>
        <v>15</v>
      </c>
      <c r="V48" s="239">
        <f>IF(U48="","",IF($I$8="A",(RANK(U48,U$11:U$363)+COUNTIF(U$11:U48,U48)-1),(RANK(U48,U$11:U$363,1)+COUNTIF(U$11:U48,U48)-1)))</f>
        <v>69</v>
      </c>
      <c r="W48" s="240"/>
      <c r="X48" s="61" t="str">
        <f>IF(L48="","",VLOOKUP($L48,classifications!$C:$J,6,FALSE))</f>
        <v xml:space="preserve">Mainly Rural (rural including hub towns &gt;=80%) </v>
      </c>
      <c r="Y48" s="49">
        <f t="shared" si="0"/>
        <v>15</v>
      </c>
      <c r="Z48" s="57">
        <f>IF(Y48="","",IF(I$8="A",(RANK(Y48,Y$11:Y$363,1)+COUNTIF(Y$11:Y48,Y48)-1),(RANK(Y48,Y$11:Y$363)+COUNTIF(Y$11:Y48,Y48)-1)))</f>
        <v>7</v>
      </c>
      <c r="AA48" s="245" t="str">
        <f>IF(L48="","",VLOOKUP($L48,classifications!C:I,7,FALSE))</f>
        <v>Predominantly Rural</v>
      </c>
      <c r="AB48" s="239">
        <f t="shared" si="7"/>
        <v>15</v>
      </c>
      <c r="AC48" s="239">
        <f>IF(AB48="","",IF($I$8="A",(RANK(AB48,AB$11:AB$363)+COUNTIF(AB$11:AB48,AB48)-1),(RANK(AB48,AB$11:AB$363,1)+COUNTIF(AB$11:AB48,AB48)-1)))</f>
        <v>56</v>
      </c>
      <c r="AD48" s="239"/>
      <c r="AE48" s="51" t="str">
        <f t="shared" si="25"/>
        <v/>
      </c>
      <c r="AG48" s="143"/>
      <c r="AH48" s="52"/>
      <c r="AI48" s="61" t="str">
        <f>IF(L48="","",VLOOKUP($L48,classifications!$C:$J,8,FALSE))</f>
        <v>Suffolk</v>
      </c>
      <c r="AJ48" s="62" t="str">
        <f t="shared" si="1"/>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East of England</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22</v>
      </c>
      <c r="AY48" s="156"/>
      <c r="AZ48" s="44"/>
    </row>
    <row r="49" spans="1:52">
      <c r="A49" s="84" t="str">
        <f>$D$1&amp;39</f>
        <v>SD39</v>
      </c>
      <c r="B49" s="85" t="str">
        <f>IF(ISERROR(VLOOKUP(A49,classifications!A:C,3,FALSE)),0,VLOOKUP(A49,classifications!A:C,3,FALSE))</f>
        <v>Mendip</v>
      </c>
      <c r="C49" s="31" t="s">
        <v>25</v>
      </c>
      <c r="D49" s="49" t="str">
        <f>VLOOKUP($C49,classifications!$C:$J,4,FALSE)</f>
        <v>SD</v>
      </c>
      <c r="E49" s="49">
        <f>VLOOKUP(C49,classifications!C:K,9,FALSE)</f>
        <v>0</v>
      </c>
      <c r="F49" s="59">
        <f t="shared" si="2"/>
        <v>19</v>
      </c>
      <c r="G49" s="105"/>
      <c r="H49" s="60">
        <f t="shared" si="3"/>
        <v>19</v>
      </c>
      <c r="I49" s="112">
        <f>IF(H49="","",IF($I$8="A",(RANK(H49,H$11:H$363,1)+COUNTIF(H$11:H49,H49)-1),(RANK(H49,H$11:H$363)+COUNTIF(H$11:H49,H49)-1)))</f>
        <v>96</v>
      </c>
      <c r="J49" s="58"/>
      <c r="K49" s="51">
        <f t="shared" si="13"/>
        <v>39</v>
      </c>
      <c r="L49" s="59" t="str">
        <f t="shared" si="14"/>
        <v>Great Yarmouth</v>
      </c>
      <c r="M49" s="153">
        <f t="shared" si="20"/>
        <v>15</v>
      </c>
      <c r="N49" s="148">
        <f t="shared" si="21"/>
        <v>15</v>
      </c>
      <c r="O49" s="131">
        <f t="shared" si="4"/>
        <v>15</v>
      </c>
      <c r="P49" s="131" t="str">
        <f t="shared" si="15"/>
        <v/>
      </c>
      <c r="Q49" s="131" t="str">
        <f t="shared" si="16"/>
        <v/>
      </c>
      <c r="R49" s="127" t="str">
        <f t="shared" si="17"/>
        <v/>
      </c>
      <c r="S49" s="60" t="str">
        <f t="shared" si="5"/>
        <v/>
      </c>
      <c r="T49" s="231">
        <f>IF(L49="","",VLOOKUP(L49,classifications!C:K,9,FALSE))</f>
        <v>0</v>
      </c>
      <c r="U49" s="238" t="str">
        <f t="shared" si="26"/>
        <v/>
      </c>
      <c r="V49" s="239" t="str">
        <f>IF(U49="","",IF($I$8="A",(RANK(U49,U$11:U$363)+COUNTIF(U$11:U49,U49)-1),(RANK(U49,U$11:U$363,1)+COUNTIF(U$11:U49,U49)-1)))</f>
        <v/>
      </c>
      <c r="W49" s="240"/>
      <c r="X49" s="61" t="str">
        <f>IF(L49="","",VLOOKUP($L49,classifications!$C:$J,6,FALSE))</f>
        <v>Urban with Significant Rural (rural including hub towns 26-49%)</v>
      </c>
      <c r="Y49" s="49" t="str">
        <f t="shared" si="0"/>
        <v/>
      </c>
      <c r="Z49" s="57" t="str">
        <f>IF(Y49="","",IF(I$8="A",(RANK(Y49,Y$11:Y$363,1)+COUNTIF(Y$11:Y49,Y49)-1),(RANK(Y49,Y$11:Y$363)+COUNTIF(Y$11:Y49,Y49)-1)))</f>
        <v/>
      </c>
      <c r="AA49" s="245" t="str">
        <f>IF(L49="","",VLOOKUP($L49,classifications!C:I,7,FALSE))</f>
        <v>Significant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Norfolk</v>
      </c>
      <c r="AJ49" s="62" t="str">
        <f t="shared" si="1"/>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East of England</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19</v>
      </c>
      <c r="AY49" s="156"/>
      <c r="AZ49" s="44"/>
    </row>
    <row r="50" spans="1:52">
      <c r="A50" s="84" t="str">
        <f>$D$1&amp;40</f>
        <v>SD40</v>
      </c>
      <c r="B50" s="85" t="str">
        <f>IF(ISERROR(VLOOKUP(A50,classifications!A:C,3,FALSE)),0,VLOOKUP(A50,classifications!A:C,3,FALSE))</f>
        <v>Mid Devon</v>
      </c>
      <c r="C50" s="31" t="s">
        <v>301</v>
      </c>
      <c r="D50" s="49" t="str">
        <f>VLOOKUP($C50,classifications!$C:$J,4,FALSE)</f>
        <v>SC</v>
      </c>
      <c r="E50" s="49">
        <f>VLOOKUP(C50,classifications!C:K,9,FALSE)</f>
        <v>0</v>
      </c>
      <c r="F50" s="59" t="e">
        <f t="shared" si="2"/>
        <v>#N/A</v>
      </c>
      <c r="G50" s="105"/>
      <c r="H50" s="60" t="str">
        <f t="shared" si="3"/>
        <v/>
      </c>
      <c r="I50" s="112" t="str">
        <f>IF(H50="","",IF($I$8="A",(RANK(H50,H$11:H$363,1)+COUNTIF(H$11:H50,H50)-1),(RANK(H50,H$11:H$363)+COUNTIF(H$11:H50,H50)-1)))</f>
        <v/>
      </c>
      <c r="J50" s="58"/>
      <c r="K50" s="51">
        <f t="shared" si="13"/>
        <v>40</v>
      </c>
      <c r="L50" s="59" t="str">
        <f t="shared" si="14"/>
        <v>Harborough</v>
      </c>
      <c r="M50" s="153">
        <f t="shared" si="20"/>
        <v>15</v>
      </c>
      <c r="N50" s="148">
        <f t="shared" si="21"/>
        <v>15</v>
      </c>
      <c r="O50" s="131">
        <f t="shared" si="4"/>
        <v>15</v>
      </c>
      <c r="P50" s="131" t="str">
        <f t="shared" si="15"/>
        <v/>
      </c>
      <c r="Q50" s="131" t="str">
        <f t="shared" si="16"/>
        <v/>
      </c>
      <c r="R50" s="127" t="str">
        <f t="shared" si="17"/>
        <v/>
      </c>
      <c r="S50" s="60" t="str">
        <f t="shared" si="5"/>
        <v/>
      </c>
      <c r="T50" s="231" t="str">
        <f>IF(L50="","",VLOOKUP(L50,classifications!C:K,9,FALSE))</f>
        <v>Sparse</v>
      </c>
      <c r="U50" s="238">
        <f t="shared" si="26"/>
        <v>15</v>
      </c>
      <c r="V50" s="239">
        <f>IF(U50="","",IF($I$8="A",(RANK(U50,U$11:U$363)+COUNTIF(U$11:U50,U50)-1),(RANK(U50,U$11:U$363,1)+COUNTIF(U$11:U50,U50)-1)))</f>
        <v>70</v>
      </c>
      <c r="W50" s="240"/>
      <c r="X50" s="61" t="str">
        <f>IF(L50="","",VLOOKUP($L50,classifications!$C:$J,6,FALSE))</f>
        <v xml:space="preserve">Mainly Rural (rural including hub towns &gt;=80%) </v>
      </c>
      <c r="Y50" s="49">
        <f t="shared" si="0"/>
        <v>15</v>
      </c>
      <c r="Z50" s="57">
        <f>IF(Y50="","",IF(I$8="A",(RANK(Y50,Y$11:Y$363,1)+COUNTIF(Y$11:Y50,Y50)-1),(RANK(Y50,Y$11:Y$363)+COUNTIF(Y$11:Y50,Y50)-1)))</f>
        <v>8</v>
      </c>
      <c r="AA50" s="245" t="str">
        <f>IF(L50="","",VLOOKUP($L50,classifications!C:I,7,FALSE))</f>
        <v>Predominantly Rural</v>
      </c>
      <c r="AB50" s="239">
        <f t="shared" si="7"/>
        <v>15</v>
      </c>
      <c r="AC50" s="239">
        <f>IF(AB50="","",IF($I$8="A",(RANK(AB50,AB$11:AB$363)+COUNTIF(AB$11:AB50,AB50)-1),(RANK(AB50,AB$11:AB$363,1)+COUNTIF(AB$11:AB50,AB50)-1)))</f>
        <v>57</v>
      </c>
      <c r="AD50" s="239"/>
      <c r="AE50" s="51" t="str">
        <f t="shared" si="25"/>
        <v/>
      </c>
      <c r="AG50" s="143"/>
      <c r="AH50" s="52"/>
      <c r="AI50" s="61" t="str">
        <f>IF(L50="","",VLOOKUP($L50,classifications!$C:$J,8,FALSE))</f>
        <v>Leicestershire</v>
      </c>
      <c r="AJ50" s="62" t="str">
        <f t="shared" si="1"/>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East Midlands</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Suffolk</v>
      </c>
      <c r="C51" s="31" t="s">
        <v>26</v>
      </c>
      <c r="D51" s="49" t="str">
        <f>VLOOKUP($C51,classifications!$C:$J,4,FALSE)</f>
        <v>SD</v>
      </c>
      <c r="E51" s="49">
        <f>VLOOKUP(C51,classifications!C:K,9,FALSE)</f>
        <v>0</v>
      </c>
      <c r="F51" s="59">
        <f t="shared" si="2"/>
        <v>20</v>
      </c>
      <c r="G51" s="105"/>
      <c r="H51" s="60">
        <f t="shared" si="3"/>
        <v>20</v>
      </c>
      <c r="I51" s="112">
        <f>IF(H51="","",IF($I$8="A",(RANK(H51,H$11:H$363,1)+COUNTIF(H$11:H51,H51)-1),(RANK(H51,H$11:H$363)+COUNTIF(H$11:H51,H51)-1)))</f>
        <v>108</v>
      </c>
      <c r="J51" s="58"/>
      <c r="K51" s="51">
        <f t="shared" si="13"/>
        <v>41</v>
      </c>
      <c r="L51" s="59" t="str">
        <f t="shared" si="14"/>
        <v>Hastings</v>
      </c>
      <c r="M51" s="153">
        <f t="shared" si="20"/>
        <v>15</v>
      </c>
      <c r="N51" s="148">
        <f t="shared" si="21"/>
        <v>15</v>
      </c>
      <c r="O51" s="131">
        <f t="shared" si="4"/>
        <v>15</v>
      </c>
      <c r="P51" s="131" t="str">
        <f t="shared" si="15"/>
        <v/>
      </c>
      <c r="Q51" s="131" t="str">
        <f t="shared" si="16"/>
        <v/>
      </c>
      <c r="R51" s="127" t="str">
        <f t="shared" si="17"/>
        <v/>
      </c>
      <c r="S51" s="60" t="str">
        <f t="shared" si="5"/>
        <v/>
      </c>
      <c r="T51" s="231">
        <f>IF(L51="","",VLOOKUP(L51,classifications!C:K,9,FALSE))</f>
        <v>0</v>
      </c>
      <c r="U51" s="238" t="str">
        <f t="shared" si="26"/>
        <v/>
      </c>
      <c r="V51" s="239" t="str">
        <f>IF(U51="","",IF($I$8="A",(RANK(U51,U$11:U$363)+COUNTIF(U$11:U51,U51)-1),(RANK(U51,U$11:U$363,1)+COUNTIF(U$11:U51,U51)-1)))</f>
        <v/>
      </c>
      <c r="W51" s="240"/>
      <c r="X51" s="61" t="str">
        <f>IF(L51="","",VLOOKUP($L51,classifications!$C:$J,6,FALSE))</f>
        <v>Urban with City and Town</v>
      </c>
      <c r="Y51" s="49" t="str">
        <f t="shared" si="0"/>
        <v/>
      </c>
      <c r="Z51" s="57" t="str">
        <f>IF(Y51="","",IF(I$8="A",(RANK(Y51,Y$11:Y$363,1)+COUNTIF(Y$11:Y51,Y51)-1),(RANK(Y51,Y$11:Y$363)+COUNTIF(Y$11:Y51,Y51)-1)))</f>
        <v/>
      </c>
      <c r="AA51" s="245" t="str">
        <f>IF(L51="","",VLOOKUP($L51,classifications!C:I,7,FALSE))</f>
        <v>Predominantly Urban</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East Sussex</v>
      </c>
      <c r="AJ51" s="62" t="str">
        <f t="shared" si="1"/>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South East</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20</v>
      </c>
      <c r="AY51" s="156"/>
      <c r="AZ51" s="44"/>
    </row>
    <row r="52" spans="1:52">
      <c r="A52" s="84" t="str">
        <f>$D$1&amp;42</f>
        <v>SD42</v>
      </c>
      <c r="B52" s="85" t="str">
        <f>IF(ISERROR(VLOOKUP(A52,classifications!A:C,3,FALSE)),0,VLOOKUP(A52,classifications!A:C,3,FALSE))</f>
        <v>Mid Sussex</v>
      </c>
      <c r="C52" s="31" t="s">
        <v>227</v>
      </c>
      <c r="D52" s="49" t="str">
        <f>VLOOKUP($C52,classifications!$C:$J,4,FALSE)</f>
        <v>MD</v>
      </c>
      <c r="E52" s="49">
        <f>VLOOKUP(C52,classifications!C:K,9,FALSE)</f>
        <v>0</v>
      </c>
      <c r="F52" s="59">
        <f t="shared" si="2"/>
        <v>20</v>
      </c>
      <c r="G52" s="105"/>
      <c r="H52" s="60" t="str">
        <f t="shared" si="3"/>
        <v/>
      </c>
      <c r="I52" s="112" t="str">
        <f>IF(H52="","",IF($I$8="A",(RANK(H52,H$11:H$363,1)+COUNTIF(H$11:H52,H52)-1),(RANK(H52,H$11:H$363)+COUNTIF(H$11:H52,H52)-1)))</f>
        <v/>
      </c>
      <c r="J52" s="58"/>
      <c r="K52" s="51">
        <f t="shared" si="13"/>
        <v>42</v>
      </c>
      <c r="L52" s="59" t="str">
        <f t="shared" si="14"/>
        <v>Hinckley &amp; Bosworth</v>
      </c>
      <c r="M52" s="153">
        <f t="shared" si="20"/>
        <v>15</v>
      </c>
      <c r="N52" s="148">
        <f t="shared" si="21"/>
        <v>15</v>
      </c>
      <c r="O52" s="131">
        <f t="shared" si="4"/>
        <v>15</v>
      </c>
      <c r="P52" s="131" t="str">
        <f t="shared" si="15"/>
        <v/>
      </c>
      <c r="Q52" s="131" t="str">
        <f t="shared" si="16"/>
        <v/>
      </c>
      <c r="R52" s="127" t="str">
        <f t="shared" si="17"/>
        <v/>
      </c>
      <c r="S52" s="60" t="str">
        <f t="shared" si="5"/>
        <v/>
      </c>
      <c r="T52" s="231" t="str">
        <f>IF(L52="","",VLOOKUP(L52,classifications!C:K,9,FALSE))</f>
        <v>Sparse</v>
      </c>
      <c r="U52" s="238">
        <f t="shared" si="26"/>
        <v>15</v>
      </c>
      <c r="V52" s="239">
        <f>IF(U52="","",IF($I$8="A",(RANK(U52,U$11:U$363)+COUNTIF(U$11:U52,U52)-1),(RANK(U52,U$11:U$363,1)+COUNTIF(U$11:U52,U52)-1)))</f>
        <v>71</v>
      </c>
      <c r="W52" s="240"/>
      <c r="X52" s="61" t="str">
        <f>IF(L52="","",VLOOKUP($L52,classifications!$C:$J,6,FALSE))</f>
        <v xml:space="preserve">Largely Rural (rural including hub towns 50-79%) </v>
      </c>
      <c r="Y52" s="49" t="str">
        <f t="shared" si="0"/>
        <v/>
      </c>
      <c r="Z52" s="57" t="str">
        <f>IF(Y52="","",IF(I$8="A",(RANK(Y52,Y$11:Y$363,1)+COUNTIF(Y$11:Y52,Y52)-1),(RANK(Y52,Y$11:Y$363)+COUNTIF(Y$11:Y52,Y52)-1)))</f>
        <v/>
      </c>
      <c r="AA52" s="245" t="str">
        <f>IF(L52="","",VLOOKUP($L52,classifications!C:I,7,FALSE))</f>
        <v>Predominantly Rural</v>
      </c>
      <c r="AB52" s="239">
        <f t="shared" si="7"/>
        <v>15</v>
      </c>
      <c r="AC52" s="239">
        <f>IF(AB52="","",IF($I$8="A",(RANK(AB52,AB$11:AB$363)+COUNTIF(AB$11:AB52,AB52)-1),(RANK(AB52,AB$11:AB$363,1)+COUNTIF(AB$11:AB52,AB52)-1)))</f>
        <v>58</v>
      </c>
      <c r="AD52" s="239"/>
      <c r="AE52" s="51" t="str">
        <f t="shared" si="25"/>
        <v/>
      </c>
      <c r="AG52" s="143"/>
      <c r="AH52" s="52"/>
      <c r="AI52" s="61" t="str">
        <f>IF(L52="","",VLOOKUP($L52,classifications!$C:$J,8,FALSE))</f>
        <v>Leicestershire</v>
      </c>
      <c r="AJ52" s="62" t="str">
        <f t="shared" si="1"/>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East Midlands</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20</v>
      </c>
      <c r="AY52" s="156"/>
      <c r="AZ52" s="44"/>
    </row>
    <row r="53" spans="1:52">
      <c r="A53" s="84" t="str">
        <f>$D$1&amp;43</f>
        <v>SD43</v>
      </c>
      <c r="B53" s="85" t="str">
        <f>IF(ISERROR(VLOOKUP(A53,classifications!A:C,3,FALSE)),0,VLOOKUP(A53,classifications!A:C,3,FALSE))</f>
        <v>New Forest</v>
      </c>
      <c r="C53" s="31" t="s">
        <v>228</v>
      </c>
      <c r="D53" s="49" t="str">
        <f>VLOOKUP($C53,classifications!$C:$J,4,FALSE)</f>
        <v>MD</v>
      </c>
      <c r="E53" s="49">
        <f>VLOOKUP(C53,classifications!C:K,9,FALSE)</f>
        <v>0</v>
      </c>
      <c r="F53" s="59">
        <f t="shared" si="2"/>
        <v>13</v>
      </c>
      <c r="G53" s="105"/>
      <c r="H53" s="60" t="str">
        <f t="shared" si="3"/>
        <v/>
      </c>
      <c r="I53" s="112" t="str">
        <f>IF(H53="","",IF($I$8="A",(RANK(H53,H$11:H$363,1)+COUNTIF(H$11:H53,H53)-1),(RANK(H53,H$11:H$363)+COUNTIF(H$11:H53,H53)-1)))</f>
        <v/>
      </c>
      <c r="J53" s="58"/>
      <c r="K53" s="51">
        <f t="shared" si="13"/>
        <v>43</v>
      </c>
      <c r="L53" s="59" t="str">
        <f t="shared" si="14"/>
        <v>Lewes</v>
      </c>
      <c r="M53" s="153">
        <f t="shared" si="20"/>
        <v>15</v>
      </c>
      <c r="N53" s="148">
        <f t="shared" si="21"/>
        <v>15</v>
      </c>
      <c r="O53" s="131">
        <f t="shared" si="4"/>
        <v>15</v>
      </c>
      <c r="P53" s="131" t="str">
        <f t="shared" si="15"/>
        <v/>
      </c>
      <c r="Q53" s="131" t="str">
        <f t="shared" si="16"/>
        <v/>
      </c>
      <c r="R53" s="127" t="str">
        <f t="shared" si="17"/>
        <v/>
      </c>
      <c r="S53" s="60" t="str">
        <f t="shared" si="5"/>
        <v/>
      </c>
      <c r="T53" s="231" t="str">
        <f>IF(L53="","",VLOOKUP(L53,classifications!C:K,9,FALSE))</f>
        <v>Sparse</v>
      </c>
      <c r="U53" s="238">
        <f t="shared" si="26"/>
        <v>15</v>
      </c>
      <c r="V53" s="239">
        <f>IF(U53="","",IF($I$8="A",(RANK(U53,U$11:U$363)+COUNTIF(U$11:U53,U53)-1),(RANK(U53,U$11:U$363,1)+COUNTIF(U$11:U53,U53)-1)))</f>
        <v>72</v>
      </c>
      <c r="W53" s="240"/>
      <c r="X53" s="61" t="str">
        <f>IF(L53="","",VLOOKUP($L53,classifications!$C:$J,6,FALSE))</f>
        <v>Urban with Significant Rural (rural including hub towns 26-49%)</v>
      </c>
      <c r="Y53" s="49" t="str">
        <f t="shared" si="0"/>
        <v/>
      </c>
      <c r="Z53" s="57" t="str">
        <f>IF(Y53="","",IF(I$8="A",(RANK(Y53,Y$11:Y$363,1)+COUNTIF(Y$11:Y53,Y53)-1),(RANK(Y53,Y$11:Y$363)+COUNTIF(Y$11:Y53,Y53)-1)))</f>
        <v/>
      </c>
      <c r="AA53" s="245" t="str">
        <f>IF(L53="","",VLOOKUP($L53,classifications!C:I,7,FALSE))</f>
        <v>Significant Rural</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East Sussex</v>
      </c>
      <c r="AJ53" s="62" t="str">
        <f t="shared" si="1"/>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13</v>
      </c>
      <c r="AY53" s="156"/>
      <c r="AZ53" s="44"/>
    </row>
    <row r="54" spans="1:52">
      <c r="A54" s="84" t="str">
        <f>$D$1&amp;44</f>
        <v>SD44</v>
      </c>
      <c r="B54" s="85" t="str">
        <f>IF(ISERROR(VLOOKUP(A54,classifications!A:C,3,FALSE)),0,VLOOKUP(A54,classifications!A:C,3,FALSE))</f>
        <v>Newark &amp; Sherwood</v>
      </c>
      <c r="C54" s="31" t="s">
        <v>27</v>
      </c>
      <c r="D54" s="49" t="str">
        <f>VLOOKUP($C54,classifications!$C:$J,4,FALSE)</f>
        <v>SD</v>
      </c>
      <c r="E54" s="49">
        <f>VLOOKUP(C54,classifications!C:K,9,FALSE)</f>
        <v>0</v>
      </c>
      <c r="F54" s="59">
        <f t="shared" si="2"/>
        <v>15</v>
      </c>
      <c r="G54" s="105"/>
      <c r="H54" s="60">
        <f t="shared" si="3"/>
        <v>15</v>
      </c>
      <c r="I54" s="112">
        <f>IF(H54="","",IF($I$8="A",(RANK(H54,H$11:H$363,1)+COUNTIF(H$11:H54,H54)-1),(RANK(H54,H$11:H$363)+COUNTIF(H$11:H54,H54)-1)))</f>
        <v>34</v>
      </c>
      <c r="J54" s="58"/>
      <c r="K54" s="51">
        <f t="shared" si="13"/>
        <v>44</v>
      </c>
      <c r="L54" s="59" t="str">
        <f t="shared" si="14"/>
        <v>Maidstone</v>
      </c>
      <c r="M54" s="153">
        <f t="shared" si="20"/>
        <v>15</v>
      </c>
      <c r="N54" s="148">
        <f t="shared" si="21"/>
        <v>15</v>
      </c>
      <c r="O54" s="131">
        <f t="shared" si="4"/>
        <v>15</v>
      </c>
      <c r="P54" s="131" t="str">
        <f t="shared" si="15"/>
        <v/>
      </c>
      <c r="Q54" s="131" t="str">
        <f t="shared" si="16"/>
        <v/>
      </c>
      <c r="R54" s="127" t="str">
        <f t="shared" si="17"/>
        <v/>
      </c>
      <c r="S54" s="60" t="str">
        <f t="shared" si="5"/>
        <v/>
      </c>
      <c r="T54" s="231">
        <f>IF(L54="","",VLOOKUP(L54,classifications!C:K,9,FALSE))</f>
        <v>0</v>
      </c>
      <c r="U54" s="238" t="str">
        <f t="shared" si="26"/>
        <v/>
      </c>
      <c r="V54" s="239" t="str">
        <f>IF(U54="","",IF($I$8="A",(RANK(U54,U$11:U$363)+COUNTIF(U$11:U54,U54)-1),(RANK(U54,U$11:U$363,1)+COUNTIF(U$11:U54,U54)-1)))</f>
        <v/>
      </c>
      <c r="W54" s="240"/>
      <c r="X54" s="61" t="str">
        <f>IF(L54="","",VLOOKUP($L54,classifications!$C:$J,6,FALSE))</f>
        <v>Urban with Significant Rural (rural including hub towns 26-49%)</v>
      </c>
      <c r="Y54" s="49" t="str">
        <f t="shared" si="0"/>
        <v/>
      </c>
      <c r="Z54" s="57" t="str">
        <f>IF(Y54="","",IF(I$8="A",(RANK(Y54,Y$11:Y$363,1)+COUNTIF(Y$11:Y54,Y54)-1),(RANK(Y54,Y$11:Y$363)+COUNTIF(Y$11:Y54,Y54)-1)))</f>
        <v/>
      </c>
      <c r="AA54" s="245" t="str">
        <f>IF(L54="","",VLOOKUP($L54,classifications!C:I,7,FALSE))</f>
        <v>Significant Rural</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Kent</v>
      </c>
      <c r="AJ54" s="62" t="str">
        <f t="shared" si="1"/>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South East</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15</v>
      </c>
      <c r="AY54" s="156"/>
      <c r="AZ54" s="44"/>
    </row>
    <row r="55" spans="1:52">
      <c r="A55" s="84" t="str">
        <f>$D$1&amp;45</f>
        <v>SD45</v>
      </c>
      <c r="B55" s="85" t="str">
        <f>IF(ISERROR(VLOOKUP(A55,classifications!A:C,3,FALSE)),0,VLOOKUP(A55,classifications!A:C,3,FALSE))</f>
        <v>North Devon</v>
      </c>
      <c r="C55" s="31" t="s">
        <v>303</v>
      </c>
      <c r="D55" s="49" t="str">
        <f>VLOOKUP($C55,classifications!$C:$J,4,FALSE)</f>
        <v>SC</v>
      </c>
      <c r="E55" s="49">
        <f>VLOOKUP(C55,classifications!C:K,9,FALSE)</f>
        <v>0</v>
      </c>
      <c r="F55" s="59" t="e">
        <f t="shared" si="2"/>
        <v>#N/A</v>
      </c>
      <c r="G55" s="105"/>
      <c r="H55" s="60" t="str">
        <f t="shared" si="3"/>
        <v/>
      </c>
      <c r="I55" s="112" t="str">
        <f>IF(H55="","",IF($I$8="A",(RANK(H55,H$11:H$363,1)+COUNTIF(H$11:H55,H55)-1),(RANK(H55,H$11:H$363)+COUNTIF(H$11:H55,H55)-1)))</f>
        <v/>
      </c>
      <c r="J55" s="58"/>
      <c r="K55" s="51">
        <f t="shared" si="13"/>
        <v>45</v>
      </c>
      <c r="L55" s="59" t="str">
        <f t="shared" si="14"/>
        <v>Melton</v>
      </c>
      <c r="M55" s="153">
        <f t="shared" si="20"/>
        <v>15</v>
      </c>
      <c r="N55" s="148">
        <f t="shared" si="21"/>
        <v>15</v>
      </c>
      <c r="O55" s="131">
        <f t="shared" si="4"/>
        <v>15</v>
      </c>
      <c r="P55" s="131" t="str">
        <f t="shared" si="15"/>
        <v/>
      </c>
      <c r="Q55" s="131" t="str">
        <f t="shared" si="16"/>
        <v/>
      </c>
      <c r="R55" s="127" t="str">
        <f t="shared" si="17"/>
        <v/>
      </c>
      <c r="S55" s="60" t="str">
        <f t="shared" si="5"/>
        <v/>
      </c>
      <c r="T55" s="231" t="str">
        <f>IF(L55="","",VLOOKUP(L55,classifications!C:K,9,FALSE))</f>
        <v>Sparse</v>
      </c>
      <c r="U55" s="238">
        <f t="shared" si="26"/>
        <v>15</v>
      </c>
      <c r="V55" s="239">
        <f>IF(U55="","",IF($I$8="A",(RANK(U55,U$11:U$363)+COUNTIF(U$11:U55,U55)-1),(RANK(U55,U$11:U$363,1)+COUNTIF(U$11:U55,U55)-1)))</f>
        <v>73</v>
      </c>
      <c r="W55" s="240"/>
      <c r="X55" s="61" t="str">
        <f>IF(L55="","",VLOOKUP($L55,classifications!$C:$J,6,FALSE))</f>
        <v xml:space="preserve">Mainly Rural (rural including hub towns &gt;=80%) </v>
      </c>
      <c r="Y55" s="49">
        <f t="shared" si="0"/>
        <v>15</v>
      </c>
      <c r="Z55" s="57">
        <f>IF(Y55="","",IF(I$8="A",(RANK(Y55,Y$11:Y$363,1)+COUNTIF(Y$11:Y55,Y55)-1),(RANK(Y55,Y$11:Y$363)+COUNTIF(Y$11:Y55,Y55)-1)))</f>
        <v>9</v>
      </c>
      <c r="AA55" s="245" t="str">
        <f>IF(L55="","",VLOOKUP($L55,classifications!C:I,7,FALSE))</f>
        <v>Predominantly Rural</v>
      </c>
      <c r="AB55" s="239">
        <f t="shared" si="7"/>
        <v>15</v>
      </c>
      <c r="AC55" s="239">
        <f>IF(AB55="","",IF($I$8="A",(RANK(AB55,AB$11:AB$363)+COUNTIF(AB$11:AB55,AB55)-1),(RANK(AB55,AB$11:AB$363,1)+COUNTIF(AB$11:AB55,AB55)-1)))</f>
        <v>59</v>
      </c>
      <c r="AD55" s="239"/>
      <c r="AE55" s="51" t="str">
        <f t="shared" si="25"/>
        <v/>
      </c>
      <c r="AG55" s="143"/>
      <c r="AH55" s="52"/>
      <c r="AI55" s="61" t="str">
        <f>IF(L55="","",VLOOKUP($L55,classifications!$C:$J,8,FALSE))</f>
        <v>Leicestershire</v>
      </c>
      <c r="AJ55" s="62" t="str">
        <f t="shared" si="1"/>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East Midlands</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Dorset</v>
      </c>
      <c r="C56" s="31" t="s">
        <v>201</v>
      </c>
      <c r="D56" s="49" t="str">
        <f>VLOOKUP($C56,classifications!$C:$J,4,FALSE)</f>
        <v>L</v>
      </c>
      <c r="E56" s="49">
        <f>VLOOKUP(C56,classifications!C:K,9,FALSE)</f>
        <v>0</v>
      </c>
      <c r="F56" s="59">
        <f t="shared" si="2"/>
        <v>21</v>
      </c>
      <c r="G56" s="105"/>
      <c r="H56" s="60" t="str">
        <f t="shared" si="3"/>
        <v/>
      </c>
      <c r="I56" s="112" t="str">
        <f>IF(H56="","",IF($I$8="A",(RANK(H56,H$11:H$363,1)+COUNTIF(H$11:H56,H56)-1),(RANK(H56,H$11:H$363)+COUNTIF(H$11:H56,H56)-1)))</f>
        <v/>
      </c>
      <c r="J56" s="58"/>
      <c r="K56" s="51">
        <f t="shared" si="13"/>
        <v>46</v>
      </c>
      <c r="L56" s="59" t="str">
        <f t="shared" si="14"/>
        <v>Mid Devon</v>
      </c>
      <c r="M56" s="153">
        <f t="shared" si="20"/>
        <v>15</v>
      </c>
      <c r="N56" s="148">
        <f t="shared" si="21"/>
        <v>15</v>
      </c>
      <c r="O56" s="131">
        <f t="shared" si="4"/>
        <v>15</v>
      </c>
      <c r="P56" s="131" t="str">
        <f t="shared" si="15"/>
        <v/>
      </c>
      <c r="Q56" s="131" t="str">
        <f t="shared" si="16"/>
        <v/>
      </c>
      <c r="R56" s="127" t="str">
        <f t="shared" si="17"/>
        <v/>
      </c>
      <c r="S56" s="60" t="str">
        <f t="shared" si="5"/>
        <v/>
      </c>
      <c r="T56" s="231" t="str">
        <f>IF(L56="","",VLOOKUP(L56,classifications!C:K,9,FALSE))</f>
        <v>Sparse</v>
      </c>
      <c r="U56" s="238">
        <f t="shared" si="26"/>
        <v>15</v>
      </c>
      <c r="V56" s="239">
        <f>IF(U56="","",IF($I$8="A",(RANK(U56,U$11:U$363)+COUNTIF(U$11:U56,U56)-1),(RANK(U56,U$11:U$363,1)+COUNTIF(U$11:U56,U56)-1)))</f>
        <v>74</v>
      </c>
      <c r="W56" s="240"/>
      <c r="X56" s="61" t="str">
        <f>IF(L56="","",VLOOKUP($L56,classifications!$C:$J,6,FALSE))</f>
        <v xml:space="preserve">Mainly Rural (rural including hub towns &gt;=80%) </v>
      </c>
      <c r="Y56" s="49">
        <f t="shared" si="0"/>
        <v>15</v>
      </c>
      <c r="Z56" s="57">
        <f>IF(Y56="","",IF(I$8="A",(RANK(Y56,Y$11:Y$363,1)+COUNTIF(Y$11:Y56,Y56)-1),(RANK(Y56,Y$11:Y$363)+COUNTIF(Y$11:Y56,Y56)-1)))</f>
        <v>10</v>
      </c>
      <c r="AA56" s="245" t="str">
        <f>IF(L56="","",VLOOKUP($L56,classifications!C:I,7,FALSE))</f>
        <v>Predominantly Rural</v>
      </c>
      <c r="AB56" s="239">
        <f t="shared" si="7"/>
        <v>15</v>
      </c>
      <c r="AC56" s="239">
        <f>IF(AB56="","",IF($I$8="A",(RANK(AB56,AB$11:AB$363)+COUNTIF(AB$11:AB56,AB56)-1),(RANK(AB56,AB$11:AB$363,1)+COUNTIF(AB$11:AB56,AB56)-1)))</f>
        <v>60</v>
      </c>
      <c r="AD56" s="239"/>
      <c r="AE56" s="51" t="str">
        <f t="shared" si="25"/>
        <v/>
      </c>
      <c r="AG56" s="143"/>
      <c r="AH56" s="52"/>
      <c r="AI56" s="61" t="str">
        <f>IF(L56="","",VLOOKUP($L56,classifications!$C:$J,8,FALSE))</f>
        <v>Devon</v>
      </c>
      <c r="AJ56" s="62" t="str">
        <f t="shared" si="1"/>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South West</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21</v>
      </c>
      <c r="AY56" s="156"/>
      <c r="AZ56" s="44"/>
    </row>
    <row r="57" spans="1:52">
      <c r="A57" s="84" t="str">
        <f>$D$1&amp;47</f>
        <v>SD47</v>
      </c>
      <c r="B57" s="85" t="str">
        <f>IF(ISERROR(VLOOKUP(A57,classifications!A:C,3,FALSE)),0,VLOOKUP(A57,classifications!A:C,3,FALSE))</f>
        <v>North Kesteven</v>
      </c>
      <c r="C57" s="31" t="s">
        <v>28</v>
      </c>
      <c r="D57" s="49" t="str">
        <f>VLOOKUP($C57,classifications!$C:$J,4,FALSE)</f>
        <v>SD</v>
      </c>
      <c r="E57" s="49">
        <f>VLOOKUP(C57,classifications!C:K,9,FALSE)</f>
        <v>0</v>
      </c>
      <c r="F57" s="59">
        <f t="shared" si="2"/>
        <v>17</v>
      </c>
      <c r="G57" s="105"/>
      <c r="H57" s="60">
        <f t="shared" si="3"/>
        <v>17</v>
      </c>
      <c r="I57" s="112">
        <f>IF(H57="","",IF($I$8="A",(RANK(H57,H$11:H$363,1)+COUNTIF(H$11:H57,H57)-1),(RANK(H57,H$11:H$363)+COUNTIF(H$11:H57,H57)-1)))</f>
        <v>74</v>
      </c>
      <c r="J57" s="58"/>
      <c r="K57" s="51">
        <f t="shared" si="13"/>
        <v>47</v>
      </c>
      <c r="L57" s="59" t="str">
        <f t="shared" si="14"/>
        <v>New Forest</v>
      </c>
      <c r="M57" s="153">
        <f t="shared" si="20"/>
        <v>15</v>
      </c>
      <c r="N57" s="148">
        <f t="shared" si="21"/>
        <v>15</v>
      </c>
      <c r="O57" s="131">
        <f t="shared" si="4"/>
        <v>15</v>
      </c>
      <c r="P57" s="131" t="str">
        <f t="shared" si="15"/>
        <v/>
      </c>
      <c r="Q57" s="131" t="str">
        <f t="shared" si="16"/>
        <v/>
      </c>
      <c r="R57" s="127" t="str">
        <f t="shared" si="17"/>
        <v/>
      </c>
      <c r="S57" s="60" t="str">
        <f t="shared" si="5"/>
        <v/>
      </c>
      <c r="T57" s="231" t="str">
        <f>IF(L57="","",VLOOKUP(L57,classifications!C:K,9,FALSE))</f>
        <v>Sparse</v>
      </c>
      <c r="U57" s="238">
        <f t="shared" si="26"/>
        <v>15</v>
      </c>
      <c r="V57" s="239">
        <f>IF(U57="","",IF($I$8="A",(RANK(U57,U$11:U$363)+COUNTIF(U$11:U57,U57)-1),(RANK(U57,U$11:U$363,1)+COUNTIF(U$11:U57,U57)-1)))</f>
        <v>75</v>
      </c>
      <c r="W57" s="240"/>
      <c r="X57" s="61" t="str">
        <f>IF(L57="","",VLOOKUP($L57,classifications!$C:$J,6,FALSE))</f>
        <v>Urban with Significant Rural (rural including hub towns 26-49%)</v>
      </c>
      <c r="Y57" s="49" t="str">
        <f t="shared" si="0"/>
        <v/>
      </c>
      <c r="Z57" s="57" t="str">
        <f>IF(Y57="","",IF(I$8="A",(RANK(Y57,Y$11:Y$363,1)+COUNTIF(Y$11:Y57,Y57)-1),(RANK(Y57,Y$11:Y$363)+COUNTIF(Y$11:Y57,Y57)-1)))</f>
        <v/>
      </c>
      <c r="AA57" s="245" t="str">
        <f>IF(L57="","",VLOOKUP($L57,classifications!C:I,7,FALSE))</f>
        <v>Significant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Hampshire</v>
      </c>
      <c r="AJ57" s="62" t="str">
        <f t="shared" si="1"/>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South East</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17</v>
      </c>
      <c r="AY57" s="156"/>
      <c r="AZ57" s="44"/>
    </row>
    <row r="58" spans="1:52">
      <c r="A58" s="84" t="str">
        <f>$D$1&amp;48</f>
        <v>SD48</v>
      </c>
      <c r="B58" s="85" t="str">
        <f>IF(ISERROR(VLOOKUP(A58,classifications!A:C,3,FALSE)),0,VLOOKUP(A58,classifications!A:C,3,FALSE))</f>
        <v>North Norfolk</v>
      </c>
      <c r="C58" s="31" t="s">
        <v>29</v>
      </c>
      <c r="D58" s="49" t="str">
        <f>VLOOKUP($C58,classifications!$C:$J,4,FALSE)</f>
        <v>SD</v>
      </c>
      <c r="E58" s="49">
        <f>VLOOKUP(C58,classifications!C:K,9,FALSE)</f>
        <v>0</v>
      </c>
      <c r="F58" s="59">
        <f t="shared" si="2"/>
        <v>16</v>
      </c>
      <c r="G58" s="105"/>
      <c r="H58" s="60">
        <f t="shared" si="3"/>
        <v>16</v>
      </c>
      <c r="I58" s="112">
        <f>IF(H58="","",IF($I$8="A",(RANK(H58,H$11:H$363,1)+COUNTIF(H$11:H58,H58)-1),(RANK(H58,H$11:H$363)+COUNTIF(H$11:H58,H58)-1)))</f>
        <v>56</v>
      </c>
      <c r="J58" s="58"/>
      <c r="K58" s="51">
        <f t="shared" si="13"/>
        <v>48</v>
      </c>
      <c r="L58" s="59" t="str">
        <f t="shared" si="14"/>
        <v>North Hertfordshire</v>
      </c>
      <c r="M58" s="153">
        <f t="shared" si="20"/>
        <v>15</v>
      </c>
      <c r="N58" s="148">
        <f t="shared" si="21"/>
        <v>15</v>
      </c>
      <c r="O58" s="131">
        <f t="shared" si="4"/>
        <v>15</v>
      </c>
      <c r="P58" s="131" t="str">
        <f t="shared" si="15"/>
        <v/>
      </c>
      <c r="Q58" s="131" t="str">
        <f t="shared" si="16"/>
        <v/>
      </c>
      <c r="R58" s="127" t="str">
        <f t="shared" si="17"/>
        <v/>
      </c>
      <c r="S58" s="60" t="str">
        <f t="shared" si="5"/>
        <v/>
      </c>
      <c r="T58" s="231">
        <f>IF(L58="","",VLOOKUP(L58,classifications!C:K,9,FALSE))</f>
        <v>0</v>
      </c>
      <c r="U58" s="238" t="str">
        <f t="shared" si="26"/>
        <v/>
      </c>
      <c r="V58" s="239" t="str">
        <f>IF(U58="","",IF($I$8="A",(RANK(U58,U$11:U$363)+COUNTIF(U$11:U58,U58)-1),(RANK(U58,U$11:U$363,1)+COUNTIF(U$11:U58,U58)-1)))</f>
        <v/>
      </c>
      <c r="W58" s="240"/>
      <c r="X58" s="61" t="str">
        <f>IF(L58="","",VLOOKUP($L58,classifications!$C:$J,6,FALSE))</f>
        <v>Urban with Significant Rural (rural including hub towns 26-49%)</v>
      </c>
      <c r="Y58" s="49" t="str">
        <f t="shared" si="0"/>
        <v/>
      </c>
      <c r="Z58" s="57" t="str">
        <f>IF(Y58="","",IF(I$8="A",(RANK(Y58,Y$11:Y$363,1)+COUNTIF(Y$11:Y58,Y58)-1),(RANK(Y58,Y$11:Y$363)+COUNTIF(Y$11:Y58,Y58)-1)))</f>
        <v/>
      </c>
      <c r="AA58" s="245" t="str">
        <f>IF(L58="","",VLOOKUP($L58,classifications!C:I,7,FALSE))</f>
        <v>Significant Rural</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Hertfordshire</v>
      </c>
      <c r="AJ58" s="62" t="str">
        <f t="shared" si="1"/>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East of England</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16</v>
      </c>
      <c r="AY58" s="156"/>
      <c r="AZ58" s="44"/>
    </row>
    <row r="59" spans="1:52">
      <c r="A59" s="84" t="str">
        <f>$D$1&amp;49</f>
        <v>SD49</v>
      </c>
      <c r="B59" s="85" t="str">
        <f>IF(ISERROR(VLOOKUP(A59,classifications!A:C,3,FALSE)),0,VLOOKUP(A59,classifications!A:C,3,FALSE))</f>
        <v>North Warwickshire</v>
      </c>
      <c r="C59" s="31" t="s">
        <v>30</v>
      </c>
      <c r="D59" s="49" t="str">
        <f>VLOOKUP($C59,classifications!$C:$J,4,FALSE)</f>
        <v>SD</v>
      </c>
      <c r="E59" s="49">
        <f>VLOOKUP(C59,classifications!C:K,9,FALSE)</f>
        <v>0</v>
      </c>
      <c r="F59" s="59">
        <f t="shared" si="2"/>
        <v>25</v>
      </c>
      <c r="G59" s="105"/>
      <c r="H59" s="60">
        <f t="shared" si="3"/>
        <v>25</v>
      </c>
      <c r="I59" s="112">
        <f>IF(H59="","",IF($I$8="A",(RANK(H59,H$11:H$363,1)+COUNTIF(H$11:H59,H59)-1),(RANK(H59,H$11:H$363)+COUNTIF(H$11:H59,H59)-1)))</f>
        <v>166</v>
      </c>
      <c r="J59" s="58"/>
      <c r="K59" s="51">
        <f t="shared" si="13"/>
        <v>49</v>
      </c>
      <c r="L59" s="59" t="str">
        <f t="shared" si="14"/>
        <v>South Somerset</v>
      </c>
      <c r="M59" s="153">
        <f t="shared" si="20"/>
        <v>15</v>
      </c>
      <c r="N59" s="148">
        <f t="shared" si="21"/>
        <v>15</v>
      </c>
      <c r="O59" s="131">
        <f t="shared" si="4"/>
        <v>15</v>
      </c>
      <c r="P59" s="131" t="str">
        <f t="shared" si="15"/>
        <v/>
      </c>
      <c r="Q59" s="131" t="str">
        <f t="shared" si="16"/>
        <v/>
      </c>
      <c r="R59" s="127" t="str">
        <f t="shared" si="17"/>
        <v/>
      </c>
      <c r="S59" s="60" t="str">
        <f t="shared" si="5"/>
        <v/>
      </c>
      <c r="T59" s="231" t="str">
        <f>IF(L59="","",VLOOKUP(L59,classifications!C:K,9,FALSE))</f>
        <v>Sparse</v>
      </c>
      <c r="U59" s="238">
        <f t="shared" si="26"/>
        <v>15</v>
      </c>
      <c r="V59" s="239">
        <f>IF(U59="","",IF($I$8="A",(RANK(U59,U$11:U$363)+COUNTIF(U$11:U59,U59)-1),(RANK(U59,U$11:U$363,1)+COUNTIF(U$11:U59,U59)-1)))</f>
        <v>76</v>
      </c>
      <c r="W59" s="240"/>
      <c r="X59" s="61" t="str">
        <f>IF(L59="","",VLOOKUP($L59,classifications!$C:$J,6,FALSE))</f>
        <v xml:space="preserve">Largely Rural (rural including hub towns 50-79%) </v>
      </c>
      <c r="Y59" s="49" t="str">
        <f t="shared" si="0"/>
        <v/>
      </c>
      <c r="Z59" s="57" t="str">
        <f>IF(Y59="","",IF(I$8="A",(RANK(Y59,Y$11:Y$363,1)+COUNTIF(Y$11:Y59,Y59)-1),(RANK(Y59,Y$11:Y$363)+COUNTIF(Y$11:Y59,Y59)-1)))</f>
        <v/>
      </c>
      <c r="AA59" s="245" t="str">
        <f>IF(L59="","",VLOOKUP($L59,classifications!C:I,7,FALSE))</f>
        <v>Predominantly Rural</v>
      </c>
      <c r="AB59" s="239">
        <f t="shared" si="7"/>
        <v>15</v>
      </c>
      <c r="AC59" s="239">
        <f>IF(AB59="","",IF($I$8="A",(RANK(AB59,AB$11:AB$363)+COUNTIF(AB$11:AB59,AB59)-1),(RANK(AB59,AB$11:AB$363,1)+COUNTIF(AB$11:AB59,AB59)-1)))</f>
        <v>61</v>
      </c>
      <c r="AD59" s="239"/>
      <c r="AE59" s="51" t="str">
        <f t="shared" si="25"/>
        <v/>
      </c>
      <c r="AG59" s="143"/>
      <c r="AH59" s="52"/>
      <c r="AI59" s="61" t="str">
        <f>IF(L59="","",VLOOKUP($L59,classifications!$C:$J,8,FALSE))</f>
        <v>Somerset</v>
      </c>
      <c r="AJ59" s="62" t="str">
        <f t="shared" si="1"/>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South West</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25</v>
      </c>
      <c r="AY59" s="156"/>
      <c r="AZ59" s="44"/>
    </row>
    <row r="60" spans="1:52">
      <c r="A60" s="84" t="str">
        <f>$D$1&amp;50</f>
        <v>SD50</v>
      </c>
      <c r="B60" s="85" t="str">
        <f>IF(ISERROR(VLOOKUP(A60,classifications!A:C,3,FALSE)),0,VLOOKUP(A60,classifications!A:C,3,FALSE))</f>
        <v>North West Leicestershire</v>
      </c>
      <c r="C60" s="31" t="s">
        <v>31</v>
      </c>
      <c r="D60" s="49" t="str">
        <f>VLOOKUP($C60,classifications!$C:$J,4,FALSE)</f>
        <v>SD</v>
      </c>
      <c r="E60" s="49">
        <f>VLOOKUP(C60,classifications!C:K,9,FALSE)</f>
        <v>0</v>
      </c>
      <c r="F60" s="59">
        <f t="shared" si="2"/>
        <v>25</v>
      </c>
      <c r="G60" s="105"/>
      <c r="H60" s="60">
        <f t="shared" si="3"/>
        <v>25</v>
      </c>
      <c r="I60" s="112">
        <f>IF(H60="","",IF($I$8="A",(RANK(H60,H$11:H$363,1)+COUNTIF(H$11:H60,H60)-1),(RANK(H60,H$11:H$363)+COUNTIF(H$11:H60,H60)-1)))</f>
        <v>167</v>
      </c>
      <c r="J60" s="58"/>
      <c r="K60" s="51">
        <f t="shared" si="13"/>
        <v>50</v>
      </c>
      <c r="L60" s="59" t="str">
        <f t="shared" si="14"/>
        <v>Swale</v>
      </c>
      <c r="M60" s="153">
        <f t="shared" si="20"/>
        <v>15</v>
      </c>
      <c r="N60" s="148">
        <f t="shared" si="21"/>
        <v>15</v>
      </c>
      <c r="O60" s="131">
        <f t="shared" si="4"/>
        <v>15</v>
      </c>
      <c r="P60" s="131" t="str">
        <f t="shared" si="15"/>
        <v/>
      </c>
      <c r="Q60" s="131" t="str">
        <f t="shared" si="16"/>
        <v/>
      </c>
      <c r="R60" s="127" t="str">
        <f t="shared" si="17"/>
        <v/>
      </c>
      <c r="S60" s="60" t="str">
        <f t="shared" si="5"/>
        <v/>
      </c>
      <c r="T60" s="231">
        <f>IF(L60="","",VLOOKUP(L60,classifications!C:K,9,FALSE))</f>
        <v>0</v>
      </c>
      <c r="U60" s="238" t="str">
        <f t="shared" si="26"/>
        <v/>
      </c>
      <c r="V60" s="239" t="str">
        <f>IF(U60="","",IF($I$8="A",(RANK(U60,U$11:U$363)+COUNTIF(U$11:U60,U60)-1),(RANK(U60,U$11:U$363,1)+COUNTIF(U$11:U60,U60)-1)))</f>
        <v/>
      </c>
      <c r="W60" s="240"/>
      <c r="X60" s="61" t="str">
        <f>IF(L60="","",VLOOKUP($L60,classifications!$C:$J,6,FALSE))</f>
        <v xml:space="preserve">Largely Rural (rural including hub towns 50-79%) </v>
      </c>
      <c r="Y60" s="49" t="str">
        <f t="shared" si="0"/>
        <v/>
      </c>
      <c r="Z60" s="57" t="str">
        <f>IF(Y60="","",IF(I$8="A",(RANK(Y60,Y$11:Y$363,1)+COUNTIF(Y$11:Y60,Y60)-1),(RANK(Y60,Y$11:Y$363)+COUNTIF(Y$11:Y60,Y60)-1)))</f>
        <v/>
      </c>
      <c r="AA60" s="245" t="str">
        <f>IF(L60="","",VLOOKUP($L60,classifications!C:I,7,FALSE))</f>
        <v>Predominantly Rural</v>
      </c>
      <c r="AB60" s="239">
        <f t="shared" si="7"/>
        <v>15</v>
      </c>
      <c r="AC60" s="239">
        <f>IF(AB60="","",IF($I$8="A",(RANK(AB60,AB$11:AB$363)+COUNTIF(AB$11:AB60,AB60)-1),(RANK(AB60,AB$11:AB$363,1)+COUNTIF(AB$11:AB60,AB60)-1)))</f>
        <v>62</v>
      </c>
      <c r="AD60" s="239"/>
      <c r="AE60" s="51" t="str">
        <f t="shared" si="25"/>
        <v/>
      </c>
      <c r="AG60" s="143"/>
      <c r="AH60" s="52"/>
      <c r="AI60" s="61" t="str">
        <f>IF(L60="","",VLOOKUP($L60,classifications!$C:$J,8,FALSE))</f>
        <v>Kent</v>
      </c>
      <c r="AJ60" s="62" t="str">
        <f t="shared" si="1"/>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South East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25</v>
      </c>
      <c r="AY60" s="156"/>
      <c r="AZ60" s="44"/>
    </row>
    <row r="61" spans="1:52">
      <c r="A61" s="84" t="str">
        <f>$D$1&amp;51</f>
        <v>SD51</v>
      </c>
      <c r="B61" s="85" t="str">
        <f>IF(ISERROR(VLOOKUP(A61,classifications!A:C,3,FALSE)),0,VLOOKUP(A61,classifications!A:C,3,FALSE))</f>
        <v>Purbeck</v>
      </c>
      <c r="C61" s="31" t="s">
        <v>304</v>
      </c>
      <c r="D61" s="49" t="str">
        <f>VLOOKUP($C61,classifications!$C:$J,4,FALSE)</f>
        <v>UA</v>
      </c>
      <c r="E61" s="49">
        <f>VLOOKUP(C61,classifications!C:K,9,FALSE)</f>
        <v>0</v>
      </c>
      <c r="F61" s="59">
        <f t="shared" si="2"/>
        <v>29</v>
      </c>
      <c r="G61" s="105"/>
      <c r="H61" s="60" t="str">
        <f t="shared" si="3"/>
        <v/>
      </c>
      <c r="I61" s="112" t="str">
        <f>IF(H61="","",IF($I$8="A",(RANK(H61,H$11:H$363,1)+COUNTIF(H$11:H61,H61)-1),(RANK(H61,H$11:H$363)+COUNTIF(H$11:H61,H61)-1)))</f>
        <v/>
      </c>
      <c r="J61" s="58"/>
      <c r="K61" s="51">
        <f t="shared" si="13"/>
        <v>51</v>
      </c>
      <c r="L61" s="59" t="str">
        <f t="shared" si="14"/>
        <v>Teignbridge</v>
      </c>
      <c r="M61" s="153">
        <f t="shared" si="20"/>
        <v>15</v>
      </c>
      <c r="N61" s="148">
        <f t="shared" si="21"/>
        <v>15</v>
      </c>
      <c r="O61" s="131">
        <f t="shared" si="4"/>
        <v>15</v>
      </c>
      <c r="P61" s="131" t="str">
        <f t="shared" si="15"/>
        <v/>
      </c>
      <c r="Q61" s="131" t="str">
        <f t="shared" si="16"/>
        <v/>
      </c>
      <c r="R61" s="127" t="str">
        <f t="shared" si="17"/>
        <v/>
      </c>
      <c r="S61" s="60" t="str">
        <f t="shared" si="5"/>
        <v/>
      </c>
      <c r="T61" s="231" t="str">
        <f>IF(L61="","",VLOOKUP(L61,classifications!C:K,9,FALSE))</f>
        <v>Sparse</v>
      </c>
      <c r="U61" s="238">
        <f t="shared" si="26"/>
        <v>15</v>
      </c>
      <c r="V61" s="239">
        <f>IF(U61="","",IF($I$8="A",(RANK(U61,U$11:U$363)+COUNTIF(U$11:U61,U61)-1),(RANK(U61,U$11:U$363,1)+COUNTIF(U$11:U61,U61)-1)))</f>
        <v>77</v>
      </c>
      <c r="W61" s="240"/>
      <c r="X61" s="61" t="str">
        <f>IF(L61="","",VLOOKUP($L61,classifications!$C:$J,6,FALSE))</f>
        <v xml:space="preserve">Largely Rural (rural including hub towns 50-79%) </v>
      </c>
      <c r="Y61" s="49" t="str">
        <f t="shared" si="0"/>
        <v/>
      </c>
      <c r="Z61" s="57" t="str">
        <f>IF(Y61="","",IF(I$8="A",(RANK(Y61,Y$11:Y$363,1)+COUNTIF(Y$11:Y61,Y61)-1),(RANK(Y61,Y$11:Y$363)+COUNTIF(Y$11:Y61,Y61)-1)))</f>
        <v/>
      </c>
      <c r="AA61" s="245" t="str">
        <f>IF(L61="","",VLOOKUP($L61,classifications!C:I,7,FALSE))</f>
        <v>Predominantly Rural</v>
      </c>
      <c r="AB61" s="239">
        <f t="shared" si="7"/>
        <v>15</v>
      </c>
      <c r="AC61" s="239">
        <f>IF(AB61="","",IF($I$8="A",(RANK(AB61,AB$11:AB$363)+COUNTIF(AB$11:AB61,AB61)-1),(RANK(AB61,AB$11:AB$363,1)+COUNTIF(AB$11:AB61,AB61)-1)))</f>
        <v>63</v>
      </c>
      <c r="AD61" s="239"/>
      <c r="AE61" s="51" t="str">
        <f t="shared" si="25"/>
        <v/>
      </c>
      <c r="AG61" s="143"/>
      <c r="AH61" s="52"/>
      <c r="AI61" s="61" t="str">
        <f>IF(L61="","",VLOOKUP($L61,classifications!$C:$J,8,FALSE))</f>
        <v>Devon</v>
      </c>
      <c r="AJ61" s="62" t="str">
        <f t="shared" si="1"/>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South West</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29</v>
      </c>
      <c r="AY61" s="156"/>
      <c r="AZ61" s="44"/>
    </row>
    <row r="62" spans="1:52">
      <c r="A62" s="84" t="str">
        <f>$D$1&amp;52</f>
        <v>SD52</v>
      </c>
      <c r="B62" s="85" t="str">
        <f>IF(ISERROR(VLOOKUP(A62,classifications!A:C,3,FALSE)),0,VLOOKUP(A62,classifications!A:C,3,FALSE))</f>
        <v>Ribble Valley</v>
      </c>
      <c r="C62" s="31" t="s">
        <v>32</v>
      </c>
      <c r="D62" s="49" t="str">
        <f>VLOOKUP($C62,classifications!$C:$J,4,FALSE)</f>
        <v>SD</v>
      </c>
      <c r="E62" s="49">
        <f>VLOOKUP(C62,classifications!C:K,9,FALSE)</f>
        <v>0</v>
      </c>
      <c r="F62" s="59">
        <f t="shared" si="2"/>
        <v>25</v>
      </c>
      <c r="G62" s="105"/>
      <c r="H62" s="60">
        <f t="shared" si="3"/>
        <v>25</v>
      </c>
      <c r="I62" s="112">
        <f>IF(H62="","",IF($I$8="A",(RANK(H62,H$11:H$363,1)+COUNTIF(H$11:H62,H62)-1),(RANK(H62,H$11:H$363)+COUNTIF(H$11:H62,H62)-1)))</f>
        <v>168</v>
      </c>
      <c r="J62" s="58"/>
      <c r="K62" s="51">
        <f t="shared" si="13"/>
        <v>52</v>
      </c>
      <c r="L62" s="59" t="str">
        <f t="shared" si="14"/>
        <v>Thanet</v>
      </c>
      <c r="M62" s="153">
        <f t="shared" si="20"/>
        <v>15</v>
      </c>
      <c r="N62" s="148">
        <f t="shared" si="21"/>
        <v>15</v>
      </c>
      <c r="O62" s="131">
        <f t="shared" si="4"/>
        <v>15</v>
      </c>
      <c r="P62" s="131" t="str">
        <f t="shared" si="15"/>
        <v/>
      </c>
      <c r="Q62" s="131" t="str">
        <f t="shared" si="16"/>
        <v/>
      </c>
      <c r="R62" s="127" t="str">
        <f t="shared" si="17"/>
        <v/>
      </c>
      <c r="S62" s="60" t="str">
        <f t="shared" si="5"/>
        <v/>
      </c>
      <c r="T62" s="231">
        <f>IF(L62="","",VLOOKUP(L62,classifications!C:K,9,FALSE))</f>
        <v>0</v>
      </c>
      <c r="U62" s="238" t="str">
        <f t="shared" si="26"/>
        <v/>
      </c>
      <c r="V62" s="239" t="str">
        <f>IF(U62="","",IF($I$8="A",(RANK(U62,U$11:U$363)+COUNTIF(U$11:U62,U62)-1),(RANK(U62,U$11:U$363,1)+COUNTIF(U$11:U62,U62)-1)))</f>
        <v/>
      </c>
      <c r="W62" s="240"/>
      <c r="X62" s="61" t="str">
        <f>IF(L62="","",VLOOKUP($L62,classifications!$C:$J,6,FALSE))</f>
        <v>Urban with City and Town</v>
      </c>
      <c r="Y62" s="49" t="str">
        <f t="shared" si="0"/>
        <v/>
      </c>
      <c r="Z62" s="57" t="str">
        <f>IF(Y62="","",IF(I$8="A",(RANK(Y62,Y$11:Y$363,1)+COUNTIF(Y$11:Y62,Y62)-1),(RANK(Y62,Y$11:Y$363)+COUNTIF(Y$11:Y62,Y62)-1)))</f>
        <v/>
      </c>
      <c r="AA62" s="245" t="str">
        <f>IF(L62="","",VLOOKUP($L62,classifications!C:I,7,FALSE))</f>
        <v>Predominantly Urban</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Kent</v>
      </c>
      <c r="AJ62" s="62" t="str">
        <f t="shared" si="1"/>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South East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25</v>
      </c>
      <c r="AY62" s="156"/>
      <c r="AZ62" s="44"/>
    </row>
    <row r="63" spans="1:52">
      <c r="A63" s="84" t="str">
        <f>$D$1&amp;53</f>
        <v>SD53</v>
      </c>
      <c r="B63" s="85" t="str">
        <f>IF(ISERROR(VLOOKUP(A63,classifications!A:C,3,FALSE)),0,VLOOKUP(A63,classifications!A:C,3,FALSE))</f>
        <v>Richmondshire</v>
      </c>
      <c r="C63" s="31" t="s">
        <v>33</v>
      </c>
      <c r="D63" s="49" t="str">
        <f>VLOOKUP($C63,classifications!$C:$J,4,FALSE)</f>
        <v>SD</v>
      </c>
      <c r="E63" s="49">
        <f>VLOOKUP(C63,classifications!C:K,9,FALSE)</f>
        <v>0</v>
      </c>
      <c r="F63" s="59">
        <f t="shared" si="2"/>
        <v>20</v>
      </c>
      <c r="G63" s="105"/>
      <c r="H63" s="60">
        <f t="shared" si="3"/>
        <v>20</v>
      </c>
      <c r="I63" s="112">
        <f>IF(H63="","",IF($I$8="A",(RANK(H63,H$11:H$363,1)+COUNTIF(H$11:H63,H63)-1),(RANK(H63,H$11:H$363)+COUNTIF(H$11:H63,H63)-1)))</f>
        <v>109</v>
      </c>
      <c r="J63" s="58"/>
      <c r="K63" s="51">
        <f t="shared" si="13"/>
        <v>53</v>
      </c>
      <c r="L63" s="59" t="str">
        <f t="shared" si="14"/>
        <v>West Oxfordshire</v>
      </c>
      <c r="M63" s="153">
        <f t="shared" si="20"/>
        <v>15</v>
      </c>
      <c r="N63" s="148">
        <f t="shared" si="21"/>
        <v>15</v>
      </c>
      <c r="O63" s="131">
        <f t="shared" si="4"/>
        <v>15</v>
      </c>
      <c r="P63" s="131" t="str">
        <f t="shared" si="15"/>
        <v/>
      </c>
      <c r="Q63" s="131" t="str">
        <f t="shared" si="16"/>
        <v/>
      </c>
      <c r="R63" s="127" t="str">
        <f t="shared" si="17"/>
        <v/>
      </c>
      <c r="S63" s="60" t="str">
        <f t="shared" si="5"/>
        <v/>
      </c>
      <c r="T63" s="231" t="str">
        <f>IF(L63="","",VLOOKUP(L63,classifications!C:K,9,FALSE))</f>
        <v>Sparse</v>
      </c>
      <c r="U63" s="238">
        <f t="shared" si="26"/>
        <v>15</v>
      </c>
      <c r="V63" s="239">
        <f>IF(U63="","",IF($I$8="A",(RANK(U63,U$11:U$363)+COUNTIF(U$11:U63,U63)-1),(RANK(U63,U$11:U$363,1)+COUNTIF(U$11:U63,U63)-1)))</f>
        <v>78</v>
      </c>
      <c r="W63" s="240"/>
      <c r="X63" s="61" t="str">
        <f>IF(L63="","",VLOOKUP($L63,classifications!$C:$J,6,FALSE))</f>
        <v xml:space="preserve">Mainly Rural (rural including hub towns &gt;=80%) </v>
      </c>
      <c r="Y63" s="49">
        <f t="shared" si="0"/>
        <v>15</v>
      </c>
      <c r="Z63" s="57">
        <f>IF(Y63="","",IF(I$8="A",(RANK(Y63,Y$11:Y$363,1)+COUNTIF(Y$11:Y63,Y63)-1),(RANK(Y63,Y$11:Y$363)+COUNTIF(Y$11:Y63,Y63)-1)))</f>
        <v>11</v>
      </c>
      <c r="AA63" s="245" t="str">
        <f>IF(L63="","",VLOOKUP($L63,classifications!C:I,7,FALSE))</f>
        <v>Predominantly Rural</v>
      </c>
      <c r="AB63" s="239">
        <f t="shared" si="7"/>
        <v>15</v>
      </c>
      <c r="AC63" s="239">
        <f>IF(AB63="","",IF($I$8="A",(RANK(AB63,AB$11:AB$363)+COUNTIF(AB$11:AB63,AB63)-1),(RANK(AB63,AB$11:AB$363,1)+COUNTIF(AB$11:AB63,AB63)-1)))</f>
        <v>64</v>
      </c>
      <c r="AD63" s="239"/>
      <c r="AE63" s="51" t="str">
        <f t="shared" si="25"/>
        <v/>
      </c>
      <c r="AG63" s="143"/>
      <c r="AH63" s="52"/>
      <c r="AI63" s="61" t="str">
        <f>IF(L63="","",VLOOKUP($L63,classifications!$C:$J,8,FALSE))</f>
        <v>Oxfordshire</v>
      </c>
      <c r="AJ63" s="62" t="str">
        <f t="shared" si="1"/>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20</v>
      </c>
      <c r="AY63" s="156"/>
      <c r="AZ63" s="44"/>
    </row>
    <row r="64" spans="1:52">
      <c r="A64" s="84" t="str">
        <f>$D$1&amp;54</f>
        <v>SD54</v>
      </c>
      <c r="B64" s="85" t="str">
        <f>IF(ISERROR(VLOOKUP(A64,classifications!A:C,3,FALSE)),0,VLOOKUP(A64,classifications!A:C,3,FALSE))</f>
        <v>Rother</v>
      </c>
      <c r="C64" s="31" t="s">
        <v>34</v>
      </c>
      <c r="D64" s="49" t="str">
        <f>VLOOKUP($C64,classifications!$C:$J,4,FALSE)</f>
        <v>SD</v>
      </c>
      <c r="E64" s="49">
        <f>VLOOKUP(C64,classifications!C:K,9,FALSE)</f>
        <v>0</v>
      </c>
      <c r="F64" s="59">
        <f t="shared" si="2"/>
        <v>23</v>
      </c>
      <c r="G64" s="105"/>
      <c r="H64" s="60">
        <f t="shared" si="3"/>
        <v>23</v>
      </c>
      <c r="I64" s="112">
        <f>IF(H64="","",IF($I$8="A",(RANK(H64,H$11:H$363,1)+COUNTIF(H$11:H64,H64)-1),(RANK(H64,H$11:H$363)+COUNTIF(H$11:H64,H64)-1)))</f>
        <v>146</v>
      </c>
      <c r="J64" s="58"/>
      <c r="K64" s="51">
        <f t="shared" si="13"/>
        <v>54</v>
      </c>
      <c r="L64" s="59" t="str">
        <f t="shared" si="14"/>
        <v>Basingstoke &amp; Deane</v>
      </c>
      <c r="M64" s="153">
        <f t="shared" si="20"/>
        <v>16</v>
      </c>
      <c r="N64" s="148">
        <f t="shared" si="21"/>
        <v>16</v>
      </c>
      <c r="O64" s="131" t="str">
        <f t="shared" si="4"/>
        <v/>
      </c>
      <c r="P64" s="131">
        <f t="shared" si="15"/>
        <v>16</v>
      </c>
      <c r="Q64" s="131" t="str">
        <f t="shared" si="16"/>
        <v/>
      </c>
      <c r="R64" s="127" t="str">
        <f t="shared" si="17"/>
        <v/>
      </c>
      <c r="S64" s="60" t="str">
        <f t="shared" si="5"/>
        <v/>
      </c>
      <c r="T64" s="231">
        <f>IF(L64="","",VLOOKUP(L64,classifications!C:K,9,FALSE))</f>
        <v>0</v>
      </c>
      <c r="U64" s="238" t="str">
        <f t="shared" si="26"/>
        <v/>
      </c>
      <c r="V64" s="239" t="str">
        <f>IF(U64="","",IF($I$8="A",(RANK(U64,U$11:U$363)+COUNTIF(U$11:U64,U64)-1),(RANK(U64,U$11:U$363,1)+COUNTIF(U$11:U64,U64)-1)))</f>
        <v/>
      </c>
      <c r="W64" s="240"/>
      <c r="X64" s="61" t="str">
        <f>IF(L64="","",VLOOKUP($L64,classifications!$C:$J,6,FALSE))</f>
        <v>Urban with Significant Rural (rural including hub towns 26-49%)</v>
      </c>
      <c r="Y64" s="49" t="str">
        <f t="shared" si="0"/>
        <v/>
      </c>
      <c r="Z64" s="57" t="str">
        <f>IF(Y64="","",IF(I$8="A",(RANK(Y64,Y$11:Y$363,1)+COUNTIF(Y$11:Y64,Y64)-1),(RANK(Y64,Y$11:Y$363)+COUNTIF(Y$11:Y64,Y64)-1)))</f>
        <v/>
      </c>
      <c r="AA64" s="245" t="str">
        <f>IF(L64="","",VLOOKUP($L64,classifications!C:I,7,FALSE))</f>
        <v>Significant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Hampshire</v>
      </c>
      <c r="AJ64" s="62" t="str">
        <f t="shared" si="1"/>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South East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23</v>
      </c>
      <c r="AY64" s="156"/>
      <c r="AZ64" s="44"/>
    </row>
    <row r="65" spans="1:52">
      <c r="A65" s="84" t="str">
        <f>$D$1&amp;55</f>
        <v>SD55</v>
      </c>
      <c r="B65" s="85" t="str">
        <f>IF(ISERROR(VLOOKUP(A65,classifications!A:C,3,FALSE)),0,VLOOKUP(A65,classifications!A:C,3,FALSE))</f>
        <v>Rugby</v>
      </c>
      <c r="C65" s="31" t="s">
        <v>35</v>
      </c>
      <c r="D65" s="49" t="str">
        <f>VLOOKUP($C65,classifications!$C:$J,4,FALSE)</f>
        <v>SD</v>
      </c>
      <c r="E65" s="49" t="str">
        <f>VLOOKUP(C65,classifications!C:K,9,FALSE)</f>
        <v>Sparse</v>
      </c>
      <c r="F65" s="59">
        <f t="shared" si="2"/>
        <v>15</v>
      </c>
      <c r="G65" s="105"/>
      <c r="H65" s="60">
        <f t="shared" si="3"/>
        <v>15</v>
      </c>
      <c r="I65" s="112">
        <f>IF(H65="","",IF($I$8="A",(RANK(H65,H$11:H$363,1)+COUNTIF(H$11:H65,H65)-1),(RANK(H65,H$11:H$363)+COUNTIF(H$11:H65,H65)-1)))</f>
        <v>35</v>
      </c>
      <c r="J65" s="58"/>
      <c r="K65" s="51">
        <f t="shared" si="13"/>
        <v>55</v>
      </c>
      <c r="L65" s="59" t="str">
        <f t="shared" si="14"/>
        <v>Braintree</v>
      </c>
      <c r="M65" s="153">
        <f t="shared" si="20"/>
        <v>16</v>
      </c>
      <c r="N65" s="148">
        <f t="shared" si="21"/>
        <v>16</v>
      </c>
      <c r="O65" s="131" t="str">
        <f t="shared" si="4"/>
        <v/>
      </c>
      <c r="P65" s="131">
        <f t="shared" si="15"/>
        <v>16</v>
      </c>
      <c r="Q65" s="131" t="str">
        <f t="shared" si="16"/>
        <v/>
      </c>
      <c r="R65" s="127" t="str">
        <f t="shared" si="17"/>
        <v/>
      </c>
      <c r="S65" s="60" t="str">
        <f t="shared" si="5"/>
        <v/>
      </c>
      <c r="T65" s="231" t="str">
        <f>IF(L65="","",VLOOKUP(L65,classifications!C:K,9,FALSE))</f>
        <v>Sparse</v>
      </c>
      <c r="U65" s="238">
        <f t="shared" si="26"/>
        <v>16</v>
      </c>
      <c r="V65" s="239">
        <f>IF(U65="","",IF($I$8="A",(RANK(U65,U$11:U$363)+COUNTIF(U$11:U65,U65)-1),(RANK(U65,U$11:U$363,1)+COUNTIF(U$11:U65,U65)-1)))</f>
        <v>60</v>
      </c>
      <c r="W65" s="240"/>
      <c r="X65" s="61" t="str">
        <f>IF(L65="","",VLOOKUP($L65,classifications!$C:$J,6,FALSE))</f>
        <v xml:space="preserve">Largely Rural (rural including hub towns 50-79%) </v>
      </c>
      <c r="Y65" s="49" t="str">
        <f t="shared" si="0"/>
        <v/>
      </c>
      <c r="Z65" s="57" t="str">
        <f>IF(Y65="","",IF(I$8="A",(RANK(Y65,Y$11:Y$363,1)+COUNTIF(Y$11:Y65,Y65)-1),(RANK(Y65,Y$11:Y$363)+COUNTIF(Y$11:Y65,Y65)-1)))</f>
        <v/>
      </c>
      <c r="AA65" s="245" t="str">
        <f>IF(L65="","",VLOOKUP($L65,classifications!C:I,7,FALSE))</f>
        <v>Predominantly Rural</v>
      </c>
      <c r="AB65" s="239">
        <f t="shared" si="7"/>
        <v>16</v>
      </c>
      <c r="AC65" s="239">
        <f>IF(AB65="","",IF($I$8="A",(RANK(AB65,AB$11:AB$363)+COUNTIF(AB$11:AB65,AB65)-1),(RANK(AB65,AB$11:AB$363,1)+COUNTIF(AB$11:AB65,AB65)-1)))</f>
        <v>48</v>
      </c>
      <c r="AD65" s="239"/>
      <c r="AE65" s="51" t="str">
        <f t="shared" si="25"/>
        <v/>
      </c>
      <c r="AG65" s="143"/>
      <c r="AH65" s="52"/>
      <c r="AI65" s="61" t="str">
        <f>IF(L65="","",VLOOKUP($L65,classifications!$C:$J,8,FALSE))</f>
        <v>Essex</v>
      </c>
      <c r="AJ65" s="62" t="str">
        <f t="shared" si="1"/>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East of England</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15</v>
      </c>
      <c r="AY65" s="156"/>
      <c r="AZ65" s="44"/>
    </row>
    <row r="66" spans="1:52">
      <c r="A66" s="84" t="str">
        <f>$D$1&amp;56</f>
        <v>SD56</v>
      </c>
      <c r="B66" s="85" t="str">
        <f>IF(ISERROR(VLOOKUP(A66,classifications!A:C,3,FALSE)),0,VLOOKUP(A66,classifications!A:C,3,FALSE))</f>
        <v>Ryedale</v>
      </c>
      <c r="C66" s="31" t="s">
        <v>305</v>
      </c>
      <c r="D66" s="49" t="str">
        <f>VLOOKUP($C66,classifications!$C:$J,4,FALSE)</f>
        <v>UA</v>
      </c>
      <c r="E66" s="49" t="str">
        <f>VLOOKUP(C66,classifications!C:K,9,FALSE)</f>
        <v>Sparse</v>
      </c>
      <c r="F66" s="59">
        <f t="shared" si="2"/>
        <v>22</v>
      </c>
      <c r="G66" s="105"/>
      <c r="H66" s="60" t="str">
        <f t="shared" si="3"/>
        <v/>
      </c>
      <c r="I66" s="112" t="str">
        <f>IF(H66="","",IF($I$8="A",(RANK(H66,H$11:H$363,1)+COUNTIF(H$11:H66,H66)-1),(RANK(H66,H$11:H$363)+COUNTIF(H$11:H66,H66)-1)))</f>
        <v/>
      </c>
      <c r="J66" s="58"/>
      <c r="K66" s="51">
        <f t="shared" si="13"/>
        <v>56</v>
      </c>
      <c r="L66" s="59" t="str">
        <f t="shared" si="14"/>
        <v>Canterbury</v>
      </c>
      <c r="M66" s="153">
        <f t="shared" si="20"/>
        <v>16</v>
      </c>
      <c r="N66" s="148">
        <f t="shared" si="21"/>
        <v>16</v>
      </c>
      <c r="O66" s="131" t="str">
        <f t="shared" si="4"/>
        <v/>
      </c>
      <c r="P66" s="131">
        <f t="shared" si="15"/>
        <v>16</v>
      </c>
      <c r="Q66" s="131" t="str">
        <f t="shared" si="16"/>
        <v/>
      </c>
      <c r="R66" s="127" t="str">
        <f t="shared" si="17"/>
        <v/>
      </c>
      <c r="S66" s="60" t="str">
        <f t="shared" si="5"/>
        <v/>
      </c>
      <c r="T66" s="231">
        <f>IF(L66="","",VLOOKUP(L66,classifications!C:K,9,FALSE))</f>
        <v>0</v>
      </c>
      <c r="U66" s="238" t="str">
        <f t="shared" si="26"/>
        <v/>
      </c>
      <c r="V66" s="239" t="str">
        <f>IF(U66="","",IF($I$8="A",(RANK(U66,U$11:U$363)+COUNTIF(U$11:U66,U66)-1),(RANK(U66,U$11:U$363,1)+COUNTIF(U$11:U66,U66)-1)))</f>
        <v/>
      </c>
      <c r="W66" s="240"/>
      <c r="X66" s="61" t="str">
        <f>IF(L66="","",VLOOKUP($L66,classifications!$C:$J,6,FALSE))</f>
        <v>Urban with City and Town</v>
      </c>
      <c r="Y66" s="49" t="str">
        <f t="shared" si="0"/>
        <v/>
      </c>
      <c r="Z66" s="57" t="str">
        <f>IF(Y66="","",IF(I$8="A",(RANK(Y66,Y$11:Y$363,1)+COUNTIF(Y$11:Y66,Y66)-1),(RANK(Y66,Y$11:Y$363)+COUNTIF(Y$11:Y66,Y66)-1)))</f>
        <v/>
      </c>
      <c r="AA66" s="245" t="str">
        <f>IF(L66="","",VLOOKUP($L66,classifications!C:I,7,FALSE))</f>
        <v>Predominantly Urban</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Kent</v>
      </c>
      <c r="AJ66" s="62" t="str">
        <f t="shared" si="1"/>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South East</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22</v>
      </c>
      <c r="AY66" s="156"/>
      <c r="AZ66" s="44"/>
    </row>
    <row r="67" spans="1:52">
      <c r="A67" s="84" t="str">
        <f>$D$1&amp;57</f>
        <v>SD57</v>
      </c>
      <c r="B67" s="85" t="str">
        <f>IF(ISERROR(VLOOKUP(A67,classifications!A:C,3,FALSE)),0,VLOOKUP(A67,classifications!A:C,3,FALSE))</f>
        <v>Scarborough</v>
      </c>
      <c r="C67" s="31" t="s">
        <v>817</v>
      </c>
      <c r="D67" s="49" t="str">
        <f>VLOOKUP($C67,classifications!$C:$J,4,FALSE)</f>
        <v>UA</v>
      </c>
      <c r="E67" s="49" t="str">
        <f>VLOOKUP(C67,classifications!C:K,9,FALSE)</f>
        <v>Sparse</v>
      </c>
      <c r="F67" s="59">
        <f t="shared" si="2"/>
        <v>46</v>
      </c>
      <c r="G67" s="105"/>
      <c r="H67" s="60" t="str">
        <f t="shared" si="3"/>
        <v/>
      </c>
      <c r="I67" s="112" t="str">
        <f>IF(H67="","",IF($I$8="A",(RANK(H67,H$11:H$363,1)+COUNTIF(H$11:H67,H67)-1),(RANK(H67,H$11:H$363)+COUNTIF(H$11:H67,H67)-1)))</f>
        <v/>
      </c>
      <c r="J67" s="58"/>
      <c r="K67" s="51">
        <f t="shared" si="13"/>
        <v>57</v>
      </c>
      <c r="L67" s="59" t="str">
        <f t="shared" si="14"/>
        <v>Gravesham</v>
      </c>
      <c r="M67" s="153">
        <f t="shared" si="20"/>
        <v>16</v>
      </c>
      <c r="N67" s="148">
        <f t="shared" si="21"/>
        <v>16</v>
      </c>
      <c r="O67" s="131" t="str">
        <f t="shared" si="4"/>
        <v/>
      </c>
      <c r="P67" s="131">
        <f t="shared" si="15"/>
        <v>16</v>
      </c>
      <c r="Q67" s="131" t="str">
        <f t="shared" si="16"/>
        <v/>
      </c>
      <c r="R67" s="127" t="str">
        <f t="shared" si="17"/>
        <v/>
      </c>
      <c r="S67" s="60" t="str">
        <f t="shared" si="5"/>
        <v/>
      </c>
      <c r="T67" s="231">
        <f>IF(L67="","",VLOOKUP(L67,classifications!C:K,9,FALSE))</f>
        <v>0</v>
      </c>
      <c r="U67" s="238" t="str">
        <f t="shared" si="26"/>
        <v/>
      </c>
      <c r="V67" s="239" t="str">
        <f>IF(U67="","",IF($I$8="A",(RANK(U67,U$11:U$363)+COUNTIF(U$11:U67,U67)-1),(RANK(U67,U$11:U$363,1)+COUNTIF(U$11:U67,U67)-1)))</f>
        <v/>
      </c>
      <c r="W67" s="240"/>
      <c r="X67" s="61" t="str">
        <f>IF(L67="","",VLOOKUP($L67,classifications!$C:$J,6,FALSE))</f>
        <v>Urban with Major Conurbation</v>
      </c>
      <c r="Y67" s="49" t="str">
        <f t="shared" si="0"/>
        <v/>
      </c>
      <c r="Z67" s="57" t="str">
        <f>IF(Y67="","",IF(I$8="A",(RANK(Y67,Y$11:Y$363,1)+COUNTIF(Y$11:Y67,Y67)-1),(RANK(Y67,Y$11:Y$363)+COUNTIF(Y$11:Y67,Y67)-1)))</f>
        <v/>
      </c>
      <c r="AA67" s="245" t="str">
        <f>IF(L67="","",VLOOKUP($L67,classifications!C:I,7,FALSE))</f>
        <v>Predominantly Urban</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Kent</v>
      </c>
      <c r="AJ67" s="62" t="str">
        <f t="shared" si="1"/>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South East</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46</v>
      </c>
      <c r="AY67" s="156"/>
      <c r="AZ67" s="44"/>
    </row>
    <row r="68" spans="1:52">
      <c r="A68" s="84" t="str">
        <f>$D$1&amp;58</f>
        <v>SD58</v>
      </c>
      <c r="B68" s="85" t="str">
        <f>IF(ISERROR(VLOOKUP(A68,classifications!A:C,3,FALSE)),0,VLOOKUP(A68,classifications!A:C,3,FALSE))</f>
        <v>Sedgemoor</v>
      </c>
      <c r="C68" s="31" t="s">
        <v>36</v>
      </c>
      <c r="D68" s="49" t="str">
        <f>VLOOKUP($C68,classifications!$C:$J,4,FALSE)</f>
        <v>SD</v>
      </c>
      <c r="E68" s="49">
        <f>VLOOKUP(C68,classifications!C:K,9,FALSE)</f>
        <v>0</v>
      </c>
      <c r="F68" s="59">
        <f t="shared" si="2"/>
        <v>25</v>
      </c>
      <c r="G68" s="105"/>
      <c r="H68" s="60">
        <f t="shared" si="3"/>
        <v>25</v>
      </c>
      <c r="I68" s="112">
        <f>IF(H68="","",IF($I$8="A",(RANK(H68,H$11:H$363,1)+COUNTIF(H$11:H68,H68)-1),(RANK(H68,H$11:H$363)+COUNTIF(H$11:H68,H68)-1)))</f>
        <v>169</v>
      </c>
      <c r="J68" s="58"/>
      <c r="K68" s="51">
        <f t="shared" si="13"/>
        <v>58</v>
      </c>
      <c r="L68" s="59" t="str">
        <f t="shared" si="14"/>
        <v>Hambleton</v>
      </c>
      <c r="M68" s="153">
        <f t="shared" si="20"/>
        <v>16</v>
      </c>
      <c r="N68" s="148">
        <f t="shared" si="21"/>
        <v>16</v>
      </c>
      <c r="O68" s="131" t="str">
        <f t="shared" si="4"/>
        <v/>
      </c>
      <c r="P68" s="131">
        <f t="shared" si="15"/>
        <v>16</v>
      </c>
      <c r="Q68" s="131" t="str">
        <f t="shared" si="16"/>
        <v/>
      </c>
      <c r="R68" s="127" t="str">
        <f t="shared" si="17"/>
        <v/>
      </c>
      <c r="S68" s="60" t="str">
        <f t="shared" si="5"/>
        <v/>
      </c>
      <c r="T68" s="231" t="str">
        <f>IF(L68="","",VLOOKUP(L68,classifications!C:K,9,FALSE))</f>
        <v>Sparse</v>
      </c>
      <c r="U68" s="238">
        <f t="shared" si="26"/>
        <v>16</v>
      </c>
      <c r="V68" s="239">
        <f>IF(U68="","",IF($I$8="A",(RANK(U68,U$11:U$363)+COUNTIF(U$11:U68,U68)-1),(RANK(U68,U$11:U$363,1)+COUNTIF(U$11:U68,U68)-1)))</f>
        <v>61</v>
      </c>
      <c r="W68" s="240"/>
      <c r="X68" s="61" t="str">
        <f>IF(L68="","",VLOOKUP($L68,classifications!$C:$J,6,FALSE))</f>
        <v xml:space="preserve">Mainly Rural (rural including hub towns &gt;=80%) </v>
      </c>
      <c r="Y68" s="49">
        <f t="shared" si="0"/>
        <v>16</v>
      </c>
      <c r="Z68" s="57">
        <f>IF(Y68="","",IF(I$8="A",(RANK(Y68,Y$11:Y$363,1)+COUNTIF(Y$11:Y68,Y68)-1),(RANK(Y68,Y$11:Y$363)+COUNTIF(Y$11:Y68,Y68)-1)))</f>
        <v>12</v>
      </c>
      <c r="AA68" s="245" t="str">
        <f>IF(L68="","",VLOOKUP($L68,classifications!C:I,7,FALSE))</f>
        <v>Predominantly Rural</v>
      </c>
      <c r="AB68" s="239">
        <f t="shared" si="7"/>
        <v>16</v>
      </c>
      <c r="AC68" s="239">
        <f>IF(AB68="","",IF($I$8="A",(RANK(AB68,AB$11:AB$363)+COUNTIF(AB$11:AB68,AB68)-1),(RANK(AB68,AB$11:AB$363,1)+COUNTIF(AB$11:AB68,AB68)-1)))</f>
        <v>49</v>
      </c>
      <c r="AD68" s="239"/>
      <c r="AE68" s="51" t="str">
        <f t="shared" si="25"/>
        <v/>
      </c>
      <c r="AG68" s="143"/>
      <c r="AH68" s="52"/>
      <c r="AI68" s="61" t="str">
        <f>IF(L68="","",VLOOKUP($L68,classifications!$C:$J,8,FALSE))</f>
        <v>North Yorkshire</v>
      </c>
      <c r="AJ68" s="62" t="str">
        <f t="shared" si="1"/>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Yorkshire &amp; Humberside</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25</v>
      </c>
      <c r="AY68" s="156"/>
      <c r="AZ68" s="44"/>
    </row>
    <row r="69" spans="1:52">
      <c r="A69" s="84" t="str">
        <f>$D$1&amp;59</f>
        <v>SD59</v>
      </c>
      <c r="B69" s="85" t="str">
        <f>IF(ISERROR(VLOOKUP(A69,classifications!A:C,3,FALSE)),0,VLOOKUP(A69,classifications!A:C,3,FALSE))</f>
        <v>Selby</v>
      </c>
      <c r="C69" s="31" t="s">
        <v>37</v>
      </c>
      <c r="D69" s="49" t="str">
        <f>VLOOKUP($C69,classifications!$C:$J,4,FALSE)</f>
        <v>SD</v>
      </c>
      <c r="E69" s="49" t="str">
        <f>VLOOKUP(C69,classifications!C:K,9,FALSE)</f>
        <v>Sparse</v>
      </c>
      <c r="F69" s="59">
        <f t="shared" si="2"/>
        <v>21</v>
      </c>
      <c r="G69" s="105"/>
      <c r="H69" s="60">
        <f t="shared" si="3"/>
        <v>21</v>
      </c>
      <c r="I69" s="112">
        <f>IF(H69="","",IF($I$8="A",(RANK(H69,H$11:H$363,1)+COUNTIF(H$11:H69,H69)-1),(RANK(H69,H$11:H$363)+COUNTIF(H$11:H69,H69)-1)))</f>
        <v>126</v>
      </c>
      <c r="J69" s="58"/>
      <c r="K69" s="51">
        <f t="shared" si="13"/>
        <v>59</v>
      </c>
      <c r="L69" s="59" t="str">
        <f t="shared" si="14"/>
        <v>King's Lynn &amp; West Norfolk</v>
      </c>
      <c r="M69" s="153">
        <f t="shared" si="20"/>
        <v>16</v>
      </c>
      <c r="N69" s="148">
        <f t="shared" si="21"/>
        <v>16</v>
      </c>
      <c r="O69" s="131" t="str">
        <f t="shared" si="4"/>
        <v/>
      </c>
      <c r="P69" s="131">
        <f t="shared" si="15"/>
        <v>16</v>
      </c>
      <c r="Q69" s="131" t="str">
        <f t="shared" si="16"/>
        <v/>
      </c>
      <c r="R69" s="127" t="str">
        <f t="shared" si="17"/>
        <v/>
      </c>
      <c r="S69" s="60" t="str">
        <f t="shared" si="5"/>
        <v/>
      </c>
      <c r="T69" s="231" t="str">
        <f>IF(L69="","",VLOOKUP(L69,classifications!C:K,9,FALSE))</f>
        <v>Sparse</v>
      </c>
      <c r="U69" s="238">
        <f t="shared" si="26"/>
        <v>16</v>
      </c>
      <c r="V69" s="239">
        <f>IF(U69="","",IF($I$8="A",(RANK(U69,U$11:U$363)+COUNTIF(U$11:U69,U69)-1),(RANK(U69,U$11:U$363,1)+COUNTIF(U$11:U69,U69)-1)))</f>
        <v>62</v>
      </c>
      <c r="W69" s="240"/>
      <c r="X69" s="61" t="str">
        <f>IF(L69="","",VLOOKUP($L69,classifications!$C:$J,6,FALSE))</f>
        <v xml:space="preserve">Largely Rural (rural including hub towns 50-79%) </v>
      </c>
      <c r="Y69" s="49" t="str">
        <f t="shared" si="0"/>
        <v/>
      </c>
      <c r="Z69" s="57" t="str">
        <f>IF(Y69="","",IF(I$8="A",(RANK(Y69,Y$11:Y$363,1)+COUNTIF(Y$11:Y69,Y69)-1),(RANK(Y69,Y$11:Y$363)+COUNTIF(Y$11:Y69,Y69)-1)))</f>
        <v/>
      </c>
      <c r="AA69" s="245" t="str">
        <f>IF(L69="","",VLOOKUP($L69,classifications!C:I,7,FALSE))</f>
        <v>Predominantly Rural</v>
      </c>
      <c r="AB69" s="239">
        <f t="shared" si="7"/>
        <v>16</v>
      </c>
      <c r="AC69" s="239">
        <f>IF(AB69="","",IF($I$8="A",(RANK(AB69,AB$11:AB$363)+COUNTIF(AB$11:AB69,AB69)-1),(RANK(AB69,AB$11:AB$363,1)+COUNTIF(AB$11:AB69,AB69)-1)))</f>
        <v>50</v>
      </c>
      <c r="AD69" s="239"/>
      <c r="AE69" s="51" t="str">
        <f t="shared" si="25"/>
        <v/>
      </c>
      <c r="AG69" s="143"/>
      <c r="AH69" s="52"/>
      <c r="AI69" s="61" t="str">
        <f>IF(L69="","",VLOOKUP($L69,classifications!$C:$J,8,FALSE))</f>
        <v>Norfolk</v>
      </c>
      <c r="AJ69" s="62" t="str">
        <f t="shared" si="1"/>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East of England</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21</v>
      </c>
      <c r="AY69" s="156"/>
      <c r="AZ69" s="44"/>
    </row>
    <row r="70" spans="1:52">
      <c r="A70" s="84" t="str">
        <f>$D$1&amp;60</f>
        <v>SD60</v>
      </c>
      <c r="B70" s="85" t="str">
        <f>IF(ISERROR(VLOOKUP(A70,classifications!A:C,3,FALSE)),0,VLOOKUP(A70,classifications!A:C,3,FALSE))</f>
        <v>Sevenoaks</v>
      </c>
      <c r="C70" s="31" t="s">
        <v>38</v>
      </c>
      <c r="D70" s="49" t="str">
        <f>VLOOKUP($C70,classifications!$C:$J,4,FALSE)</f>
        <v>SD</v>
      </c>
      <c r="E70" s="49">
        <f>VLOOKUP(C70,classifications!C:K,9,FALSE)</f>
        <v>0</v>
      </c>
      <c r="F70" s="59">
        <f t="shared" si="2"/>
        <v>14</v>
      </c>
      <c r="G70" s="105"/>
      <c r="H70" s="60">
        <f t="shared" si="3"/>
        <v>14</v>
      </c>
      <c r="I70" s="112">
        <f>IF(H70="","",IF($I$8="A",(RANK(H70,H$11:H$363,1)+COUNTIF(H$11:H70,H70)-1),(RANK(H70,H$11:H$363)+COUNTIF(H$11:H70,H70)-1)))</f>
        <v>25</v>
      </c>
      <c r="J70" s="58"/>
      <c r="K70" s="51">
        <f t="shared" si="13"/>
        <v>60</v>
      </c>
      <c r="L70" s="59" t="str">
        <f t="shared" si="14"/>
        <v>Mole Valley</v>
      </c>
      <c r="M70" s="153">
        <f t="shared" si="20"/>
        <v>16</v>
      </c>
      <c r="N70" s="148">
        <f t="shared" si="21"/>
        <v>16</v>
      </c>
      <c r="O70" s="131" t="str">
        <f t="shared" si="4"/>
        <v/>
      </c>
      <c r="P70" s="131">
        <f t="shared" si="15"/>
        <v>16</v>
      </c>
      <c r="Q70" s="131" t="str">
        <f t="shared" si="16"/>
        <v/>
      </c>
      <c r="R70" s="127" t="str">
        <f t="shared" si="17"/>
        <v/>
      </c>
      <c r="S70" s="60" t="str">
        <f t="shared" si="5"/>
        <v/>
      </c>
      <c r="T70" s="231">
        <f>IF(L70="","",VLOOKUP(L70,classifications!C:K,9,FALSE))</f>
        <v>0</v>
      </c>
      <c r="U70" s="238" t="str">
        <f t="shared" si="26"/>
        <v/>
      </c>
      <c r="V70" s="239" t="str">
        <f>IF(U70="","",IF($I$8="A",(RANK(U70,U$11:U$363)+COUNTIF(U$11:U70,U70)-1),(RANK(U70,U$11:U$363,1)+COUNTIF(U$11:U70,U70)-1)))</f>
        <v/>
      </c>
      <c r="W70" s="240"/>
      <c r="X70" s="61" t="str">
        <f>IF(L70="","",VLOOKUP($L70,classifications!$C:$J,6,FALSE))</f>
        <v>Urban with Significant Rural (rural including hub towns 26-49%)</v>
      </c>
      <c r="Y70" s="49" t="str">
        <f t="shared" si="0"/>
        <v/>
      </c>
      <c r="Z70" s="57" t="str">
        <f>IF(Y70="","",IF(I$8="A",(RANK(Y70,Y$11:Y$363,1)+COUNTIF(Y$11:Y70,Y70)-1),(RANK(Y70,Y$11:Y$363)+COUNTIF(Y$11:Y70,Y70)-1)))</f>
        <v/>
      </c>
      <c r="AA70" s="245" t="str">
        <f>IF(L70="","",VLOOKUP($L70,classifications!C:I,7,FALSE))</f>
        <v>Significant Rural</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Surrey</v>
      </c>
      <c r="AJ70" s="62" t="str">
        <f t="shared" si="1"/>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South East</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14</v>
      </c>
      <c r="AY70" s="156"/>
      <c r="AZ70" s="44"/>
    </row>
    <row r="71" spans="1:52">
      <c r="A71" s="84" t="str">
        <f>$D$1&amp;61</f>
        <v>SD61</v>
      </c>
      <c r="B71" s="85" t="str">
        <f>IF(ISERROR(VLOOKUP(A71,classifications!A:C,3,FALSE)),0,VLOOKUP(A71,classifications!A:C,3,FALSE))</f>
        <v>Shepway</v>
      </c>
      <c r="C71" s="31" t="s">
        <v>39</v>
      </c>
      <c r="D71" s="49" t="str">
        <f>VLOOKUP($C71,classifications!$C:$J,4,FALSE)</f>
        <v>SD</v>
      </c>
      <c r="E71" s="49">
        <f>VLOOKUP(C71,classifications!C:K,9,FALSE)</f>
        <v>0</v>
      </c>
      <c r="F71" s="59">
        <f t="shared" si="2"/>
        <v>33</v>
      </c>
      <c r="G71" s="105"/>
      <c r="H71" s="60">
        <f t="shared" si="3"/>
        <v>33</v>
      </c>
      <c r="I71" s="112">
        <f>IF(H71="","",IF($I$8="A",(RANK(H71,H$11:H$363,1)+COUNTIF(H$11:H71,H71)-1),(RANK(H71,H$11:H$363)+COUNTIF(H$11:H71,H71)-1)))</f>
        <v>198</v>
      </c>
      <c r="J71" s="58"/>
      <c r="K71" s="51">
        <f t="shared" si="13"/>
        <v>61</v>
      </c>
      <c r="L71" s="59" t="str">
        <f t="shared" si="14"/>
        <v>North West Leicestershire</v>
      </c>
      <c r="M71" s="153">
        <f t="shared" si="20"/>
        <v>16</v>
      </c>
      <c r="N71" s="148">
        <f t="shared" si="21"/>
        <v>16</v>
      </c>
      <c r="O71" s="131" t="str">
        <f t="shared" si="4"/>
        <v/>
      </c>
      <c r="P71" s="131">
        <f t="shared" si="15"/>
        <v>16</v>
      </c>
      <c r="Q71" s="131" t="str">
        <f t="shared" si="16"/>
        <v/>
      </c>
      <c r="R71" s="127" t="str">
        <f t="shared" si="17"/>
        <v/>
      </c>
      <c r="S71" s="60" t="str">
        <f t="shared" si="5"/>
        <v/>
      </c>
      <c r="T71" s="231" t="str">
        <f>IF(L71="","",VLOOKUP(L71,classifications!C:K,9,FALSE))</f>
        <v>Sparse</v>
      </c>
      <c r="U71" s="238">
        <f t="shared" si="26"/>
        <v>16</v>
      </c>
      <c r="V71" s="239">
        <f>IF(U71="","",IF($I$8="A",(RANK(U71,U$11:U$363)+COUNTIF(U$11:U71,U71)-1),(RANK(U71,U$11:U$363,1)+COUNTIF(U$11:U71,U71)-1)))</f>
        <v>63</v>
      </c>
      <c r="W71" s="240"/>
      <c r="X71" s="61" t="str">
        <f>IF(L71="","",VLOOKUP($L71,classifications!$C:$J,6,FALSE))</f>
        <v xml:space="preserve">Largely Rural (rural including hub towns 50-79%) </v>
      </c>
      <c r="Y71" s="49" t="str">
        <f t="shared" si="0"/>
        <v/>
      </c>
      <c r="Z71" s="57" t="str">
        <f>IF(Y71="","",IF(I$8="A",(RANK(Y71,Y$11:Y$363,1)+COUNTIF(Y$11:Y71,Y71)-1),(RANK(Y71,Y$11:Y$363)+COUNTIF(Y$11:Y71,Y71)-1)))</f>
        <v/>
      </c>
      <c r="AA71" s="245" t="str">
        <f>IF(L71="","",VLOOKUP($L71,classifications!C:I,7,FALSE))</f>
        <v>Predominantly Rural</v>
      </c>
      <c r="AB71" s="239">
        <f t="shared" si="7"/>
        <v>16</v>
      </c>
      <c r="AC71" s="239">
        <f>IF(AB71="","",IF($I$8="A",(RANK(AB71,AB$11:AB$363)+COUNTIF(AB$11:AB71,AB71)-1),(RANK(AB71,AB$11:AB$363,1)+COUNTIF(AB$11:AB71,AB71)-1)))</f>
        <v>51</v>
      </c>
      <c r="AD71" s="239"/>
      <c r="AE71" s="51" t="str">
        <f t="shared" si="25"/>
        <v/>
      </c>
      <c r="AG71" s="143"/>
      <c r="AH71" s="52"/>
      <c r="AI71" s="61" t="str">
        <f>IF(L71="","",VLOOKUP($L71,classifications!$C:$J,8,FALSE))</f>
        <v>Leicestershire</v>
      </c>
      <c r="AJ71" s="62" t="str">
        <f t="shared" si="1"/>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East Midlands</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33</v>
      </c>
      <c r="AY71" s="156"/>
      <c r="AZ71" s="44"/>
    </row>
    <row r="72" spans="1:52">
      <c r="A72" s="84" t="str">
        <f>$D$1&amp;62</f>
        <v>SD62</v>
      </c>
      <c r="B72" s="85" t="str">
        <f>IF(ISERROR(VLOOKUP(A72,classifications!A:C,3,FALSE)),0,VLOOKUP(A72,classifications!A:C,3,FALSE))</f>
        <v>South Cambridgeshire</v>
      </c>
      <c r="C72" s="31" t="s">
        <v>40</v>
      </c>
      <c r="D72" s="49" t="str">
        <f>VLOOKUP($C72,classifications!$C:$J,4,FALSE)</f>
        <v>SD</v>
      </c>
      <c r="E72" s="49">
        <f>VLOOKUP(C72,classifications!C:K,9,FALSE)</f>
        <v>0</v>
      </c>
      <c r="F72" s="59">
        <f t="shared" si="2"/>
        <v>18</v>
      </c>
      <c r="G72" s="105"/>
      <c r="H72" s="60">
        <f t="shared" si="3"/>
        <v>18</v>
      </c>
      <c r="I72" s="112">
        <f>IF(H72="","",IF($I$8="A",(RANK(H72,H$11:H$363,1)+COUNTIF(H$11:H72,H72)-1),(RANK(H72,H$11:H$363)+COUNTIF(H$11:H72,H72)-1)))</f>
        <v>80</v>
      </c>
      <c r="J72" s="58"/>
      <c r="K72" s="51">
        <f t="shared" si="13"/>
        <v>62</v>
      </c>
      <c r="L72" s="59" t="str">
        <f t="shared" si="14"/>
        <v>Oadby &amp; Wigston</v>
      </c>
      <c r="M72" s="153">
        <f t="shared" si="20"/>
        <v>16</v>
      </c>
      <c r="N72" s="148">
        <f t="shared" si="21"/>
        <v>16</v>
      </c>
      <c r="O72" s="131" t="str">
        <f t="shared" si="4"/>
        <v/>
      </c>
      <c r="P72" s="131">
        <f t="shared" si="15"/>
        <v>16</v>
      </c>
      <c r="Q72" s="131" t="str">
        <f t="shared" si="16"/>
        <v/>
      </c>
      <c r="R72" s="127" t="str">
        <f t="shared" si="17"/>
        <v/>
      </c>
      <c r="S72" s="60" t="str">
        <f t="shared" si="5"/>
        <v/>
      </c>
      <c r="T72" s="231">
        <f>IF(L72="","",VLOOKUP(L72,classifications!C:K,9,FALSE))</f>
        <v>0</v>
      </c>
      <c r="U72" s="238" t="str">
        <f t="shared" si="26"/>
        <v/>
      </c>
      <c r="V72" s="239" t="str">
        <f>IF(U72="","",IF($I$8="A",(RANK(U72,U$11:U$363)+COUNTIF(U$11:U72,U72)-1),(RANK(U72,U$11:U$363,1)+COUNTIF(U$11:U72,U72)-1)))</f>
        <v/>
      </c>
      <c r="W72" s="240"/>
      <c r="X72" s="61" t="str">
        <f>IF(L72="","",VLOOKUP($L72,classifications!$C:$J,6,FALSE))</f>
        <v>Urban with City and Town</v>
      </c>
      <c r="Y72" s="49" t="str">
        <f t="shared" si="0"/>
        <v/>
      </c>
      <c r="Z72" s="57" t="str">
        <f>IF(Y72="","",IF(I$8="A",(RANK(Y72,Y$11:Y$363,1)+COUNTIF(Y$11:Y72,Y72)-1),(RANK(Y72,Y$11:Y$363)+COUNTIF(Y$11:Y72,Y72)-1)))</f>
        <v/>
      </c>
      <c r="AA72" s="245" t="str">
        <f>IF(L72="","",VLOOKUP($L72,classifications!C:I,7,FALSE))</f>
        <v>Predominantly Urban</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Leicestershire</v>
      </c>
      <c r="AJ72" s="62" t="str">
        <f t="shared" si="1"/>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East Midlands</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18</v>
      </c>
      <c r="AY72" s="156"/>
      <c r="AZ72" s="44"/>
    </row>
    <row r="73" spans="1:52">
      <c r="A73" s="84" t="str">
        <f>$D$1&amp;63</f>
        <v>SD63</v>
      </c>
      <c r="B73" s="85" t="str">
        <f>IF(ISERROR(VLOOKUP(A73,classifications!A:C,3,FALSE)),0,VLOOKUP(A73,classifications!A:C,3,FALSE))</f>
        <v>South Derbyshire</v>
      </c>
      <c r="C73" s="31" t="s">
        <v>372</v>
      </c>
      <c r="D73" s="49" t="str">
        <f>VLOOKUP($C73,classifications!$C:$J,4,FALSE)</f>
        <v>L</v>
      </c>
      <c r="E73" s="49">
        <f>VLOOKUP(C73,classifications!C:K,9,FALSE)</f>
        <v>0</v>
      </c>
      <c r="F73" s="59" t="str">
        <f t="shared" si="2"/>
        <v/>
      </c>
      <c r="G73" s="105"/>
      <c r="H73" s="60" t="str">
        <f t="shared" si="3"/>
        <v/>
      </c>
      <c r="I73" s="112" t="str">
        <f>IF(H73="","",IF($I$8="A",(RANK(H73,H$11:H$363,1)+COUNTIF(H$11:H73,H73)-1),(RANK(H73,H$11:H$363)+COUNTIF(H$11:H73,H73)-1)))</f>
        <v/>
      </c>
      <c r="J73" s="58"/>
      <c r="K73" s="51">
        <f t="shared" si="13"/>
        <v>63</v>
      </c>
      <c r="L73" s="59" t="str">
        <f t="shared" si="14"/>
        <v>Redditch</v>
      </c>
      <c r="M73" s="153">
        <f t="shared" si="20"/>
        <v>16</v>
      </c>
      <c r="N73" s="148">
        <f t="shared" si="21"/>
        <v>16</v>
      </c>
      <c r="O73" s="131" t="str">
        <f t="shared" si="4"/>
        <v/>
      </c>
      <c r="P73" s="131">
        <f t="shared" si="15"/>
        <v>16</v>
      </c>
      <c r="Q73" s="131" t="str">
        <f t="shared" si="16"/>
        <v/>
      </c>
      <c r="R73" s="127" t="str">
        <f t="shared" si="17"/>
        <v/>
      </c>
      <c r="S73" s="60" t="str">
        <f t="shared" si="5"/>
        <v/>
      </c>
      <c r="T73" s="231">
        <f>IF(L73="","",VLOOKUP(L73,classifications!C:K,9,FALSE))</f>
        <v>0</v>
      </c>
      <c r="U73" s="238" t="str">
        <f t="shared" si="26"/>
        <v/>
      </c>
      <c r="V73" s="239" t="str">
        <f>IF(U73="","",IF($I$8="A",(RANK(U73,U$11:U$363)+COUNTIF(U$11:U73,U73)-1),(RANK(U73,U$11:U$363,1)+COUNTIF(U$11:U73,U73)-1)))</f>
        <v/>
      </c>
      <c r="W73" s="240"/>
      <c r="X73" s="61" t="str">
        <f>IF(L73="","",VLOOKUP($L73,classifications!$C:$J,6,FALSE))</f>
        <v>Urban with City and Town</v>
      </c>
      <c r="Y73" s="49" t="str">
        <f t="shared" si="0"/>
        <v/>
      </c>
      <c r="Z73" s="57" t="str">
        <f>IF(Y73="","",IF(I$8="A",(RANK(Y73,Y$11:Y$363,1)+COUNTIF(Y$11:Y73,Y73)-1),(RANK(Y73,Y$11:Y$363)+COUNTIF(Y$11:Y73,Y73)-1)))</f>
        <v/>
      </c>
      <c r="AA73" s="245" t="str">
        <f>IF(L73="","",VLOOKUP($L73,classifications!C:I,7,FALSE))</f>
        <v>Predominantly Urban</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Worcestershire</v>
      </c>
      <c r="AJ73" s="62" t="str">
        <f t="shared" si="1"/>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West Midlands</v>
      </c>
      <c r="AQ73" s="62" t="str">
        <f t="shared" si="10"/>
        <v/>
      </c>
      <c r="AR73" s="57" t="str">
        <f>IF(AQ73="","",IF(I$8="A",(RANK(AQ73,AQ$11:AQ$363,1)+COUNTIF(AQ$11:AQ73,AQ73)-1),(RANK(AQ73,AQ$11:AQ$363)+COUNTIF(AQ$11:AQ73,AQ73)-1)))</f>
        <v/>
      </c>
      <c r="AS73" s="52" t="str">
        <f t="shared" si="23"/>
        <v/>
      </c>
      <c r="AT73" s="57" t="str">
        <f t="shared" si="11"/>
        <v/>
      </c>
      <c r="AU73" s="62" t="str">
        <f t="shared" si="12"/>
        <v/>
      </c>
      <c r="AX73" s="44" t="str">
        <f>HLOOKUP($AX$9&amp;$AX$10,Data!$A$1:$ZZ$2000,(MATCH($C73,Data!$A$1:$A$2000,0)),FALSE)</f>
        <v/>
      </c>
      <c r="AY73" s="156"/>
      <c r="AZ73" s="44"/>
    </row>
    <row r="74" spans="1:52">
      <c r="A74" s="84" t="str">
        <f>$D$1&amp;64</f>
        <v>SD64</v>
      </c>
      <c r="B74" s="85" t="str">
        <f>IF(ISERROR(VLOOKUP(A74,classifications!A:C,3,FALSE)),0,VLOOKUP(A74,classifications!A:C,3,FALSE))</f>
        <v>South Hams</v>
      </c>
      <c r="C74" s="31" t="s">
        <v>280</v>
      </c>
      <c r="D74" s="49" t="str">
        <f>VLOOKUP($C74,classifications!$C:$J,4,FALSE)</f>
        <v>UA</v>
      </c>
      <c r="E74" s="49">
        <f>VLOOKUP(C74,classifications!C:K,9,FALSE)</f>
        <v>0</v>
      </c>
      <c r="F74" s="59">
        <f t="shared" si="2"/>
        <v>29</v>
      </c>
      <c r="G74" s="105"/>
      <c r="H74" s="60" t="str">
        <f t="shared" si="3"/>
        <v/>
      </c>
      <c r="I74" s="112" t="str">
        <f>IF(H74="","",IF($I$8="A",(RANK(H74,H$11:H$363,1)+COUNTIF(H$11:H74,H74)-1),(RANK(H74,H$11:H$363)+COUNTIF(H$11:H74,H74)-1)))</f>
        <v/>
      </c>
      <c r="J74" s="58"/>
      <c r="K74" s="51">
        <f t="shared" si="13"/>
        <v>64</v>
      </c>
      <c r="L74" s="59" t="str">
        <f t="shared" si="14"/>
        <v>Rochford</v>
      </c>
      <c r="M74" s="153">
        <f t="shared" si="20"/>
        <v>16</v>
      </c>
      <c r="N74" s="148">
        <f t="shared" si="21"/>
        <v>16</v>
      </c>
      <c r="O74" s="131" t="str">
        <f t="shared" si="4"/>
        <v/>
      </c>
      <c r="P74" s="131">
        <f t="shared" si="15"/>
        <v>16</v>
      </c>
      <c r="Q74" s="131" t="str">
        <f t="shared" si="16"/>
        <v/>
      </c>
      <c r="R74" s="127" t="str">
        <f t="shared" si="17"/>
        <v/>
      </c>
      <c r="S74" s="60" t="str">
        <f t="shared" si="5"/>
        <v/>
      </c>
      <c r="T74" s="231">
        <f>IF(L74="","",VLOOKUP(L74,classifications!C:K,9,FALSE))</f>
        <v>0</v>
      </c>
      <c r="U74" s="238" t="str">
        <f t="shared" si="26"/>
        <v/>
      </c>
      <c r="V74" s="239" t="str">
        <f>IF(U74="","",IF($I$8="A",(RANK(U74,U$11:U$363)+COUNTIF(U$11:U74,U74)-1),(RANK(U74,U$11:U$363,1)+COUNTIF(U$11:U74,U74)-1)))</f>
        <v/>
      </c>
      <c r="W74" s="240"/>
      <c r="X74" s="61" t="str">
        <f>IF(L74="","",VLOOKUP($L74,classifications!$C:$J,6,FALSE))</f>
        <v>Urban with City and Town</v>
      </c>
      <c r="Y74" s="49" t="str">
        <f t="shared" si="0"/>
        <v/>
      </c>
      <c r="Z74" s="57" t="str">
        <f>IF(Y74="","",IF(I$8="A",(RANK(Y74,Y$11:Y$363,1)+COUNTIF(Y$11:Y74,Y74)-1),(RANK(Y74,Y$11:Y$363)+COUNTIF(Y$11:Y74,Y74)-1)))</f>
        <v/>
      </c>
      <c r="AA74" s="245" t="str">
        <f>IF(L74="","",VLOOKUP($L74,classifications!C:I,7,FALSE))</f>
        <v>Predominantly Urban</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Essex</v>
      </c>
      <c r="AJ74" s="62" t="str">
        <f t="shared" si="1"/>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East of England</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29</v>
      </c>
      <c r="AY74" s="156"/>
      <c r="AZ74" s="44"/>
    </row>
    <row r="75" spans="1:52">
      <c r="A75" s="84" t="str">
        <f>$D$1&amp;65</f>
        <v>SD65</v>
      </c>
      <c r="B75" s="85" t="str">
        <f>IF(ISERROR(VLOOKUP(A75,classifications!A:C,3,FALSE)),0,VLOOKUP(A75,classifications!A:C,3,FALSE))</f>
        <v>South Holland</v>
      </c>
      <c r="C75" s="31" t="s">
        <v>41</v>
      </c>
      <c r="D75" s="49" t="str">
        <f>VLOOKUP($C75,classifications!$C:$J,4,FALSE)</f>
        <v>SD</v>
      </c>
      <c r="E75" s="49">
        <f>VLOOKUP(C75,classifications!C:K,9,FALSE)</f>
        <v>0</v>
      </c>
      <c r="F75" s="59">
        <f t="shared" ref="F75:F138" si="27">HLOOKUP($D$6,AX$10:ZX$363,ROW()-9,FALSE)</f>
        <v>25</v>
      </c>
      <c r="G75" s="105"/>
      <c r="H75" s="60">
        <f t="shared" ref="H75:H138" si="28">IF(D75=$D$1,HLOOKUP($D$6,$AX$10:$ZZ$363,ROW()-9,FALSE),"")</f>
        <v>25</v>
      </c>
      <c r="I75" s="112">
        <f>IF(H75="","",IF($I$8="A",(RANK(H75,H$11:H$363,1)+COUNTIF(H$11:H75,H75)-1),(RANK(H75,H$11:H$363)+COUNTIF(H$11:H75,H75)-1)))</f>
        <v>170</v>
      </c>
      <c r="J75" s="58"/>
      <c r="K75" s="51">
        <f t="shared" si="13"/>
        <v>65</v>
      </c>
      <c r="L75" s="59" t="str">
        <f t="shared" ref="L75:L138" si="29">IF(K75="","",INDEX(C$11:C$363,MATCH(K75,I$11:I$363,0)))</f>
        <v>Runnymede</v>
      </c>
      <c r="M75" s="153">
        <f t="shared" si="20"/>
        <v>16</v>
      </c>
      <c r="N75" s="148">
        <f t="shared" si="21"/>
        <v>16</v>
      </c>
      <c r="O75" s="131" t="str">
        <f t="shared" ref="O75:O138" si="30">IF(I$8="A",IF(N75&gt;=$P$7,IF(N75&lt;=$O$10,N75,""),""),IF(N75&lt;=$P$7,IF(N75&gt;=$O$10,N75,""),""))</f>
        <v/>
      </c>
      <c r="P75" s="131">
        <f t="shared" si="15"/>
        <v>16</v>
      </c>
      <c r="Q75" s="131" t="str">
        <f t="shared" si="16"/>
        <v/>
      </c>
      <c r="R75" s="127" t="str">
        <f t="shared" si="17"/>
        <v/>
      </c>
      <c r="S75" s="60" t="str">
        <f t="shared" si="5"/>
        <v/>
      </c>
      <c r="T75" s="231">
        <f>IF(L75="","",VLOOKUP(L75,classifications!C:K,9,FALSE))</f>
        <v>0</v>
      </c>
      <c r="U75" s="238" t="str">
        <f t="shared" ref="U75:U138" si="31">IF(T75="Sparse",M75,"")</f>
        <v/>
      </c>
      <c r="V75" s="239" t="str">
        <f>IF(U75="","",IF($I$8="A",(RANK(U75,U$11:U$363)+COUNTIF(U$11:U75,U75)-1),(RANK(U75,U$11:U$363,1)+COUNTIF(U$11:U75,U75)-1)))</f>
        <v/>
      </c>
      <c r="W75" s="240"/>
      <c r="X75" s="61" t="str">
        <f>IF(L75="","",VLOOKUP($L75,classifications!$C:$J,6,FALSE))</f>
        <v>Urban with Major Conurbation</v>
      </c>
      <c r="Y75" s="49" t="str">
        <f t="shared" ref="Y75:Y138" si="32">IF($D$1="UA",IF(X75="Largely Rural (rural including hub towns 50-79%) ",M75,IF(X75="Mainly Rural (rural including hub towns &gt;=80%) ",M75,IF(X75="Urban with Significant Rural (rural including hub towns 26-49%)",M75,""))),IF($D$1="SD",IF(X75=$H$3,M75,"")))</f>
        <v/>
      </c>
      <c r="Z75" s="57" t="str">
        <f>IF(Y75="","",IF(I$8="A",(RANK(Y75,Y$11:Y$363,1)+COUNTIF(Y$11:Y75,Y75)-1),(RANK(Y75,Y$11:Y$363)+COUNTIF(Y$11:Y75,Y75)-1)))</f>
        <v/>
      </c>
      <c r="AA75" s="245" t="str">
        <f>IF(L75="","",VLOOKUP($L75,classifications!C:I,7,FALSE))</f>
        <v>Predominantly Urban</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Surrey</v>
      </c>
      <c r="AJ75" s="62" t="str">
        <f t="shared" ref="AJ75:AJ138" si="33">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South East</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25</v>
      </c>
      <c r="AY75" s="156"/>
      <c r="AZ75" s="44"/>
    </row>
    <row r="76" spans="1:52">
      <c r="A76" s="84" t="str">
        <f>$D$1&amp;66</f>
        <v>SD66</v>
      </c>
      <c r="B76" s="85" t="str">
        <f>IF(ISERROR(VLOOKUP(A76,classifications!A:C,3,FALSE)),0,VLOOKUP(A76,classifications!A:C,3,FALSE))</f>
        <v>South Kesteven</v>
      </c>
      <c r="C76" s="31" t="s">
        <v>42</v>
      </c>
      <c r="D76" s="49" t="str">
        <f>VLOOKUP($C76,classifications!$C:$J,4,FALSE)</f>
        <v>SD</v>
      </c>
      <c r="E76" s="49">
        <f>VLOOKUP(C76,classifications!C:K,9,FALSE)</f>
        <v>0</v>
      </c>
      <c r="F76" s="59">
        <f t="shared" si="27"/>
        <v>28</v>
      </c>
      <c r="G76" s="105"/>
      <c r="H76" s="60">
        <f t="shared" si="28"/>
        <v>28</v>
      </c>
      <c r="I76" s="112">
        <f>IF(H76="","",IF($I$8="A",(RANK(H76,H$11:H$363,1)+COUNTIF(H$11:H76,H76)-1),(RANK(H76,H$11:H$363)+COUNTIF(H$11:H76,H76)-1)))</f>
        <v>187</v>
      </c>
      <c r="J76" s="58"/>
      <c r="K76" s="51">
        <f t="shared" si="13"/>
        <v>66</v>
      </c>
      <c r="L76" s="59" t="str">
        <f t="shared" si="29"/>
        <v>South Bucks</v>
      </c>
      <c r="M76" s="153">
        <f t="shared" ref="M76:M139" si="34">IF(L76="","",IF(VLOOKUP(L76,C:D,2,FALSE)=$F$3,VLOOKUP(L76,C:H,6,FALSE),""))</f>
        <v>16</v>
      </c>
      <c r="N76" s="148">
        <f t="shared" ref="N76:N139" si="35">IF(L76="","",IF($H$8="%%",M76*100,M76))</f>
        <v>16</v>
      </c>
      <c r="O76" s="131" t="str">
        <f t="shared" si="30"/>
        <v/>
      </c>
      <c r="P76" s="131">
        <f t="shared" si="15"/>
        <v>16</v>
      </c>
      <c r="Q76" s="131" t="str">
        <f t="shared" si="16"/>
        <v/>
      </c>
      <c r="R76" s="127" t="str">
        <f t="shared" si="17"/>
        <v/>
      </c>
      <c r="S76" s="60" t="str">
        <f t="shared" ref="S76:S139" si="36">IF(L76=D$3,"u","")</f>
        <v/>
      </c>
      <c r="T76" s="231">
        <f>IF(L76="","",VLOOKUP(L76,classifications!C:K,9,FALSE))</f>
        <v>0</v>
      </c>
      <c r="U76" s="238" t="str">
        <f t="shared" si="31"/>
        <v/>
      </c>
      <c r="V76" s="239" t="str">
        <f>IF(U76="","",IF($I$8="A",(RANK(U76,U$11:U$363)+COUNTIF(U$11:U76,U76)-1),(RANK(U76,U$11:U$363,1)+COUNTIF(U$11:U76,U76)-1)))</f>
        <v/>
      </c>
      <c r="W76" s="240"/>
      <c r="X76" s="61" t="str">
        <f>IF(L76="","",VLOOKUP($L76,classifications!$C:$J,6,FALSE))</f>
        <v>Urban with Significant Rural (rural including hub towns 26-49%)</v>
      </c>
      <c r="Y76" s="49" t="str">
        <f t="shared" si="32"/>
        <v/>
      </c>
      <c r="Z76" s="57" t="str">
        <f>IF(Y76="","",IF(I$8="A",(RANK(Y76,Y$11:Y$363,1)+COUNTIF(Y$11:Y76,Y76)-1),(RANK(Y76,Y$11:Y$363)+COUNTIF(Y$11:Y76,Y76)-1)))</f>
        <v/>
      </c>
      <c r="AA76" s="245" t="str">
        <f>IF(L76="","",VLOOKUP($L76,classifications!C:I,7,FALSE))</f>
        <v>Significant Rural</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Buckinghamshire</v>
      </c>
      <c r="AJ76" s="62" t="str">
        <f t="shared" si="33"/>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South East</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28</v>
      </c>
      <c r="AY76" s="156"/>
      <c r="AZ76" s="44"/>
    </row>
    <row r="77" spans="1:52">
      <c r="A77" s="84" t="str">
        <f>$D$1&amp;67</f>
        <v>SD67</v>
      </c>
      <c r="B77" s="85" t="str">
        <f>IF(ISERROR(VLOOKUP(A77,classifications!A:C,3,FALSE)),0,VLOOKUP(A77,classifications!A:C,3,FALSE))</f>
        <v>South Lakeland</v>
      </c>
      <c r="C77" s="31" t="s">
        <v>43</v>
      </c>
      <c r="D77" s="49" t="str">
        <f>VLOOKUP($C77,classifications!$C:$J,4,FALSE)</f>
        <v>SD</v>
      </c>
      <c r="E77" s="49">
        <f>VLOOKUP(C77,classifications!C:K,9,FALSE)</f>
        <v>0</v>
      </c>
      <c r="F77" s="59">
        <f t="shared" si="27"/>
        <v>17</v>
      </c>
      <c r="G77" s="105"/>
      <c r="H77" s="60">
        <f t="shared" si="28"/>
        <v>17</v>
      </c>
      <c r="I77" s="112">
        <f>IF(H77="","",IF($I$8="A",(RANK(H77,H$11:H$363,1)+COUNTIF(H$11:H77,H77)-1),(RANK(H77,H$11:H$363)+COUNTIF(H$11:H77,H77)-1)))</f>
        <v>75</v>
      </c>
      <c r="J77" s="58"/>
      <c r="K77" s="51">
        <f t="shared" ref="K77:K140" si="43">IF(K76="","",IF(K76+1&gt;(COUNT(H$11:H$363)),"",K76+1))</f>
        <v>67</v>
      </c>
      <c r="L77" s="59" t="str">
        <f t="shared" si="29"/>
        <v>South Oxfordshire</v>
      </c>
      <c r="M77" s="153">
        <f t="shared" si="34"/>
        <v>16</v>
      </c>
      <c r="N77" s="148">
        <f t="shared" si="35"/>
        <v>16</v>
      </c>
      <c r="O77" s="131" t="str">
        <f t="shared" si="30"/>
        <v/>
      </c>
      <c r="P77" s="131">
        <f t="shared" ref="P77:P140" si="44">IF(I$8="A",IF(N77&gt;$O$10,IF(N77&lt;=$P$10,N77,""),""),IF(N77&lt;$O$10,IF(N77&gt;=$P$10,N77,""),""))</f>
        <v>16</v>
      </c>
      <c r="Q77" s="131" t="str">
        <f t="shared" ref="Q77:Q140" si="45">IF(I$8="A",IF(N77&gt;$P$10,IF(N77&lt;=$Q$10,N77,""),""),IF(N77&lt;$P$10,IF(N77&gt;=$Q$10,N77,""),""))</f>
        <v/>
      </c>
      <c r="R77" s="127" t="str">
        <f t="shared" ref="R77:R140" si="46">IF(I$8="A",IF(N77&gt;$Q$10,N77,""),IF(N77&lt;$Q$10,N77,""))</f>
        <v/>
      </c>
      <c r="S77" s="60" t="str">
        <f t="shared" si="36"/>
        <v/>
      </c>
      <c r="T77" s="231" t="str">
        <f>IF(L77="","",VLOOKUP(L77,classifications!C:K,9,FALSE))</f>
        <v>Sparse</v>
      </c>
      <c r="U77" s="238">
        <f t="shared" si="31"/>
        <v>16</v>
      </c>
      <c r="V77" s="239">
        <f>IF(U77="","",IF($I$8="A",(RANK(U77,U$11:U$363)+COUNTIF(U$11:U77,U77)-1),(RANK(U77,U$11:U$363,1)+COUNTIF(U$11:U77,U77)-1)))</f>
        <v>64</v>
      </c>
      <c r="W77" s="240"/>
      <c r="X77" s="61" t="str">
        <f>IF(L77="","",VLOOKUP($L77,classifications!$C:$J,6,FALSE))</f>
        <v xml:space="preserve">Mainly Rural (rural including hub towns &gt;=80%) </v>
      </c>
      <c r="Y77" s="49">
        <f t="shared" si="32"/>
        <v>16</v>
      </c>
      <c r="Z77" s="57">
        <f>IF(Y77="","",IF(I$8="A",(RANK(Y77,Y$11:Y$363,1)+COUNTIF(Y$11:Y77,Y77)-1),(RANK(Y77,Y$11:Y$363)+COUNTIF(Y$11:Y77,Y77)-1)))</f>
        <v>13</v>
      </c>
      <c r="AA77" s="245" t="str">
        <f>IF(L77="","",VLOOKUP($L77,classifications!C:I,7,FALSE))</f>
        <v>Predominantly Rural</v>
      </c>
      <c r="AB77" s="239">
        <f t="shared" si="37"/>
        <v>16</v>
      </c>
      <c r="AC77" s="239">
        <f>IF(AB77="","",IF($I$8="A",(RANK(AB77,AB$11:AB$363)+COUNTIF(AB$11:AB77,AB77)-1),(RANK(AB77,AB$11:AB$363,1)+COUNTIF(AB$11:AB77,AB77)-1)))</f>
        <v>52</v>
      </c>
      <c r="AD77" s="239"/>
      <c r="AE77" s="51" t="str">
        <f t="shared" si="25"/>
        <v/>
      </c>
      <c r="AG77" s="143"/>
      <c r="AH77" s="52"/>
      <c r="AI77" s="61" t="str">
        <f>IF(L77="","",VLOOKUP($L77,classifications!$C:$J,8,FALSE))</f>
        <v>Oxfordshire</v>
      </c>
      <c r="AJ77" s="62" t="str">
        <f t="shared" si="33"/>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South East</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17</v>
      </c>
      <c r="AY77" s="156"/>
      <c r="AZ77" s="44"/>
    </row>
    <row r="78" spans="1:52">
      <c r="A78" s="84" t="str">
        <f>$D$1&amp;68</f>
        <v>SD68</v>
      </c>
      <c r="B78" s="85" t="str">
        <f>IF(ISERROR(VLOOKUP(A78,classifications!A:C,3,FALSE)),0,VLOOKUP(A78,classifications!A:C,3,FALSE))</f>
        <v>South Norfolk</v>
      </c>
      <c r="C78" s="31" t="s">
        <v>306</v>
      </c>
      <c r="D78" s="49" t="str">
        <f>VLOOKUP($C78,classifications!$C:$J,4,FALSE)</f>
        <v>UA</v>
      </c>
      <c r="E78" s="49" t="str">
        <f>VLOOKUP(C78,classifications!C:K,9,FALSE)</f>
        <v>Sparse</v>
      </c>
      <c r="F78" s="59">
        <f t="shared" si="27"/>
        <v>22</v>
      </c>
      <c r="G78" s="105"/>
      <c r="H78" s="60" t="str">
        <f t="shared" si="28"/>
        <v/>
      </c>
      <c r="I78" s="112" t="str">
        <f>IF(H78="","",IF($I$8="A",(RANK(H78,H$11:H$363,1)+COUNTIF(H$11:H78,H78)-1),(RANK(H78,H$11:H$363)+COUNTIF(H$11:H78,H78)-1)))</f>
        <v/>
      </c>
      <c r="J78" s="58"/>
      <c r="K78" s="51">
        <f t="shared" si="43"/>
        <v>68</v>
      </c>
      <c r="L78" s="59" t="str">
        <f t="shared" si="29"/>
        <v>Stratford-on-Avon</v>
      </c>
      <c r="M78" s="153">
        <f t="shared" si="34"/>
        <v>16</v>
      </c>
      <c r="N78" s="148">
        <f t="shared" si="35"/>
        <v>16</v>
      </c>
      <c r="O78" s="131" t="str">
        <f t="shared" si="30"/>
        <v/>
      </c>
      <c r="P78" s="131">
        <f t="shared" si="44"/>
        <v>16</v>
      </c>
      <c r="Q78" s="131" t="str">
        <f t="shared" si="45"/>
        <v/>
      </c>
      <c r="R78" s="127" t="str">
        <f t="shared" si="46"/>
        <v/>
      </c>
      <c r="S78" s="60" t="str">
        <f t="shared" si="36"/>
        <v/>
      </c>
      <c r="T78" s="231" t="str">
        <f>IF(L78="","",VLOOKUP(L78,classifications!C:K,9,FALSE))</f>
        <v>Sparse</v>
      </c>
      <c r="U78" s="238">
        <f t="shared" si="31"/>
        <v>16</v>
      </c>
      <c r="V78" s="239">
        <f>IF(U78="","",IF($I$8="A",(RANK(U78,U$11:U$363)+COUNTIF(U$11:U78,U78)-1),(RANK(U78,U$11:U$363,1)+COUNTIF(U$11:U78,U78)-1)))</f>
        <v>65</v>
      </c>
      <c r="W78" s="240"/>
      <c r="X78" s="61" t="str">
        <f>IF(L78="","",VLOOKUP($L78,classifications!$C:$J,6,FALSE))</f>
        <v xml:space="preserve">Mainly Rural (rural including hub towns &gt;=80%) </v>
      </c>
      <c r="Y78" s="49">
        <f t="shared" si="32"/>
        <v>16</v>
      </c>
      <c r="Z78" s="57">
        <f>IF(Y78="","",IF(I$8="A",(RANK(Y78,Y$11:Y$363,1)+COUNTIF(Y$11:Y78,Y78)-1),(RANK(Y78,Y$11:Y$363)+COUNTIF(Y$11:Y78,Y78)-1)))</f>
        <v>14</v>
      </c>
      <c r="AA78" s="245" t="str">
        <f>IF(L78="","",VLOOKUP($L78,classifications!C:I,7,FALSE))</f>
        <v>Predominantly Rural</v>
      </c>
      <c r="AB78" s="239">
        <f t="shared" si="37"/>
        <v>16</v>
      </c>
      <c r="AC78" s="239">
        <f>IF(AB78="","",IF($I$8="A",(RANK(AB78,AB$11:AB$363)+COUNTIF(AB$11:AB78,AB78)-1),(RANK(AB78,AB$11:AB$363,1)+COUNTIF(AB$11:AB78,AB78)-1)))</f>
        <v>53</v>
      </c>
      <c r="AD78" s="239"/>
      <c r="AE78" s="51" t="str">
        <f t="shared" si="25"/>
        <v/>
      </c>
      <c r="AG78" s="143"/>
      <c r="AH78" s="52"/>
      <c r="AI78" s="61" t="str">
        <f>IF(L78="","",VLOOKUP($L78,classifications!$C:$J,8,FALSE))</f>
        <v>Warwickshire</v>
      </c>
      <c r="AJ78" s="62" t="str">
        <f t="shared" si="33"/>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West Midlands</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22</v>
      </c>
      <c r="AY78" s="156"/>
      <c r="AZ78" s="44"/>
    </row>
    <row r="79" spans="1:52">
      <c r="A79" s="84" t="str">
        <f>$D$1&amp;69</f>
        <v>SD69</v>
      </c>
      <c r="B79" s="85" t="str">
        <f>IF(ISERROR(VLOOKUP(A79,classifications!A:C,3,FALSE)),0,VLOOKUP(A79,classifications!A:C,3,FALSE))</f>
        <v>South Northamptonshire</v>
      </c>
      <c r="C79" s="31" t="s">
        <v>44</v>
      </c>
      <c r="D79" s="49" t="str">
        <f>VLOOKUP($C79,classifications!$C:$J,4,FALSE)</f>
        <v>SD</v>
      </c>
      <c r="E79" s="49" t="str">
        <f>VLOOKUP(C79,classifications!C:K,9,FALSE)</f>
        <v>Sparse</v>
      </c>
      <c r="F79" s="59">
        <f t="shared" si="27"/>
        <v>15</v>
      </c>
      <c r="G79" s="105"/>
      <c r="H79" s="60">
        <f t="shared" si="28"/>
        <v>15</v>
      </c>
      <c r="I79" s="112">
        <f>IF(H79="","",IF($I$8="A",(RANK(H79,H$11:H$363,1)+COUNTIF(H$11:H79,H79)-1),(RANK(H79,H$11:H$363)+COUNTIF(H$11:H79,H79)-1)))</f>
        <v>36</v>
      </c>
      <c r="J79" s="58"/>
      <c r="K79" s="51">
        <f t="shared" si="43"/>
        <v>69</v>
      </c>
      <c r="L79" s="59" t="str">
        <f t="shared" si="29"/>
        <v>Torridge</v>
      </c>
      <c r="M79" s="153">
        <f t="shared" si="34"/>
        <v>16</v>
      </c>
      <c r="N79" s="148">
        <f t="shared" si="35"/>
        <v>16</v>
      </c>
      <c r="O79" s="131" t="str">
        <f t="shared" si="30"/>
        <v/>
      </c>
      <c r="P79" s="131">
        <f t="shared" si="44"/>
        <v>16</v>
      </c>
      <c r="Q79" s="131" t="str">
        <f t="shared" si="45"/>
        <v/>
      </c>
      <c r="R79" s="127" t="str">
        <f t="shared" si="46"/>
        <v/>
      </c>
      <c r="S79" s="60" t="str">
        <f t="shared" si="36"/>
        <v/>
      </c>
      <c r="T79" s="231" t="str">
        <f>IF(L79="","",VLOOKUP(L79,classifications!C:K,9,FALSE))</f>
        <v>Sparse</v>
      </c>
      <c r="U79" s="238">
        <f t="shared" si="31"/>
        <v>16</v>
      </c>
      <c r="V79" s="239">
        <f>IF(U79="","",IF($I$8="A",(RANK(U79,U$11:U$363)+COUNTIF(U$11:U79,U79)-1),(RANK(U79,U$11:U$363,1)+COUNTIF(U$11:U79,U79)-1)))</f>
        <v>66</v>
      </c>
      <c r="W79" s="240"/>
      <c r="X79" s="61" t="str">
        <f>IF(L79="","",VLOOKUP($L79,classifications!$C:$J,6,FALSE))</f>
        <v xml:space="preserve">Mainly Rural (rural including hub towns &gt;=80%) </v>
      </c>
      <c r="Y79" s="49">
        <f t="shared" si="32"/>
        <v>16</v>
      </c>
      <c r="Z79" s="57">
        <f>IF(Y79="","",IF(I$8="A",(RANK(Y79,Y$11:Y$363,1)+COUNTIF(Y$11:Y79,Y79)-1),(RANK(Y79,Y$11:Y$363)+COUNTIF(Y$11:Y79,Y79)-1)))</f>
        <v>15</v>
      </c>
      <c r="AA79" s="245" t="str">
        <f>IF(L79="","",VLOOKUP($L79,classifications!C:I,7,FALSE))</f>
        <v>Predominantly Rural</v>
      </c>
      <c r="AB79" s="239">
        <f t="shared" si="37"/>
        <v>16</v>
      </c>
      <c r="AC79" s="239">
        <f>IF(AB79="","",IF($I$8="A",(RANK(AB79,AB$11:AB$363)+COUNTIF(AB$11:AB79,AB79)-1),(RANK(AB79,AB$11:AB$363,1)+COUNTIF(AB$11:AB79,AB79)-1)))</f>
        <v>54</v>
      </c>
      <c r="AD79" s="239"/>
      <c r="AE79" s="51" t="str">
        <f t="shared" si="25"/>
        <v/>
      </c>
      <c r="AG79" s="143"/>
      <c r="AH79" s="52"/>
      <c r="AI79" s="61" t="str">
        <f>IF(L79="","",VLOOKUP($L79,classifications!$C:$J,8,FALSE))</f>
        <v>Devon</v>
      </c>
      <c r="AJ79" s="62" t="str">
        <f t="shared" si="33"/>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South West</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15</v>
      </c>
      <c r="AY79" s="156"/>
      <c r="AZ79" s="44"/>
    </row>
    <row r="80" spans="1:52">
      <c r="A80" s="84" t="str">
        <f>$D$1&amp;70</f>
        <v>SD70</v>
      </c>
      <c r="B80" s="85" t="str">
        <f>IF(ISERROR(VLOOKUP(A80,classifications!A:C,3,FALSE)),0,VLOOKUP(A80,classifications!A:C,3,FALSE))</f>
        <v>South Oxfordshire</v>
      </c>
      <c r="C80" s="31" t="s">
        <v>267</v>
      </c>
      <c r="D80" s="49" t="str">
        <f>VLOOKUP($C80,classifications!$C:$J,4,FALSE)</f>
        <v>UA</v>
      </c>
      <c r="E80" s="49" t="str">
        <f>VLOOKUP(C80,classifications!C:K,9,FALSE)</f>
        <v>Sparse</v>
      </c>
      <c r="F80" s="59">
        <f t="shared" si="27"/>
        <v>20</v>
      </c>
      <c r="G80" s="105"/>
      <c r="H80" s="60" t="str">
        <f t="shared" si="28"/>
        <v/>
      </c>
      <c r="I80" s="112" t="str">
        <f>IF(H80="","",IF($I$8="A",(RANK(H80,H$11:H$363,1)+COUNTIF(H$11:H80,H80)-1),(RANK(H80,H$11:H$363)+COUNTIF(H$11:H80,H80)-1)))</f>
        <v/>
      </c>
      <c r="J80" s="58"/>
      <c r="K80" s="51">
        <f t="shared" si="43"/>
        <v>70</v>
      </c>
      <c r="L80" s="59" t="str">
        <f t="shared" si="29"/>
        <v>Adur</v>
      </c>
      <c r="M80" s="153">
        <f t="shared" si="34"/>
        <v>17</v>
      </c>
      <c r="N80" s="148">
        <f t="shared" si="35"/>
        <v>17</v>
      </c>
      <c r="O80" s="131" t="str">
        <f t="shared" si="30"/>
        <v/>
      </c>
      <c r="P80" s="131">
        <f t="shared" si="44"/>
        <v>17</v>
      </c>
      <c r="Q80" s="131" t="str">
        <f t="shared" si="45"/>
        <v/>
      </c>
      <c r="R80" s="127" t="str">
        <f t="shared" si="46"/>
        <v/>
      </c>
      <c r="S80" s="60" t="str">
        <f t="shared" si="36"/>
        <v/>
      </c>
      <c r="T80" s="231">
        <f>IF(L80="","",VLOOKUP(L80,classifications!C:K,9,FALSE))</f>
        <v>0</v>
      </c>
      <c r="U80" s="238" t="str">
        <f t="shared" si="31"/>
        <v/>
      </c>
      <c r="V80" s="239" t="str">
        <f>IF(U80="","",IF($I$8="A",(RANK(U80,U$11:U$363)+COUNTIF(U$11:U80,U80)-1),(RANK(U80,U$11:U$363,1)+COUNTIF(U$11:U80,U80)-1)))</f>
        <v/>
      </c>
      <c r="W80" s="240"/>
      <c r="X80" s="61" t="str">
        <f>IF(L80="","",VLOOKUP($L80,classifications!$C:$J,6,FALSE))</f>
        <v>Urban with City and Town</v>
      </c>
      <c r="Y80" s="49" t="str">
        <f t="shared" si="32"/>
        <v/>
      </c>
      <c r="Z80" s="57" t="str">
        <f>IF(Y80="","",IF(I$8="A",(RANK(Y80,Y$11:Y$363,1)+COUNTIF(Y$11:Y80,Y80)-1),(RANK(Y80,Y$11:Y$363)+COUNTIF(Y$11:Y80,Y80)-1)))</f>
        <v/>
      </c>
      <c r="AA80" s="245" t="str">
        <f>IF(L80="","",VLOOKUP($L80,classifications!C:I,7,FALSE))</f>
        <v>Predominantly Urban</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West Sussex</v>
      </c>
      <c r="AJ80" s="62" t="str">
        <f t="shared" si="33"/>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South East</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20</v>
      </c>
      <c r="AY80" s="156"/>
      <c r="AZ80" s="44"/>
    </row>
    <row r="81" spans="1:52">
      <c r="A81" s="84" t="str">
        <f>$D$1&amp;71</f>
        <v>SD71</v>
      </c>
      <c r="B81" s="85" t="str">
        <f>IF(ISERROR(VLOOKUP(A81,classifications!A:C,3,FALSE)),0,VLOOKUP(A81,classifications!A:C,3,FALSE))</f>
        <v>South Somerset</v>
      </c>
      <c r="C81" s="31" t="s">
        <v>229</v>
      </c>
      <c r="D81" s="49" t="str">
        <f>VLOOKUP($C81,classifications!$C:$J,4,FALSE)</f>
        <v>MD</v>
      </c>
      <c r="E81" s="49">
        <f>VLOOKUP(C81,classifications!C:K,9,FALSE)</f>
        <v>0</v>
      </c>
      <c r="F81" s="59">
        <f t="shared" si="27"/>
        <v>19</v>
      </c>
      <c r="G81" s="105"/>
      <c r="H81" s="60" t="str">
        <f t="shared" si="28"/>
        <v/>
      </c>
      <c r="I81" s="112" t="str">
        <f>IF(H81="","",IF($I$8="A",(RANK(H81,H$11:H$363,1)+COUNTIF(H$11:H81,H81)-1),(RANK(H81,H$11:H$363)+COUNTIF(H$11:H81,H81)-1)))</f>
        <v/>
      </c>
      <c r="J81" s="58"/>
      <c r="K81" s="51">
        <f t="shared" si="43"/>
        <v>71</v>
      </c>
      <c r="L81" s="59" t="str">
        <f t="shared" si="29"/>
        <v>Barrow-in-Furness</v>
      </c>
      <c r="M81" s="153">
        <f t="shared" si="34"/>
        <v>17</v>
      </c>
      <c r="N81" s="148">
        <f t="shared" si="35"/>
        <v>17</v>
      </c>
      <c r="O81" s="131" t="str">
        <f t="shared" si="30"/>
        <v/>
      </c>
      <c r="P81" s="131">
        <f t="shared" si="44"/>
        <v>17</v>
      </c>
      <c r="Q81" s="131" t="str">
        <f t="shared" si="45"/>
        <v/>
      </c>
      <c r="R81" s="127" t="str">
        <f t="shared" si="46"/>
        <v/>
      </c>
      <c r="S81" s="60" t="str">
        <f t="shared" si="36"/>
        <v/>
      </c>
      <c r="T81" s="231">
        <f>IF(L81="","",VLOOKUP(L81,classifications!C:K,9,FALSE))</f>
        <v>0</v>
      </c>
      <c r="U81" s="238" t="str">
        <f t="shared" si="31"/>
        <v/>
      </c>
      <c r="V81" s="239" t="str">
        <f>IF(U81="","",IF($I$8="A",(RANK(U81,U$11:U$363)+COUNTIF(U$11:U81,U81)-1),(RANK(U81,U$11:U$363,1)+COUNTIF(U$11:U81,U81)-1)))</f>
        <v/>
      </c>
      <c r="W81" s="240"/>
      <c r="X81" s="61" t="str">
        <f>IF(L81="","",VLOOKUP($L81,classifications!$C:$J,6,FALSE))</f>
        <v>Urban with Significant Rural (rural including hub towns 26-49%)</v>
      </c>
      <c r="Y81" s="49" t="str">
        <f t="shared" si="32"/>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Cumbria</v>
      </c>
      <c r="AJ81" s="62">
        <f t="shared" si="33"/>
        <v>17</v>
      </c>
      <c r="AK81" s="57">
        <f>IF(AJ81="","",IF(I$8="A",(RANK(AJ81,AJ$11:AJ$363,1)+COUNTIF(AJ$11:AJ81,AJ81)-1),(RANK(AJ81,AJ$11:AJ$363)+COUNTIF(AJ$11:AJ81,AJ81)-1)))</f>
        <v>1</v>
      </c>
      <c r="AL81" s="52" t="str">
        <f t="shared" si="47"/>
        <v/>
      </c>
      <c r="AM81" s="31" t="str">
        <f t="shared" si="24"/>
        <v/>
      </c>
      <c r="AN81" s="31" t="str">
        <f t="shared" si="38"/>
        <v/>
      </c>
      <c r="AP81" s="61" t="str">
        <f>IF(L81="","",VLOOKUP($L81,classifications!$C:$E,3,FALSE))</f>
        <v>North West</v>
      </c>
      <c r="AQ81" s="62">
        <f t="shared" si="39"/>
        <v>17</v>
      </c>
      <c r="AR81" s="57">
        <f>IF(AQ81="","",IF(I$8="A",(RANK(AQ81,AQ$11:AQ$363,1)+COUNTIF(AQ$11:AQ81,AQ81)-1),(RANK(AQ81,AQ$11:AQ$363)+COUNTIF(AQ$11:AQ81,AQ81)-1)))</f>
        <v>2</v>
      </c>
      <c r="AS81" s="52" t="str">
        <f t="shared" si="40"/>
        <v/>
      </c>
      <c r="AT81" s="57" t="str">
        <f t="shared" si="41"/>
        <v/>
      </c>
      <c r="AU81" s="62" t="str">
        <f>IF(AT81="","",VLOOKUP(AT81,L:M,2,FALSE))</f>
        <v/>
      </c>
      <c r="AX81" s="44">
        <f>HLOOKUP($AX$9&amp;$AX$10,Data!$A$1:$ZZ$2000,(MATCH($C81,Data!$A$1:$A$2000,0)),FALSE)</f>
        <v>19</v>
      </c>
      <c r="AY81" s="156"/>
      <c r="AZ81" s="44"/>
    </row>
    <row r="82" spans="1:52">
      <c r="A82" s="84" t="str">
        <f>$D$1&amp;72</f>
        <v>SD72</v>
      </c>
      <c r="B82" s="85" t="str">
        <f>IF(ISERROR(VLOOKUP(A82,classifications!A:C,3,FALSE)),0,VLOOKUP(A82,classifications!A:C,3,FALSE))</f>
        <v>South Staffordshire</v>
      </c>
      <c r="C82" s="31" t="s">
        <v>45</v>
      </c>
      <c r="D82" s="49" t="str">
        <f>VLOOKUP($C82,classifications!$C:$J,4,FALSE)</f>
        <v>SD</v>
      </c>
      <c r="E82" s="49" t="str">
        <f>VLOOKUP(C82,classifications!C:K,9,FALSE)</f>
        <v>Sparse</v>
      </c>
      <c r="F82" s="59">
        <f t="shared" si="27"/>
        <v>24</v>
      </c>
      <c r="G82" s="105"/>
      <c r="H82" s="60">
        <f t="shared" si="28"/>
        <v>24</v>
      </c>
      <c r="I82" s="112">
        <f>IF(H82="","",IF($I$8="A",(RANK(H82,H$11:H$363,1)+COUNTIF(H$11:H82,H82)-1),(RANK(H82,H$11:H$363)+COUNTIF(H$11:H82,H82)-1)))</f>
        <v>158</v>
      </c>
      <c r="J82" s="58"/>
      <c r="K82" s="51">
        <f t="shared" si="43"/>
        <v>72</v>
      </c>
      <c r="L82" s="59" t="str">
        <f t="shared" si="29"/>
        <v>Breckland</v>
      </c>
      <c r="M82" s="153">
        <f t="shared" si="34"/>
        <v>17</v>
      </c>
      <c r="N82" s="148">
        <f t="shared" si="35"/>
        <v>17</v>
      </c>
      <c r="O82" s="131" t="str">
        <f t="shared" si="30"/>
        <v/>
      </c>
      <c r="P82" s="131">
        <f t="shared" si="44"/>
        <v>17</v>
      </c>
      <c r="Q82" s="131" t="str">
        <f t="shared" si="45"/>
        <v/>
      </c>
      <c r="R82" s="127" t="str">
        <f t="shared" si="46"/>
        <v/>
      </c>
      <c r="S82" s="60" t="str">
        <f t="shared" si="36"/>
        <v/>
      </c>
      <c r="T82" s="231" t="str">
        <f>IF(L82="","",VLOOKUP(L82,classifications!C:K,9,FALSE))</f>
        <v>Sparse</v>
      </c>
      <c r="U82" s="238">
        <f t="shared" si="31"/>
        <v>17</v>
      </c>
      <c r="V82" s="239">
        <f>IF(U82="","",IF($I$8="A",(RANK(U82,U$11:U$363)+COUNTIF(U$11:U82,U82)-1),(RANK(U82,U$11:U$363,1)+COUNTIF(U$11:U82,U82)-1)))</f>
        <v>56</v>
      </c>
      <c r="W82" s="240"/>
      <c r="X82" s="61" t="str">
        <f>IF(L82="","",VLOOKUP($L82,classifications!$C:$J,6,FALSE))</f>
        <v xml:space="preserve">Mainly Rural (rural including hub towns &gt;=80%) </v>
      </c>
      <c r="Y82" s="49">
        <f t="shared" si="32"/>
        <v>17</v>
      </c>
      <c r="Z82" s="57">
        <f>IF(Y82="","",IF(I$8="A",(RANK(Y82,Y$11:Y$363,1)+COUNTIF(Y$11:Y82,Y82)-1),(RANK(Y82,Y$11:Y$363)+COUNTIF(Y$11:Y82,Y82)-1)))</f>
        <v>16</v>
      </c>
      <c r="AA82" s="245" t="str">
        <f>IF(L82="","",VLOOKUP($L82,classifications!C:I,7,FALSE))</f>
        <v>Predominantly Rural</v>
      </c>
      <c r="AB82" s="239">
        <f t="shared" si="37"/>
        <v>17</v>
      </c>
      <c r="AC82" s="239">
        <f>IF(AB82="","",IF($I$8="A",(RANK(AB82,AB$11:AB$363)+COUNTIF(AB$11:AB82,AB82)-1),(RANK(AB82,AB$11:AB$363,1)+COUNTIF(AB$11:AB82,AB82)-1)))</f>
        <v>45</v>
      </c>
      <c r="AD82" s="239"/>
      <c r="AE82" s="51" t="str">
        <f t="shared" si="25"/>
        <v/>
      </c>
      <c r="AG82" s="143"/>
      <c r="AH82" s="52"/>
      <c r="AI82" s="61" t="str">
        <f>IF(L82="","",VLOOKUP($L82,classifications!$C:$J,8,FALSE))</f>
        <v>Norfolk</v>
      </c>
      <c r="AJ82" s="62" t="str">
        <f t="shared" si="33"/>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East of England</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24</v>
      </c>
      <c r="AY82" s="156"/>
      <c r="AZ82" s="44"/>
    </row>
    <row r="83" spans="1:52">
      <c r="A83" s="84" t="str">
        <f>$D$1&amp;73</f>
        <v>SD73</v>
      </c>
      <c r="B83" s="85" t="str">
        <f>IF(ISERROR(VLOOKUP(A83,classifications!A:C,3,FALSE)),0,VLOOKUP(A83,classifications!A:C,3,FALSE))</f>
        <v>St Edmundsbury</v>
      </c>
      <c r="C83" s="31" t="s">
        <v>46</v>
      </c>
      <c r="D83" s="49" t="str">
        <f>VLOOKUP($C83,classifications!$C:$J,4,FALSE)</f>
        <v>SD</v>
      </c>
      <c r="E83" s="49">
        <f>VLOOKUP(C83,classifications!C:K,9,FALSE)</f>
        <v>0</v>
      </c>
      <c r="F83" s="59">
        <f t="shared" si="27"/>
        <v>13</v>
      </c>
      <c r="G83" s="105"/>
      <c r="H83" s="60">
        <f t="shared" si="28"/>
        <v>13</v>
      </c>
      <c r="I83" s="112">
        <f>IF(H83="","",IF($I$8="A",(RANK(H83,H$11:H$363,1)+COUNTIF(H$11:H83,H83)-1),(RANK(H83,H$11:H$363)+COUNTIF(H$11:H83,H83)-1)))</f>
        <v>22</v>
      </c>
      <c r="J83" s="58"/>
      <c r="K83" s="51">
        <f t="shared" si="43"/>
        <v>73</v>
      </c>
      <c r="L83" s="59" t="str">
        <f t="shared" si="29"/>
        <v>Brentwood</v>
      </c>
      <c r="M83" s="153">
        <f t="shared" si="34"/>
        <v>17</v>
      </c>
      <c r="N83" s="148">
        <f t="shared" si="35"/>
        <v>17</v>
      </c>
      <c r="O83" s="131" t="str">
        <f t="shared" si="30"/>
        <v/>
      </c>
      <c r="P83" s="131">
        <f t="shared" si="44"/>
        <v>17</v>
      </c>
      <c r="Q83" s="131" t="str">
        <f t="shared" si="45"/>
        <v/>
      </c>
      <c r="R83" s="127" t="str">
        <f t="shared" si="46"/>
        <v/>
      </c>
      <c r="S83" s="60" t="str">
        <f t="shared" si="36"/>
        <v/>
      </c>
      <c r="T83" s="231">
        <f>IF(L83="","",VLOOKUP(L83,classifications!C:K,9,FALSE))</f>
        <v>0</v>
      </c>
      <c r="U83" s="238" t="str">
        <f t="shared" si="31"/>
        <v/>
      </c>
      <c r="V83" s="239" t="str">
        <f>IF(U83="","",IF($I$8="A",(RANK(U83,U$11:U$363)+COUNTIF(U$11:U83,U83)-1),(RANK(U83,U$11:U$363,1)+COUNTIF(U$11:U83,U83)-1)))</f>
        <v/>
      </c>
      <c r="W83" s="240"/>
      <c r="X83" s="61" t="str">
        <f>IF(L83="","",VLOOKUP($L83,classifications!$C:$J,6,FALSE))</f>
        <v>Urban with Significant Rural (rural including hub towns 26-49%)</v>
      </c>
      <c r="Y83" s="49" t="str">
        <f t="shared" si="32"/>
        <v/>
      </c>
      <c r="Z83" s="57" t="str">
        <f>IF(Y83="","",IF(I$8="A",(RANK(Y83,Y$11:Y$363,1)+COUNTIF(Y$11:Y83,Y83)-1),(RANK(Y83,Y$11:Y$363)+COUNTIF(Y$11:Y83,Y83)-1)))</f>
        <v/>
      </c>
      <c r="AA83" s="245" t="str">
        <f>IF(L83="","",VLOOKUP($L83,classifications!C:I,7,FALSE))</f>
        <v>Significant Rural</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Essex</v>
      </c>
      <c r="AJ83" s="62" t="str">
        <f t="shared" si="33"/>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East of England</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13</v>
      </c>
      <c r="AY83" s="156"/>
      <c r="AZ83" s="44"/>
    </row>
    <row r="84" spans="1:52">
      <c r="A84" s="84" t="str">
        <f>$D$1&amp;74</f>
        <v>SD74</v>
      </c>
      <c r="B84" s="85" t="str">
        <f>IF(ISERROR(VLOOKUP(A84,classifications!A:C,3,FALSE)),0,VLOOKUP(A84,classifications!A:C,3,FALSE))</f>
        <v>Stafford</v>
      </c>
      <c r="C84" s="31" t="s">
        <v>202</v>
      </c>
      <c r="D84" s="49" t="str">
        <f>VLOOKUP($C84,classifications!$C:$J,4,FALSE)</f>
        <v>L</v>
      </c>
      <c r="E84" s="49">
        <f>VLOOKUP(C84,classifications!C:K,9,FALSE)</f>
        <v>0</v>
      </c>
      <c r="F84" s="59">
        <f t="shared" si="27"/>
        <v>23</v>
      </c>
      <c r="G84" s="105"/>
      <c r="H84" s="60" t="str">
        <f t="shared" si="28"/>
        <v/>
      </c>
      <c r="I84" s="112" t="str">
        <f>IF(H84="","",IF($I$8="A",(RANK(H84,H$11:H$363,1)+COUNTIF(H$11:H84,H84)-1),(RANK(H84,H$11:H$363)+COUNTIF(H$11:H84,H84)-1)))</f>
        <v/>
      </c>
      <c r="J84" s="58"/>
      <c r="K84" s="51">
        <f t="shared" si="43"/>
        <v>74</v>
      </c>
      <c r="L84" s="59" t="str">
        <f t="shared" si="29"/>
        <v>Cannock Chase</v>
      </c>
      <c r="M84" s="153">
        <f t="shared" si="34"/>
        <v>17</v>
      </c>
      <c r="N84" s="148">
        <f t="shared" si="35"/>
        <v>17</v>
      </c>
      <c r="O84" s="131" t="str">
        <f t="shared" si="30"/>
        <v/>
      </c>
      <c r="P84" s="131">
        <f t="shared" si="44"/>
        <v>17</v>
      </c>
      <c r="Q84" s="131" t="str">
        <f t="shared" si="45"/>
        <v/>
      </c>
      <c r="R84" s="127" t="str">
        <f t="shared" si="46"/>
        <v/>
      </c>
      <c r="S84" s="60" t="str">
        <f t="shared" si="36"/>
        <v/>
      </c>
      <c r="T84" s="231">
        <f>IF(L84="","",VLOOKUP(L84,classifications!C:K,9,FALSE))</f>
        <v>0</v>
      </c>
      <c r="U84" s="238" t="str">
        <f t="shared" si="31"/>
        <v/>
      </c>
      <c r="V84" s="239" t="str">
        <f>IF(U84="","",IF($I$8="A",(RANK(U84,U$11:U$363)+COUNTIF(U$11:U84,U84)-1),(RANK(U84,U$11:U$363,1)+COUNTIF(U$11:U84,U84)-1)))</f>
        <v/>
      </c>
      <c r="W84" s="240"/>
      <c r="X84" s="61" t="str">
        <f>IF(L84="","",VLOOKUP($L84,classifications!$C:$J,6,FALSE))</f>
        <v>Urban with Significant Rural (rural including hub towns 26-49%)</v>
      </c>
      <c r="Y84" s="49" t="str">
        <f t="shared" si="32"/>
        <v/>
      </c>
      <c r="Z84" s="57" t="str">
        <f>IF(Y84="","",IF(I$8="A",(RANK(Y84,Y$11:Y$363,1)+COUNTIF(Y$11:Y84,Y84)-1),(RANK(Y84,Y$11:Y$363)+COUNTIF(Y$11:Y84,Y84)-1)))</f>
        <v/>
      </c>
      <c r="AA84" s="245" t="str">
        <f>IF(L84="","",VLOOKUP($L84,classifications!C:I,7,FALSE))</f>
        <v>Significant Rural</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Staffordshire</v>
      </c>
      <c r="AJ84" s="62" t="str">
        <f t="shared" si="33"/>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West Midlands</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23</v>
      </c>
      <c r="AY84" s="156"/>
      <c r="AZ84" s="44"/>
    </row>
    <row r="85" spans="1:52">
      <c r="A85" s="84" t="str">
        <f>$D$1&amp;75</f>
        <v>SD75</v>
      </c>
      <c r="B85" s="85" t="str">
        <f>IF(ISERROR(VLOOKUP(A85,classifications!A:C,3,FALSE)),0,VLOOKUP(A85,classifications!A:C,3,FALSE))</f>
        <v>Stratford-on-Avon</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Corby</v>
      </c>
      <c r="M85" s="153">
        <f t="shared" si="34"/>
        <v>17</v>
      </c>
      <c r="N85" s="148">
        <f t="shared" si="35"/>
        <v>17</v>
      </c>
      <c r="O85" s="131" t="str">
        <f t="shared" si="30"/>
        <v/>
      </c>
      <c r="P85" s="131">
        <f t="shared" si="44"/>
        <v>17</v>
      </c>
      <c r="Q85" s="131" t="str">
        <f t="shared" si="45"/>
        <v/>
      </c>
      <c r="R85" s="127" t="str">
        <f t="shared" si="46"/>
        <v/>
      </c>
      <c r="S85" s="60" t="str">
        <f t="shared" si="36"/>
        <v/>
      </c>
      <c r="T85" s="231">
        <f>IF(L85="","",VLOOKUP(L85,classifications!C:K,9,FALSE))</f>
        <v>0</v>
      </c>
      <c r="U85" s="238" t="str">
        <f t="shared" si="31"/>
        <v/>
      </c>
      <c r="V85" s="239" t="str">
        <f>IF(U85="","",IF($I$8="A",(RANK(U85,U$11:U$363)+COUNTIF(U$11:U85,U85)-1),(RANK(U85,U$11:U$363,1)+COUNTIF(U$11:U85,U85)-1)))</f>
        <v/>
      </c>
      <c r="W85" s="240"/>
      <c r="X85" s="61" t="str">
        <f>IF(L85="","",VLOOKUP($L85,classifications!$C:$J,6,FALSE))</f>
        <v>Urban with City and Town</v>
      </c>
      <c r="Y85" s="49" t="str">
        <f t="shared" si="32"/>
        <v/>
      </c>
      <c r="Z85" s="57" t="str">
        <f>IF(Y85="","",IF(I$8="A",(RANK(Y85,Y$11:Y$363,1)+COUNTIF(Y$11:Y85,Y85)-1),(RANK(Y85,Y$11:Y$363)+COUNTIF(Y$11:Y85,Y85)-1)))</f>
        <v/>
      </c>
      <c r="AA85" s="245" t="str">
        <f>IF(L85="","",VLOOKUP($L85,classifications!C:I,7,FALSE))</f>
        <v>Predominantly Urban</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Northamptonshire</v>
      </c>
      <c r="AJ85" s="62" t="str">
        <f t="shared" si="33"/>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East Midlands</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Stroud</v>
      </c>
      <c r="C86" s="31" t="s">
        <v>47</v>
      </c>
      <c r="D86" s="49" t="str">
        <f>VLOOKUP($C86,classifications!$C:$J,4,FALSE)</f>
        <v>SD</v>
      </c>
      <c r="E86" s="49">
        <f>VLOOKUP(C86,classifications!C:K,9,FALSE)</f>
        <v>0</v>
      </c>
      <c r="F86" s="59">
        <f t="shared" si="27"/>
        <v>27</v>
      </c>
      <c r="G86" s="105"/>
      <c r="H86" s="60">
        <f t="shared" si="28"/>
        <v>27</v>
      </c>
      <c r="I86" s="112">
        <f>IF(H86="","",IF($I$8="A",(RANK(H86,H$11:H$363,1)+COUNTIF(H$11:H86,H86)-1),(RANK(H86,H$11:H$363)+COUNTIF(H$11:H86,H86)-1)))</f>
        <v>182</v>
      </c>
      <c r="J86" s="58"/>
      <c r="K86" s="51">
        <f t="shared" si="43"/>
        <v>76</v>
      </c>
      <c r="L86" s="59" t="str">
        <f t="shared" si="29"/>
        <v>East Cambridgeshire</v>
      </c>
      <c r="M86" s="153">
        <f t="shared" si="34"/>
        <v>17</v>
      </c>
      <c r="N86" s="148">
        <f t="shared" si="35"/>
        <v>17</v>
      </c>
      <c r="O86" s="131" t="str">
        <f t="shared" si="30"/>
        <v/>
      </c>
      <c r="P86" s="131">
        <f t="shared" si="44"/>
        <v>17</v>
      </c>
      <c r="Q86" s="131" t="str">
        <f t="shared" si="45"/>
        <v/>
      </c>
      <c r="R86" s="127" t="str">
        <f t="shared" si="46"/>
        <v/>
      </c>
      <c r="S86" s="60" t="str">
        <f t="shared" si="36"/>
        <v/>
      </c>
      <c r="T86" s="231" t="str">
        <f>IF(L86="","",VLOOKUP(L86,classifications!C:K,9,FALSE))</f>
        <v>Sparse</v>
      </c>
      <c r="U86" s="238">
        <f t="shared" si="31"/>
        <v>17</v>
      </c>
      <c r="V86" s="239">
        <f>IF(U86="","",IF($I$8="A",(RANK(U86,U$11:U$363)+COUNTIF(U$11:U86,U86)-1),(RANK(U86,U$11:U$363,1)+COUNTIF(U$11:U86,U86)-1)))</f>
        <v>57</v>
      </c>
      <c r="W86" s="240"/>
      <c r="X86" s="61" t="str">
        <f>IF(L86="","",VLOOKUP($L86,classifications!$C:$J,6,FALSE))</f>
        <v xml:space="preserve">Mainly Rural (rural including hub towns &gt;=80%) </v>
      </c>
      <c r="Y86" s="49">
        <f t="shared" si="32"/>
        <v>17</v>
      </c>
      <c r="Z86" s="57">
        <f>IF(Y86="","",IF(I$8="A",(RANK(Y86,Y$11:Y$363,1)+COUNTIF(Y$11:Y86,Y86)-1),(RANK(Y86,Y$11:Y$363)+COUNTIF(Y$11:Y86,Y86)-1)))</f>
        <v>17</v>
      </c>
      <c r="AA86" s="245" t="str">
        <f>IF(L86="","",VLOOKUP($L86,classifications!C:I,7,FALSE))</f>
        <v>Predominantly Rural</v>
      </c>
      <c r="AB86" s="239">
        <f t="shared" si="37"/>
        <v>17</v>
      </c>
      <c r="AC86" s="239">
        <f>IF(AB86="","",IF($I$8="A",(RANK(AB86,AB$11:AB$363)+COUNTIF(AB$11:AB86,AB86)-1),(RANK(AB86,AB$11:AB$363,1)+COUNTIF(AB$11:AB86,AB86)-1)))</f>
        <v>46</v>
      </c>
      <c r="AD86" s="239"/>
      <c r="AE86" s="51" t="str">
        <f t="shared" si="25"/>
        <v/>
      </c>
      <c r="AG86" s="143"/>
      <c r="AH86" s="52"/>
      <c r="AI86" s="61" t="str">
        <f>IF(L86="","",VLOOKUP($L86,classifications!$C:$J,8,FALSE))</f>
        <v>Cambridgeshire</v>
      </c>
      <c r="AJ86" s="62" t="str">
        <f t="shared" si="33"/>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East of England</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27</v>
      </c>
      <c r="AY86" s="156"/>
      <c r="AZ86" s="44"/>
    </row>
    <row r="87" spans="1:52">
      <c r="A87" s="84" t="str">
        <f>$D$1&amp;77</f>
        <v>SD77</v>
      </c>
      <c r="B87" s="85" t="str">
        <f>IF(ISERROR(VLOOKUP(A87,classifications!A:C,3,FALSE)),0,VLOOKUP(A87,classifications!A:C,3,FALSE))</f>
        <v>Suffolk Coastal</v>
      </c>
      <c r="C87" s="31" t="s">
        <v>265</v>
      </c>
      <c r="D87" s="49" t="str">
        <f>VLOOKUP($C87,classifications!$C:$J,4,FALSE)</f>
        <v>UA</v>
      </c>
      <c r="E87" s="49">
        <f>VLOOKUP(C87,classifications!C:K,9,FALSE)</f>
        <v>0</v>
      </c>
      <c r="F87" s="59">
        <f t="shared" si="27"/>
        <v>9</v>
      </c>
      <c r="G87" s="105"/>
      <c r="H87" s="60" t="str">
        <f t="shared" si="28"/>
        <v/>
      </c>
      <c r="I87" s="112" t="str">
        <f>IF(H87="","",IF($I$8="A",(RANK(H87,H$11:H$363,1)+COUNTIF(H$11:H87,H87)-1),(RANK(H87,H$11:H$363)+COUNTIF(H$11:H87,H87)-1)))</f>
        <v/>
      </c>
      <c r="J87" s="58"/>
      <c r="K87" s="51">
        <f t="shared" si="43"/>
        <v>77</v>
      </c>
      <c r="L87" s="59" t="str">
        <f t="shared" si="29"/>
        <v>Stafford</v>
      </c>
      <c r="M87" s="153">
        <f t="shared" si="34"/>
        <v>17</v>
      </c>
      <c r="N87" s="148">
        <f t="shared" si="35"/>
        <v>17</v>
      </c>
      <c r="O87" s="131" t="str">
        <f t="shared" si="30"/>
        <v/>
      </c>
      <c r="P87" s="131">
        <f t="shared" si="44"/>
        <v>17</v>
      </c>
      <c r="Q87" s="131" t="str">
        <f t="shared" si="45"/>
        <v/>
      </c>
      <c r="R87" s="127" t="str">
        <f t="shared" si="46"/>
        <v/>
      </c>
      <c r="S87" s="60" t="str">
        <f t="shared" si="36"/>
        <v/>
      </c>
      <c r="T87" s="231" t="str">
        <f>IF(L87="","",VLOOKUP(L87,classifications!C:K,9,FALSE))</f>
        <v>Sparse</v>
      </c>
      <c r="U87" s="238">
        <f t="shared" si="31"/>
        <v>17</v>
      </c>
      <c r="V87" s="239">
        <f>IF(U87="","",IF($I$8="A",(RANK(U87,U$11:U$363)+COUNTIF(U$11:U87,U87)-1),(RANK(U87,U$11:U$363,1)+COUNTIF(U$11:U87,U87)-1)))</f>
        <v>58</v>
      </c>
      <c r="W87" s="240"/>
      <c r="X87" s="61" t="str">
        <f>IF(L87="","",VLOOKUP($L87,classifications!$C:$J,6,FALSE))</f>
        <v>Urban with Significant Rural (rural including hub towns 26-49%)</v>
      </c>
      <c r="Y87" s="49" t="str">
        <f t="shared" si="32"/>
        <v/>
      </c>
      <c r="Z87" s="57" t="str">
        <f>IF(Y87="","",IF(I$8="A",(RANK(Y87,Y$11:Y$363,1)+COUNTIF(Y$11:Y87,Y87)-1),(RANK(Y87,Y$11:Y$363)+COUNTIF(Y$11:Y87,Y87)-1)))</f>
        <v/>
      </c>
      <c r="AA87" s="245" t="str">
        <f>IF(L87="","",VLOOKUP($L87,classifications!C:I,7,FALSE))</f>
        <v>Significant Rural</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Staffordshire</v>
      </c>
      <c r="AJ87" s="62" t="str">
        <f t="shared" si="33"/>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West Midlands</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9</v>
      </c>
      <c r="AY87" s="156"/>
      <c r="AZ87" s="44"/>
    </row>
    <row r="88" spans="1:52">
      <c r="A88" s="84" t="str">
        <f>$D$1&amp;78</f>
        <v>SD78</v>
      </c>
      <c r="B88" s="85" t="str">
        <f>IF(ISERROR(VLOOKUP(A88,classifications!A:C,3,FALSE)),0,VLOOKUP(A88,classifications!A:C,3,FALSE))</f>
        <v>Tandridge</v>
      </c>
      <c r="C88" s="31" t="s">
        <v>48</v>
      </c>
      <c r="D88" s="49" t="str">
        <f>VLOOKUP($C88,classifications!$C:$J,4,FALSE)</f>
        <v>SD</v>
      </c>
      <c r="E88" s="49">
        <f>VLOOKUP(C88,classifications!C:K,9,FALSE)</f>
        <v>0</v>
      </c>
      <c r="F88" s="59">
        <f t="shared" si="27"/>
        <v>25</v>
      </c>
      <c r="G88" s="105"/>
      <c r="H88" s="60">
        <f t="shared" si="28"/>
        <v>25</v>
      </c>
      <c r="I88" s="112">
        <f>IF(H88="","",IF($I$8="A",(RANK(H88,H$11:H$363,1)+COUNTIF(H$11:H88,H88)-1),(RANK(H88,H$11:H$363)+COUNTIF(H$11:H88,H88)-1)))</f>
        <v>171</v>
      </c>
      <c r="J88" s="58"/>
      <c r="K88" s="51">
        <f t="shared" si="43"/>
        <v>78</v>
      </c>
      <c r="L88" s="59" t="str">
        <f t="shared" si="29"/>
        <v>Staffordshire Moorlands</v>
      </c>
      <c r="M88" s="153">
        <f t="shared" si="34"/>
        <v>17</v>
      </c>
      <c r="N88" s="148">
        <f t="shared" si="35"/>
        <v>17</v>
      </c>
      <c r="O88" s="131" t="str">
        <f t="shared" si="30"/>
        <v/>
      </c>
      <c r="P88" s="131">
        <f t="shared" si="44"/>
        <v>17</v>
      </c>
      <c r="Q88" s="131" t="str">
        <f t="shared" si="45"/>
        <v/>
      </c>
      <c r="R88" s="127" t="str">
        <f t="shared" si="46"/>
        <v/>
      </c>
      <c r="S88" s="60" t="str">
        <f t="shared" si="36"/>
        <v/>
      </c>
      <c r="T88" s="231">
        <f>IF(L88="","",VLOOKUP(L88,classifications!C:K,9,FALSE))</f>
        <v>0</v>
      </c>
      <c r="U88" s="238" t="str">
        <f t="shared" si="31"/>
        <v/>
      </c>
      <c r="V88" s="239" t="str">
        <f>IF(U88="","",IF($I$8="A",(RANK(U88,U$11:U$363)+COUNTIF(U$11:U88,U88)-1),(RANK(U88,U$11:U$363,1)+COUNTIF(U$11:U88,U88)-1)))</f>
        <v/>
      </c>
      <c r="W88" s="240"/>
      <c r="X88" s="61" t="str">
        <f>IF(L88="","",VLOOKUP($L88,classifications!$C:$J,6,FALSE))</f>
        <v xml:space="preserve">Largely Rural (rural including hub towns 50-79%) </v>
      </c>
      <c r="Y88" s="49" t="str">
        <f t="shared" si="32"/>
        <v/>
      </c>
      <c r="Z88" s="57" t="str">
        <f>IF(Y88="","",IF(I$8="A",(RANK(Y88,Y$11:Y$363,1)+COUNTIF(Y$11:Y88,Y88)-1),(RANK(Y88,Y$11:Y$363)+COUNTIF(Y$11:Y88,Y88)-1)))</f>
        <v/>
      </c>
      <c r="AA88" s="245" t="str">
        <f>IF(L88="","",VLOOKUP($L88,classifications!C:I,7,FALSE))</f>
        <v>Predominantly Rural</v>
      </c>
      <c r="AB88" s="239">
        <f t="shared" si="37"/>
        <v>17</v>
      </c>
      <c r="AC88" s="239">
        <f>IF(AB88="","",IF($I$8="A",(RANK(AB88,AB$11:AB$363)+COUNTIF(AB$11:AB88,AB88)-1),(RANK(AB88,AB$11:AB$363,1)+COUNTIF(AB$11:AB88,AB88)-1)))</f>
        <v>47</v>
      </c>
      <c r="AD88" s="239"/>
      <c r="AE88" s="51" t="str">
        <f t="shared" si="25"/>
        <v/>
      </c>
      <c r="AG88" s="143"/>
      <c r="AH88" s="52"/>
      <c r="AI88" s="61" t="str">
        <f>IF(L88="","",VLOOKUP($L88,classifications!$C:$J,8,FALSE))</f>
        <v>Staffordshire</v>
      </c>
      <c r="AJ88" s="62" t="str">
        <f t="shared" si="33"/>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West Midlands</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25</v>
      </c>
      <c r="AY88" s="156"/>
      <c r="AZ88" s="44"/>
    </row>
    <row r="89" spans="1:52">
      <c r="A89" s="84" t="str">
        <f>$D$1&amp;79</f>
        <v>SD79</v>
      </c>
      <c r="B89" s="85" t="str">
        <f>IF(ISERROR(VLOOKUP(A89,classifications!A:C,3,FALSE)),0,VLOOKUP(A89,classifications!A:C,3,FALSE))</f>
        <v>Taunton Deane</v>
      </c>
      <c r="C89" s="31" t="s">
        <v>49</v>
      </c>
      <c r="D89" s="49" t="str">
        <f>VLOOKUP($C89,classifications!$C:$J,4,FALSE)</f>
        <v>SD</v>
      </c>
      <c r="E89" s="49" t="str">
        <f>VLOOKUP(C89,classifications!C:K,9,FALSE)</f>
        <v>Sparse</v>
      </c>
      <c r="F89" s="59">
        <f t="shared" si="27"/>
        <v>26</v>
      </c>
      <c r="G89" s="105"/>
      <c r="H89" s="60">
        <f t="shared" si="28"/>
        <v>26</v>
      </c>
      <c r="I89" s="112">
        <f>IF(H89="","",IF($I$8="A",(RANK(H89,H$11:H$363,1)+COUNTIF(H$11:H89,H89)-1),(RANK(H89,H$11:H$363)+COUNTIF(H$11:H89,H89)-1)))</f>
        <v>176</v>
      </c>
      <c r="J89" s="58"/>
      <c r="K89" s="51">
        <f t="shared" si="43"/>
        <v>79</v>
      </c>
      <c r="L89" s="59" t="str">
        <f t="shared" si="29"/>
        <v>Tunbridge Wells</v>
      </c>
      <c r="M89" s="153">
        <f t="shared" si="34"/>
        <v>17</v>
      </c>
      <c r="N89" s="148">
        <f t="shared" si="35"/>
        <v>17</v>
      </c>
      <c r="O89" s="131" t="str">
        <f t="shared" si="30"/>
        <v/>
      </c>
      <c r="P89" s="131">
        <f t="shared" si="44"/>
        <v>17</v>
      </c>
      <c r="Q89" s="131" t="str">
        <f t="shared" si="45"/>
        <v/>
      </c>
      <c r="R89" s="127" t="str">
        <f t="shared" si="46"/>
        <v/>
      </c>
      <c r="S89" s="60" t="str">
        <f t="shared" si="36"/>
        <v/>
      </c>
      <c r="T89" s="231" t="str">
        <f>IF(L89="","",VLOOKUP(L89,classifications!C:K,9,FALSE))</f>
        <v>Sparse</v>
      </c>
      <c r="U89" s="238">
        <f t="shared" si="31"/>
        <v>17</v>
      </c>
      <c r="V89" s="239">
        <f>IF(U89="","",IF($I$8="A",(RANK(U89,U$11:U$363)+COUNTIF(U$11:U89,U89)-1),(RANK(U89,U$11:U$363,1)+COUNTIF(U$11:U89,U89)-1)))</f>
        <v>59</v>
      </c>
      <c r="W89" s="240"/>
      <c r="X89" s="61" t="str">
        <f>IF(L89="","",VLOOKUP($L89,classifications!$C:$J,6,FALSE))</f>
        <v>Urban with Significant Rural (rural including hub towns 26-49%)</v>
      </c>
      <c r="Y89" s="49" t="str">
        <f t="shared" si="32"/>
        <v/>
      </c>
      <c r="Z89" s="57" t="str">
        <f>IF(Y89="","",IF(I$8="A",(RANK(Y89,Y$11:Y$363,1)+COUNTIF(Y$11:Y89,Y89)-1),(RANK(Y89,Y$11:Y$363)+COUNTIF(Y$11:Y89,Y89)-1)))</f>
        <v/>
      </c>
      <c r="AA89" s="245" t="str">
        <f>IF(L89="","",VLOOKUP($L89,classifications!C:I,7,FALSE))</f>
        <v>Significant Rural</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Kent</v>
      </c>
      <c r="AJ89" s="62" t="str">
        <f t="shared" si="33"/>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South East</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26</v>
      </c>
      <c r="AY89" s="156"/>
      <c r="AZ89" s="44"/>
    </row>
    <row r="90" spans="1:52">
      <c r="A90" s="84" t="str">
        <f>$D$1&amp;80</f>
        <v>SD80</v>
      </c>
      <c r="B90" s="85" t="str">
        <f>IF(ISERROR(VLOOKUP(A90,classifications!A:C,3,FALSE)),0,VLOOKUP(A90,classifications!A:C,3,FALSE))</f>
        <v>Teignbridge</v>
      </c>
      <c r="C90" s="31" t="s">
        <v>266</v>
      </c>
      <c r="D90" s="49" t="str">
        <f>VLOOKUP($C90,classifications!$C:$J,4,FALSE)</f>
        <v>UA</v>
      </c>
      <c r="E90" s="49">
        <f>VLOOKUP(C90,classifications!C:K,9,FALSE)</f>
        <v>0</v>
      </c>
      <c r="F90" s="59">
        <f t="shared" si="27"/>
        <v>30</v>
      </c>
      <c r="G90" s="105"/>
      <c r="H90" s="60" t="str">
        <f t="shared" si="28"/>
        <v/>
      </c>
      <c r="I90" s="112" t="str">
        <f>IF(H90="","",IF($I$8="A",(RANK(H90,H$11:H$363,1)+COUNTIF(H$11:H90,H90)-1),(RANK(H90,H$11:H$363)+COUNTIF(H$11:H90,H90)-1)))</f>
        <v/>
      </c>
      <c r="J90" s="58"/>
      <c r="K90" s="51">
        <f t="shared" si="43"/>
        <v>80</v>
      </c>
      <c r="L90" s="59" t="str">
        <f t="shared" si="29"/>
        <v>Christchurch</v>
      </c>
      <c r="M90" s="153">
        <f t="shared" si="34"/>
        <v>18</v>
      </c>
      <c r="N90" s="148">
        <f t="shared" si="35"/>
        <v>18</v>
      </c>
      <c r="O90" s="131" t="str">
        <f t="shared" si="30"/>
        <v/>
      </c>
      <c r="P90" s="131">
        <f t="shared" si="44"/>
        <v>18</v>
      </c>
      <c r="Q90" s="131" t="str">
        <f t="shared" si="45"/>
        <v/>
      </c>
      <c r="R90" s="127" t="str">
        <f t="shared" si="46"/>
        <v/>
      </c>
      <c r="S90" s="60" t="str">
        <f t="shared" si="36"/>
        <v/>
      </c>
      <c r="T90" s="231">
        <f>IF(L90="","",VLOOKUP(L90,classifications!C:K,9,FALSE))</f>
        <v>0</v>
      </c>
      <c r="U90" s="238" t="str">
        <f t="shared" si="31"/>
        <v/>
      </c>
      <c r="V90" s="239" t="str">
        <f>IF(U90="","",IF($I$8="A",(RANK(U90,U$11:U$363)+COUNTIF(U$11:U90,U90)-1),(RANK(U90,U$11:U$363,1)+COUNTIF(U$11:U90,U90)-1)))</f>
        <v/>
      </c>
      <c r="W90" s="240"/>
      <c r="X90" s="61" t="str">
        <f>IF(L90="","",VLOOKUP($L90,classifications!$C:$J,6,FALSE))</f>
        <v>Urban with City and Town</v>
      </c>
      <c r="Y90" s="49" t="str">
        <f t="shared" si="32"/>
        <v/>
      </c>
      <c r="Z90" s="57" t="str">
        <f>IF(Y90="","",IF(I$8="A",(RANK(Y90,Y$11:Y$363,1)+COUNTIF(Y$11:Y90,Y90)-1),(RANK(Y90,Y$11:Y$363)+COUNTIF(Y$11:Y90,Y90)-1)))</f>
        <v/>
      </c>
      <c r="AA90" s="245" t="str">
        <f>IF(L90="","",VLOOKUP($L90,classifications!C:I,7,FALSE))</f>
        <v>Predominantly Urban</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Dorset</v>
      </c>
      <c r="AJ90" s="62" t="str">
        <f t="shared" si="33"/>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South West</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30</v>
      </c>
      <c r="AY90" s="156"/>
      <c r="AZ90" s="44"/>
    </row>
    <row r="91" spans="1:52">
      <c r="A91" s="84" t="str">
        <f>$D$1&amp;81</f>
        <v>SD81</v>
      </c>
      <c r="B91" s="85" t="str">
        <f>IF(ISERROR(VLOOKUP(A91,classifications!A:C,3,FALSE)),0,VLOOKUP(A91,classifications!A:C,3,FALSE))</f>
        <v>Tewkesbury</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East Lindsey</v>
      </c>
      <c r="M91" s="153">
        <f t="shared" si="34"/>
        <v>18</v>
      </c>
      <c r="N91" s="148">
        <f t="shared" si="35"/>
        <v>18</v>
      </c>
      <c r="O91" s="131" t="str">
        <f t="shared" si="30"/>
        <v/>
      </c>
      <c r="P91" s="131">
        <f t="shared" si="44"/>
        <v>18</v>
      </c>
      <c r="Q91" s="131" t="str">
        <f t="shared" si="45"/>
        <v/>
      </c>
      <c r="R91" s="127" t="str">
        <f t="shared" si="46"/>
        <v/>
      </c>
      <c r="S91" s="60" t="str">
        <f t="shared" si="36"/>
        <v/>
      </c>
      <c r="T91" s="231" t="str">
        <f>IF(L91="","",VLOOKUP(L91,classifications!C:K,9,FALSE))</f>
        <v>Sparse</v>
      </c>
      <c r="U91" s="238">
        <f t="shared" si="31"/>
        <v>18</v>
      </c>
      <c r="V91" s="239">
        <f>IF(U91="","",IF($I$8="A",(RANK(U91,U$11:U$363)+COUNTIF(U$11:U91,U91)-1),(RANK(U91,U$11:U$363,1)+COUNTIF(U$11:U91,U91)-1)))</f>
        <v>46</v>
      </c>
      <c r="W91" s="240"/>
      <c r="X91" s="61" t="str">
        <f>IF(L91="","",VLOOKUP($L91,classifications!$C:$J,6,FALSE))</f>
        <v xml:space="preserve">Mainly Rural (rural including hub towns &gt;=80%) </v>
      </c>
      <c r="Y91" s="49">
        <f t="shared" si="32"/>
        <v>18</v>
      </c>
      <c r="Z91" s="57">
        <f>IF(Y91="","",IF(I$8="A",(RANK(Y91,Y$11:Y$363,1)+COUNTIF(Y$11:Y91,Y91)-1),(RANK(Y91,Y$11:Y$363)+COUNTIF(Y$11:Y91,Y91)-1)))</f>
        <v>18</v>
      </c>
      <c r="AA91" s="245" t="str">
        <f>IF(L91="","",VLOOKUP($L91,classifications!C:I,7,FALSE))</f>
        <v>Predominantly Rural</v>
      </c>
      <c r="AB91" s="239">
        <f t="shared" si="37"/>
        <v>18</v>
      </c>
      <c r="AC91" s="239">
        <f>IF(AB91="","",IF($I$8="A",(RANK(AB91,AB$11:AB$363)+COUNTIF(AB$11:AB91,AB91)-1),(RANK(AB91,AB$11:AB$363,1)+COUNTIF(AB$11:AB91,AB91)-1)))</f>
        <v>36</v>
      </c>
      <c r="AD91" s="239"/>
      <c r="AE91" s="51" t="str">
        <f t="shared" si="25"/>
        <v/>
      </c>
      <c r="AG91" s="143"/>
      <c r="AH91" s="52"/>
      <c r="AI91" s="61" t="str">
        <f>IF(L91="","",VLOOKUP($L91,classifications!$C:$J,8,FALSE))</f>
        <v>Lincolnshire</v>
      </c>
      <c r="AJ91" s="62" t="str">
        <f t="shared" si="33"/>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East Midlands</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Torridge</v>
      </c>
      <c r="C92" s="31" t="s">
        <v>50</v>
      </c>
      <c r="D92" s="49" t="str">
        <f>VLOOKUP($C92,classifications!$C:$J,4,FALSE)</f>
        <v>SD</v>
      </c>
      <c r="E92" s="49" t="str">
        <f>VLOOKUP(C92,classifications!C:K,9,FALSE)</f>
        <v>Sparse</v>
      </c>
      <c r="F92" s="59">
        <f t="shared" si="27"/>
        <v>34</v>
      </c>
      <c r="G92" s="105"/>
      <c r="H92" s="60">
        <f t="shared" si="28"/>
        <v>34</v>
      </c>
      <c r="I92" s="112">
        <f>IF(H92="","",IF($I$8="A",(RANK(H92,H$11:H$363,1)+COUNTIF(H$11:H92,H92)-1),(RANK(H92,H$11:H$363)+COUNTIF(H$11:H92,H92)-1)))</f>
        <v>200</v>
      </c>
      <c r="J92" s="58"/>
      <c r="K92" s="51">
        <f t="shared" si="43"/>
        <v>82</v>
      </c>
      <c r="L92" s="59" t="str">
        <f t="shared" si="29"/>
        <v>East Northamptonshire</v>
      </c>
      <c r="M92" s="153">
        <f t="shared" si="34"/>
        <v>18</v>
      </c>
      <c r="N92" s="148">
        <f t="shared" si="35"/>
        <v>18</v>
      </c>
      <c r="O92" s="131" t="str">
        <f t="shared" si="30"/>
        <v/>
      </c>
      <c r="P92" s="131">
        <f t="shared" si="44"/>
        <v>18</v>
      </c>
      <c r="Q92" s="131" t="str">
        <f t="shared" si="45"/>
        <v/>
      </c>
      <c r="R92" s="127" t="str">
        <f t="shared" si="46"/>
        <v/>
      </c>
      <c r="S92" s="60" t="str">
        <f t="shared" si="36"/>
        <v/>
      </c>
      <c r="T92" s="231" t="str">
        <f>IF(L92="","",VLOOKUP(L92,classifications!C:K,9,FALSE))</f>
        <v>Sparse</v>
      </c>
      <c r="U92" s="238">
        <f t="shared" si="31"/>
        <v>18</v>
      </c>
      <c r="V92" s="239">
        <f>IF(U92="","",IF($I$8="A",(RANK(U92,U$11:U$363)+COUNTIF(U$11:U92,U92)-1),(RANK(U92,U$11:U$363,1)+COUNTIF(U$11:U92,U92)-1)))</f>
        <v>47</v>
      </c>
      <c r="W92" s="240"/>
      <c r="X92" s="61" t="str">
        <f>IF(L92="","",VLOOKUP($L92,classifications!$C:$J,6,FALSE))</f>
        <v xml:space="preserve">Largely Rural (rural including hub towns 50-79%) </v>
      </c>
      <c r="Y92" s="49" t="str">
        <f t="shared" si="32"/>
        <v/>
      </c>
      <c r="Z92" s="57" t="str">
        <f>IF(Y92="","",IF(I$8="A",(RANK(Y92,Y$11:Y$363,1)+COUNTIF(Y$11:Y92,Y92)-1),(RANK(Y92,Y$11:Y$363)+COUNTIF(Y$11:Y92,Y92)-1)))</f>
        <v/>
      </c>
      <c r="AA92" s="245" t="str">
        <f>IF(L92="","",VLOOKUP($L92,classifications!C:I,7,FALSE))</f>
        <v>Predominantly Rural</v>
      </c>
      <c r="AB92" s="239">
        <f t="shared" si="37"/>
        <v>18</v>
      </c>
      <c r="AC92" s="239">
        <f>IF(AB92="","",IF($I$8="A",(RANK(AB92,AB$11:AB$363)+COUNTIF(AB$11:AB92,AB92)-1),(RANK(AB92,AB$11:AB$363,1)+COUNTIF(AB$11:AB92,AB92)-1)))</f>
        <v>37</v>
      </c>
      <c r="AD92" s="239"/>
      <c r="AE92" s="51" t="str">
        <f t="shared" si="25"/>
        <v/>
      </c>
      <c r="AG92" s="143"/>
      <c r="AH92" s="52"/>
      <c r="AI92" s="61" t="str">
        <f>IF(L92="","",VLOOKUP($L92,classifications!$C:$J,8,FALSE))</f>
        <v>Northamptonshire</v>
      </c>
      <c r="AJ92" s="62" t="str">
        <f t="shared" si="33"/>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East Midlands</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34</v>
      </c>
      <c r="AY92" s="156"/>
      <c r="AZ92" s="44"/>
    </row>
    <row r="93" spans="1:52">
      <c r="A93" s="84" t="str">
        <f>$D$1&amp;83</f>
        <v>SD83</v>
      </c>
      <c r="B93" s="85" t="str">
        <f>IF(ISERROR(VLOOKUP(A93,classifications!A:C,3,FALSE)),0,VLOOKUP(A93,classifications!A:C,3,FALSE))</f>
        <v>Tunbridge Wells</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Eastleigh</v>
      </c>
      <c r="M93" s="153">
        <f t="shared" si="34"/>
        <v>18</v>
      </c>
      <c r="N93" s="148">
        <f t="shared" si="35"/>
        <v>18</v>
      </c>
      <c r="O93" s="131" t="str">
        <f t="shared" si="30"/>
        <v/>
      </c>
      <c r="P93" s="131">
        <f t="shared" si="44"/>
        <v>18</v>
      </c>
      <c r="Q93" s="131" t="str">
        <f t="shared" si="45"/>
        <v/>
      </c>
      <c r="R93" s="127" t="str">
        <f t="shared" si="46"/>
        <v/>
      </c>
      <c r="S93" s="60" t="str">
        <f t="shared" si="36"/>
        <v/>
      </c>
      <c r="T93" s="231">
        <f>IF(L93="","",VLOOKUP(L93,classifications!C:K,9,FALSE))</f>
        <v>0</v>
      </c>
      <c r="U93" s="238" t="str">
        <f t="shared" si="31"/>
        <v/>
      </c>
      <c r="V93" s="239" t="str">
        <f>IF(U93="","",IF($I$8="A",(RANK(U93,U$11:U$363)+COUNTIF(U$11:U93,U93)-1),(RANK(U93,U$11:U$363,1)+COUNTIF(U$11:U93,U93)-1)))</f>
        <v/>
      </c>
      <c r="W93" s="240"/>
      <c r="X93" s="61" t="str">
        <f>IF(L93="","",VLOOKUP($L93,classifications!$C:$J,6,FALSE))</f>
        <v>Urban with City and Town</v>
      </c>
      <c r="Y93" s="49" t="str">
        <f t="shared" si="32"/>
        <v/>
      </c>
      <c r="Z93" s="57" t="str">
        <f>IF(Y93="","",IF(I$8="A",(RANK(Y93,Y$11:Y$363,1)+COUNTIF(Y$11:Y93,Y93)-1),(RANK(Y93,Y$11:Y$363)+COUNTIF(Y$11:Y93,Y93)-1)))</f>
        <v/>
      </c>
      <c r="AA93" s="245" t="str">
        <f>IF(L93="","",VLOOKUP($L93,classifications!C:I,7,FALSE))</f>
        <v>Predominantly Urban</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Hampshire</v>
      </c>
      <c r="AJ93" s="62" t="str">
        <f t="shared" si="33"/>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South East</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Uttlesford</v>
      </c>
      <c r="C94" s="31" t="s">
        <v>230</v>
      </c>
      <c r="D94" s="49" t="str">
        <f>VLOOKUP($C94,classifications!$C:$J,4,FALSE)</f>
        <v>MD</v>
      </c>
      <c r="E94" s="49">
        <f>VLOOKUP(C94,classifications!C:K,9,FALSE)</f>
        <v>0</v>
      </c>
      <c r="F94" s="59">
        <f t="shared" si="27"/>
        <v>21</v>
      </c>
      <c r="G94" s="105"/>
      <c r="H94" s="60" t="str">
        <f t="shared" si="28"/>
        <v/>
      </c>
      <c r="I94" s="112" t="str">
        <f>IF(H94="","",IF($I$8="A",(RANK(H94,H$11:H$363,1)+COUNTIF(H$11:H94,H94)-1),(RANK(H94,H$11:H$363)+COUNTIF(H$11:H94,H94)-1)))</f>
        <v/>
      </c>
      <c r="J94" s="58"/>
      <c r="K94" s="51">
        <f t="shared" si="43"/>
        <v>84</v>
      </c>
      <c r="L94" s="59" t="str">
        <f t="shared" si="29"/>
        <v>Fenland</v>
      </c>
      <c r="M94" s="153">
        <f t="shared" si="34"/>
        <v>18</v>
      </c>
      <c r="N94" s="148">
        <f t="shared" si="35"/>
        <v>18</v>
      </c>
      <c r="O94" s="131" t="str">
        <f t="shared" si="30"/>
        <v/>
      </c>
      <c r="P94" s="131">
        <f t="shared" si="44"/>
        <v>18</v>
      </c>
      <c r="Q94" s="131" t="str">
        <f t="shared" si="45"/>
        <v/>
      </c>
      <c r="R94" s="127" t="str">
        <f t="shared" si="46"/>
        <v/>
      </c>
      <c r="S94" s="60" t="str">
        <f t="shared" si="36"/>
        <v/>
      </c>
      <c r="T94" s="231" t="str">
        <f>IF(L94="","",VLOOKUP(L94,classifications!C:K,9,FALSE))</f>
        <v>Sparse</v>
      </c>
      <c r="U94" s="238">
        <f t="shared" si="31"/>
        <v>18</v>
      </c>
      <c r="V94" s="239">
        <f>IF(U94="","",IF($I$8="A",(RANK(U94,U$11:U$363)+COUNTIF(U$11:U94,U94)-1),(RANK(U94,U$11:U$363,1)+COUNTIF(U$11:U94,U94)-1)))</f>
        <v>48</v>
      </c>
      <c r="W94" s="240"/>
      <c r="X94" s="61" t="str">
        <f>IF(L94="","",VLOOKUP($L94,classifications!$C:$J,6,FALSE))</f>
        <v xml:space="preserve">Largely Rural (rural including hub towns 50-79%) </v>
      </c>
      <c r="Y94" s="49" t="str">
        <f t="shared" si="32"/>
        <v/>
      </c>
      <c r="Z94" s="57" t="str">
        <f>IF(Y94="","",IF(I$8="A",(RANK(Y94,Y$11:Y$363,1)+COUNTIF(Y$11:Y94,Y94)-1),(RANK(Y94,Y$11:Y$363)+COUNTIF(Y$11:Y94,Y94)-1)))</f>
        <v/>
      </c>
      <c r="AA94" s="245" t="str">
        <f>IF(L94="","",VLOOKUP($L94,classifications!C:I,7,FALSE))</f>
        <v>Predominantly Rural</v>
      </c>
      <c r="AB94" s="239">
        <f t="shared" si="37"/>
        <v>18</v>
      </c>
      <c r="AC94" s="239">
        <f>IF(AB94="","",IF($I$8="A",(RANK(AB94,AB$11:AB$363)+COUNTIF(AB$11:AB94,AB94)-1),(RANK(AB94,AB$11:AB$363,1)+COUNTIF(AB$11:AB94,AB94)-1)))</f>
        <v>38</v>
      </c>
      <c r="AD94" s="239"/>
      <c r="AE94" s="51" t="str">
        <f t="shared" si="25"/>
        <v/>
      </c>
      <c r="AG94" s="143"/>
      <c r="AH94" s="52"/>
      <c r="AI94" s="61" t="str">
        <f>IF(L94="","",VLOOKUP($L94,classifications!$C:$J,8,FALSE))</f>
        <v>Cambridgeshire</v>
      </c>
      <c r="AJ94" s="62" t="str">
        <f t="shared" si="33"/>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East of England</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21</v>
      </c>
      <c r="AY94" s="156"/>
      <c r="AZ94" s="44"/>
    </row>
    <row r="95" spans="1:52">
      <c r="A95" s="84" t="str">
        <f>$D$1&amp;85</f>
        <v>SD85</v>
      </c>
      <c r="B95" s="85" t="str">
        <f>IF(ISERROR(VLOOKUP(A95,classifications!A:C,3,FALSE)),0,VLOOKUP(A95,classifications!A:C,3,FALSE))</f>
        <v>Vale of White Horse</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Forest of Dean</v>
      </c>
      <c r="M95" s="153">
        <f t="shared" si="34"/>
        <v>18</v>
      </c>
      <c r="N95" s="148">
        <f t="shared" si="35"/>
        <v>18</v>
      </c>
      <c r="O95" s="131" t="str">
        <f t="shared" si="30"/>
        <v/>
      </c>
      <c r="P95" s="131">
        <f t="shared" si="44"/>
        <v>18</v>
      </c>
      <c r="Q95" s="131" t="str">
        <f t="shared" si="45"/>
        <v/>
      </c>
      <c r="R95" s="127" t="str">
        <f t="shared" si="46"/>
        <v/>
      </c>
      <c r="S95" s="60" t="str">
        <f t="shared" si="36"/>
        <v/>
      </c>
      <c r="T95" s="231" t="str">
        <f>IF(L95="","",VLOOKUP(L95,classifications!C:K,9,FALSE))</f>
        <v>Sparse</v>
      </c>
      <c r="U95" s="238">
        <f t="shared" si="31"/>
        <v>18</v>
      </c>
      <c r="V95" s="239">
        <f>IF(U95="","",IF($I$8="A",(RANK(U95,U$11:U$363)+COUNTIF(U$11:U95,U95)-1),(RANK(U95,U$11:U$363,1)+COUNTIF(U$11:U95,U95)-1)))</f>
        <v>49</v>
      </c>
      <c r="W95" s="240"/>
      <c r="X95" s="61" t="str">
        <f>IF(L95="","",VLOOKUP($L95,classifications!$C:$J,6,FALSE))</f>
        <v xml:space="preserve">Mainly Rural (rural including hub towns &gt;=80%) </v>
      </c>
      <c r="Y95" s="49">
        <f t="shared" si="32"/>
        <v>18</v>
      </c>
      <c r="Z95" s="57">
        <f>IF(Y95="","",IF(I$8="A",(RANK(Y95,Y$11:Y$363,1)+COUNTIF(Y$11:Y95,Y95)-1),(RANK(Y95,Y$11:Y$363)+COUNTIF(Y$11:Y95,Y95)-1)))</f>
        <v>19</v>
      </c>
      <c r="AA95" s="245" t="str">
        <f>IF(L95="","",VLOOKUP($L95,classifications!C:I,7,FALSE))</f>
        <v>Predominantly Rural</v>
      </c>
      <c r="AB95" s="239">
        <f t="shared" si="37"/>
        <v>18</v>
      </c>
      <c r="AC95" s="239">
        <f>IF(AB95="","",IF($I$8="A",(RANK(AB95,AB$11:AB$363)+COUNTIF(AB$11:AB95,AB95)-1),(RANK(AB95,AB$11:AB$363,1)+COUNTIF(AB$11:AB95,AB95)-1)))</f>
        <v>39</v>
      </c>
      <c r="AD95" s="239"/>
      <c r="AE95" s="51" t="str">
        <f t="shared" si="25"/>
        <v/>
      </c>
      <c r="AG95" s="143"/>
      <c r="AH95" s="52"/>
      <c r="AI95" s="61" t="str">
        <f>IF(L95="","",VLOOKUP($L95,classifications!$C:$J,8,FALSE))</f>
        <v>Gloucestershire</v>
      </c>
      <c r="AJ95" s="62" t="str">
        <f t="shared" si="33"/>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South West</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Waveney</v>
      </c>
      <c r="C96" s="31" t="s">
        <v>51</v>
      </c>
      <c r="D96" s="49" t="str">
        <f>VLOOKUP($C96,classifications!$C:$J,4,FALSE)</f>
        <v>SD</v>
      </c>
      <c r="E96" s="49" t="str">
        <f>VLOOKUP(C96,classifications!C:K,9,FALSE)</f>
        <v>Sparse</v>
      </c>
      <c r="F96" s="59">
        <f t="shared" si="27"/>
        <v>11</v>
      </c>
      <c r="G96" s="105"/>
      <c r="H96" s="60">
        <f t="shared" si="28"/>
        <v>11</v>
      </c>
      <c r="I96" s="112">
        <f>IF(H96="","",IF($I$8="A",(RANK(H96,H$11:H$363,1)+COUNTIF(H$11:H96,H96)-1),(RANK(H96,H$11:H$363)+COUNTIF(H$11:H96,H96)-1)))</f>
        <v>10</v>
      </c>
      <c r="J96" s="58"/>
      <c r="K96" s="51">
        <f t="shared" si="43"/>
        <v>86</v>
      </c>
      <c r="L96" s="59" t="str">
        <f t="shared" si="29"/>
        <v>Gosport</v>
      </c>
      <c r="M96" s="153">
        <f t="shared" si="34"/>
        <v>18</v>
      </c>
      <c r="N96" s="148">
        <f t="shared" si="35"/>
        <v>18</v>
      </c>
      <c r="O96" s="131" t="str">
        <f t="shared" si="30"/>
        <v/>
      </c>
      <c r="P96" s="131">
        <f t="shared" si="44"/>
        <v>18</v>
      </c>
      <c r="Q96" s="131" t="str">
        <f t="shared" si="45"/>
        <v/>
      </c>
      <c r="R96" s="127" t="str">
        <f t="shared" si="46"/>
        <v/>
      </c>
      <c r="S96" s="60" t="str">
        <f t="shared" si="36"/>
        <v/>
      </c>
      <c r="T96" s="231">
        <f>IF(L96="","",VLOOKUP(L96,classifications!C:K,9,FALSE))</f>
        <v>0</v>
      </c>
      <c r="U96" s="238" t="str">
        <f t="shared" si="31"/>
        <v/>
      </c>
      <c r="V96" s="239" t="str">
        <f>IF(U96="","",IF($I$8="A",(RANK(U96,U$11:U$363)+COUNTIF(U$11:U96,U96)-1),(RANK(U96,U$11:U$363,1)+COUNTIF(U$11:U96,U96)-1)))</f>
        <v/>
      </c>
      <c r="W96" s="240"/>
      <c r="X96" s="61" t="str">
        <f>IF(L96="","",VLOOKUP($L96,classifications!$C:$J,6,FALSE))</f>
        <v>Urban with City and Town</v>
      </c>
      <c r="Y96" s="49" t="str">
        <f t="shared" si="32"/>
        <v/>
      </c>
      <c r="Z96" s="57" t="str">
        <f>IF(Y96="","",IF(I$8="A",(RANK(Y96,Y$11:Y$363,1)+COUNTIF(Y$11:Y96,Y96)-1),(RANK(Y96,Y$11:Y$363)+COUNTIF(Y$11:Y96,Y96)-1)))</f>
        <v/>
      </c>
      <c r="AA96" s="245" t="str">
        <f>IF(L96="","",VLOOKUP($L96,classifications!C:I,7,FALSE))</f>
        <v>Predominantly Urban</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Hampshire</v>
      </c>
      <c r="AJ96" s="62" t="str">
        <f t="shared" si="33"/>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South East</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11</v>
      </c>
      <c r="AY96" s="156"/>
      <c r="AZ96" s="44"/>
    </row>
    <row r="97" spans="1:52">
      <c r="A97" s="84" t="str">
        <f>$D$1&amp;87</f>
        <v>SD87</v>
      </c>
      <c r="B97" s="85" t="str">
        <f>IF(ISERROR(VLOOKUP(A97,classifications!A:C,3,FALSE)),0,VLOOKUP(A97,classifications!A:C,3,FALSE))</f>
        <v>Wealden</v>
      </c>
      <c r="C97" s="31" t="s">
        <v>231</v>
      </c>
      <c r="D97" s="49" t="str">
        <f>VLOOKUP($C97,classifications!$C:$J,4,FALSE)</f>
        <v>MD</v>
      </c>
      <c r="E97" s="49">
        <f>VLOOKUP(C97,classifications!C:K,9,FALSE)</f>
        <v>0</v>
      </c>
      <c r="F97" s="59">
        <f t="shared" si="27"/>
        <v>16</v>
      </c>
      <c r="G97" s="105"/>
      <c r="H97" s="60" t="str">
        <f t="shared" si="28"/>
        <v/>
      </c>
      <c r="I97" s="112" t="str">
        <f>IF(H97="","",IF($I$8="A",(RANK(H97,H$11:H$363,1)+COUNTIF(H$11:H97,H97)-1),(RANK(H97,H$11:H$363)+COUNTIF(H$11:H97,H97)-1)))</f>
        <v/>
      </c>
      <c r="J97" s="58"/>
      <c r="K97" s="51">
        <f t="shared" si="43"/>
        <v>87</v>
      </c>
      <c r="L97" s="59" t="str">
        <f t="shared" si="29"/>
        <v>Kettering</v>
      </c>
      <c r="M97" s="153">
        <f t="shared" si="34"/>
        <v>18</v>
      </c>
      <c r="N97" s="148">
        <f t="shared" si="35"/>
        <v>18</v>
      </c>
      <c r="O97" s="131" t="str">
        <f t="shared" si="30"/>
        <v/>
      </c>
      <c r="P97" s="131">
        <f t="shared" si="44"/>
        <v>18</v>
      </c>
      <c r="Q97" s="131" t="str">
        <f t="shared" si="45"/>
        <v/>
      </c>
      <c r="R97" s="127" t="str">
        <f t="shared" si="46"/>
        <v/>
      </c>
      <c r="S97" s="60" t="str">
        <f t="shared" si="36"/>
        <v/>
      </c>
      <c r="T97" s="231">
        <f>IF(L97="","",VLOOKUP(L97,classifications!C:K,9,FALSE))</f>
        <v>0</v>
      </c>
      <c r="U97" s="238" t="str">
        <f t="shared" si="31"/>
        <v/>
      </c>
      <c r="V97" s="239" t="str">
        <f>IF(U97="","",IF($I$8="A",(RANK(U97,U$11:U$363)+COUNTIF(U$11:U97,U97)-1),(RANK(U97,U$11:U$363,1)+COUNTIF(U$11:U97,U97)-1)))</f>
        <v/>
      </c>
      <c r="W97" s="240"/>
      <c r="X97" s="61" t="str">
        <f>IF(L97="","",VLOOKUP($L97,classifications!$C:$J,6,FALSE))</f>
        <v>Urban with City and Town</v>
      </c>
      <c r="Y97" s="49" t="str">
        <f t="shared" si="32"/>
        <v/>
      </c>
      <c r="Z97" s="57" t="str">
        <f>IF(Y97="","",IF(I$8="A",(RANK(Y97,Y$11:Y$363,1)+COUNTIF(Y$11:Y97,Y97)-1),(RANK(Y97,Y$11:Y$363)+COUNTIF(Y$11:Y97,Y97)-1)))</f>
        <v/>
      </c>
      <c r="AA97" s="245" t="str">
        <f>IF(L97="","",VLOOKUP($L97,classifications!C:I,7,FALSE))</f>
        <v>Predominantly Urban</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Northamptonshire</v>
      </c>
      <c r="AJ97" s="62" t="str">
        <f t="shared" si="33"/>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East Midlands</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16</v>
      </c>
      <c r="AY97" s="156"/>
      <c r="AZ97" s="44"/>
    </row>
    <row r="98" spans="1:52">
      <c r="A98" s="84" t="str">
        <f>$D$1&amp;88</f>
        <v>SD88</v>
      </c>
      <c r="B98" s="85" t="str">
        <f>IF(ISERROR(VLOOKUP(A98,classifications!A:C,3,FALSE)),0,VLOOKUP(A98,classifications!A:C,3,FALSE))</f>
        <v>West Devon</v>
      </c>
      <c r="C98" s="31" t="s">
        <v>203</v>
      </c>
      <c r="D98" s="49" t="str">
        <f>VLOOKUP($C98,classifications!$C:$J,4,FALSE)</f>
        <v>L</v>
      </c>
      <c r="E98" s="49">
        <f>VLOOKUP(C98,classifications!C:K,9,FALSE)</f>
        <v>0</v>
      </c>
      <c r="F98" s="59">
        <f t="shared" si="27"/>
        <v>16</v>
      </c>
      <c r="G98" s="105"/>
      <c r="H98" s="60" t="str">
        <f t="shared" si="28"/>
        <v/>
      </c>
      <c r="I98" s="112" t="str">
        <f>IF(H98="","",IF($I$8="A",(RANK(H98,H$11:H$363,1)+COUNTIF(H$11:H98,H98)-1),(RANK(H98,H$11:H$363)+COUNTIF(H$11:H98,H98)-1)))</f>
        <v/>
      </c>
      <c r="J98" s="58"/>
      <c r="K98" s="51">
        <f t="shared" si="43"/>
        <v>88</v>
      </c>
      <c r="L98" s="59" t="str">
        <f t="shared" si="29"/>
        <v>Shepway</v>
      </c>
      <c r="M98" s="153">
        <f t="shared" si="34"/>
        <v>18</v>
      </c>
      <c r="N98" s="148">
        <f t="shared" si="35"/>
        <v>18</v>
      </c>
      <c r="O98" s="131" t="str">
        <f t="shared" si="30"/>
        <v/>
      </c>
      <c r="P98" s="131">
        <f t="shared" si="44"/>
        <v>18</v>
      </c>
      <c r="Q98" s="131" t="str">
        <f t="shared" si="45"/>
        <v/>
      </c>
      <c r="R98" s="127" t="str">
        <f t="shared" si="46"/>
        <v/>
      </c>
      <c r="S98" s="60" t="str">
        <f t="shared" si="36"/>
        <v/>
      </c>
      <c r="T98" s="231" t="str">
        <f>IF(L98="","",VLOOKUP(L98,classifications!C:K,9,FALSE))</f>
        <v>Sparse</v>
      </c>
      <c r="U98" s="238">
        <f t="shared" si="31"/>
        <v>18</v>
      </c>
      <c r="V98" s="239">
        <f>IF(U98="","",IF($I$8="A",(RANK(U98,U$11:U$363)+COUNTIF(U$11:U98,U98)-1),(RANK(U98,U$11:U$363,1)+COUNTIF(U$11:U98,U98)-1)))</f>
        <v>50</v>
      </c>
      <c r="W98" s="240"/>
      <c r="X98" s="61" t="str">
        <f>IF(L98="","",VLOOKUP($L98,classifications!$C:$J,6,FALSE))</f>
        <v>Urban with Significant Rural (rural including hub towns 26-49%)</v>
      </c>
      <c r="Y98" s="49" t="str">
        <f t="shared" si="32"/>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Kent</v>
      </c>
      <c r="AJ98" s="62" t="str">
        <f t="shared" si="33"/>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South East</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16</v>
      </c>
      <c r="AY98" s="156"/>
      <c r="AZ98" s="44"/>
    </row>
    <row r="99" spans="1:52">
      <c r="A99" s="84" t="str">
        <f>$D$1&amp;89</f>
        <v>SD89</v>
      </c>
      <c r="B99" s="85" t="str">
        <f>IF(ISERROR(VLOOKUP(A99,classifications!A:C,3,FALSE)),0,VLOOKUP(A99,classifications!A:C,3,FALSE))</f>
        <v>West Dorset</v>
      </c>
      <c r="C99" s="31" t="s">
        <v>52</v>
      </c>
      <c r="D99" s="49" t="str">
        <f>VLOOKUP($C99,classifications!$C:$J,4,FALSE)</f>
        <v>SD</v>
      </c>
      <c r="E99" s="49" t="str">
        <f>VLOOKUP(C99,classifications!C:K,9,FALSE)</f>
        <v>Sparse</v>
      </c>
      <c r="F99" s="59">
        <f t="shared" si="27"/>
        <v>17</v>
      </c>
      <c r="G99" s="105"/>
      <c r="H99" s="60">
        <f t="shared" si="28"/>
        <v>17</v>
      </c>
      <c r="I99" s="112">
        <f>IF(H99="","",IF($I$8="A",(RANK(H99,H$11:H$363,1)+COUNTIF(H$11:H99,H99)-1),(RANK(H99,H$11:H$363)+COUNTIF(H$11:H99,H99)-1)))</f>
        <v>76</v>
      </c>
      <c r="J99" s="58"/>
      <c r="K99" s="51">
        <f t="shared" si="43"/>
        <v>89</v>
      </c>
      <c r="L99" s="59" t="str">
        <f t="shared" si="29"/>
        <v>South Cambridgeshire</v>
      </c>
      <c r="M99" s="153">
        <f t="shared" si="34"/>
        <v>18</v>
      </c>
      <c r="N99" s="148">
        <f t="shared" si="35"/>
        <v>18</v>
      </c>
      <c r="O99" s="131" t="str">
        <f t="shared" si="30"/>
        <v/>
      </c>
      <c r="P99" s="131">
        <f t="shared" si="44"/>
        <v>18</v>
      </c>
      <c r="Q99" s="131" t="str">
        <f t="shared" si="45"/>
        <v/>
      </c>
      <c r="R99" s="127" t="str">
        <f t="shared" si="46"/>
        <v/>
      </c>
      <c r="S99" s="60" t="str">
        <f t="shared" si="36"/>
        <v/>
      </c>
      <c r="T99" s="231" t="str">
        <f>IF(L99="","",VLOOKUP(L99,classifications!C:K,9,FALSE))</f>
        <v>Sparse</v>
      </c>
      <c r="U99" s="238">
        <f t="shared" si="31"/>
        <v>18</v>
      </c>
      <c r="V99" s="239">
        <f>IF(U99="","",IF($I$8="A",(RANK(U99,U$11:U$363)+COUNTIF(U$11:U99,U99)-1),(RANK(U99,U$11:U$363,1)+COUNTIF(U$11:U99,U99)-1)))</f>
        <v>51</v>
      </c>
      <c r="W99" s="240"/>
      <c r="X99" s="61" t="str">
        <f>IF(L99="","",VLOOKUP($L99,classifications!$C:$J,6,FALSE))</f>
        <v xml:space="preserve">Largely Rural (rural including hub towns 50-79%) </v>
      </c>
      <c r="Y99" s="49" t="str">
        <f t="shared" si="32"/>
        <v/>
      </c>
      <c r="Z99" s="57" t="str">
        <f>IF(Y99="","",IF(I$8="A",(RANK(Y99,Y$11:Y$363,1)+COUNTIF(Y$11:Y99,Y99)-1),(RANK(Y99,Y$11:Y$363)+COUNTIF(Y$11:Y99,Y99)-1)))</f>
        <v/>
      </c>
      <c r="AA99" s="245" t="str">
        <f>IF(L99="","",VLOOKUP($L99,classifications!C:I,7,FALSE))</f>
        <v>Predominantly Rural</v>
      </c>
      <c r="AB99" s="239">
        <f t="shared" si="37"/>
        <v>18</v>
      </c>
      <c r="AC99" s="239">
        <f>IF(AB99="","",IF($I$8="A",(RANK(AB99,AB$11:AB$363)+COUNTIF(AB$11:AB99,AB99)-1),(RANK(AB99,AB$11:AB$363,1)+COUNTIF(AB$11:AB99,AB99)-1)))</f>
        <v>40</v>
      </c>
      <c r="AD99" s="239"/>
      <c r="AE99" s="51" t="str">
        <f t="shared" ref="AE99:AE162" si="50">IF(AE98="","",IF(AE98+1&gt;(COUNT(AG:AG)),"",AE98+1))</f>
        <v/>
      </c>
      <c r="AG99" s="143"/>
      <c r="AH99" s="52"/>
      <c r="AI99" s="61" t="str">
        <f>IF(L99="","",VLOOKUP($L99,classifications!$C:$J,8,FALSE))</f>
        <v>Cambridgeshire</v>
      </c>
      <c r="AJ99" s="62" t="str">
        <f t="shared" si="33"/>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East of England</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17</v>
      </c>
      <c r="AY99" s="156"/>
      <c r="AZ99" s="44"/>
    </row>
    <row r="100" spans="1:52">
      <c r="A100" s="84" t="str">
        <f>$D$1&amp;90</f>
        <v>SD90</v>
      </c>
      <c r="B100" s="85" t="str">
        <f>IF(ISERROR(VLOOKUP(A100,classifications!A:C,3,FALSE)),0,VLOOKUP(A100,classifications!A:C,3,FALSE))</f>
        <v>West Lindsey</v>
      </c>
      <c r="C100" s="31" t="s">
        <v>53</v>
      </c>
      <c r="D100" s="49" t="str">
        <f>VLOOKUP($C100,classifications!$C:$J,4,FALSE)</f>
        <v>SD</v>
      </c>
      <c r="E100" s="49" t="str">
        <f>VLOOKUP(C100,classifications!C:K,9,FALSE)</f>
        <v>Sparse</v>
      </c>
      <c r="F100" s="59">
        <f t="shared" si="27"/>
        <v>12</v>
      </c>
      <c r="G100" s="105"/>
      <c r="H100" s="60">
        <f t="shared" si="28"/>
        <v>12</v>
      </c>
      <c r="I100" s="112">
        <f>IF(H100="","",IF($I$8="A",(RANK(H100,H$11:H$363,1)+COUNTIF(H$11:H100,H100)-1),(RANK(H100,H$11:H$363)+COUNTIF(H$11:H100,H100)-1)))</f>
        <v>17</v>
      </c>
      <c r="J100" s="58"/>
      <c r="K100" s="51">
        <f t="shared" si="43"/>
        <v>90</v>
      </c>
      <c r="L100" s="59" t="str">
        <f t="shared" si="29"/>
        <v>Taunton Deane</v>
      </c>
      <c r="M100" s="153">
        <f t="shared" si="34"/>
        <v>18</v>
      </c>
      <c r="N100" s="148">
        <f t="shared" si="35"/>
        <v>18</v>
      </c>
      <c r="O100" s="131" t="str">
        <f t="shared" si="30"/>
        <v/>
      </c>
      <c r="P100" s="131">
        <f t="shared" si="44"/>
        <v>18</v>
      </c>
      <c r="Q100" s="131" t="str">
        <f t="shared" si="45"/>
        <v/>
      </c>
      <c r="R100" s="127" t="str">
        <f t="shared" si="46"/>
        <v/>
      </c>
      <c r="S100" s="60" t="str">
        <f t="shared" si="36"/>
        <v/>
      </c>
      <c r="T100" s="231" t="str">
        <f>IF(L100="","",VLOOKUP(L100,classifications!C:K,9,FALSE))</f>
        <v>Sparse</v>
      </c>
      <c r="U100" s="238">
        <f t="shared" si="31"/>
        <v>18</v>
      </c>
      <c r="V100" s="239">
        <f>IF(U100="","",IF($I$8="A",(RANK(U100,U$11:U$363)+COUNTIF(U$11:U100,U100)-1),(RANK(U100,U$11:U$363,1)+COUNTIF(U$11:U100,U100)-1)))</f>
        <v>52</v>
      </c>
      <c r="W100" s="240"/>
      <c r="X100" s="61" t="str">
        <f>IF(L100="","",VLOOKUP($L100,classifications!$C:$J,6,FALSE))</f>
        <v>Urban with Significant Rural (rural including hub towns 26-49%)</v>
      </c>
      <c r="Y100" s="49" t="str">
        <f t="shared" si="32"/>
        <v/>
      </c>
      <c r="Z100" s="57" t="str">
        <f>IF(Y100="","",IF(I$8="A",(RANK(Y100,Y$11:Y$363,1)+COUNTIF(Y$11:Y100,Y100)-1),(RANK(Y100,Y$11:Y$363)+COUNTIF(Y$11:Y100,Y100)-1)))</f>
        <v/>
      </c>
      <c r="AA100" s="245" t="str">
        <f>IF(L100="","",VLOOKUP($L100,classifications!C:I,7,FALSE))</f>
        <v>Significant Rural</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Somerset</v>
      </c>
      <c r="AJ100" s="62" t="str">
        <f t="shared" si="33"/>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South West</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12</v>
      </c>
      <c r="AY100" s="156"/>
      <c r="AZ100" s="44"/>
    </row>
    <row r="101" spans="1:52">
      <c r="A101" s="84" t="str">
        <f>$D$1&amp;91</f>
        <v>SD91</v>
      </c>
      <c r="B101" s="85" t="str">
        <f>IF(ISERROR(VLOOKUP(A101,classifications!A:C,3,FALSE)),0,VLOOKUP(A101,classifications!A:C,3,FALSE))</f>
        <v>West Oxfordshire</v>
      </c>
      <c r="C101" s="31" t="s">
        <v>54</v>
      </c>
      <c r="D101" s="49" t="str">
        <f>VLOOKUP($C101,classifications!$C:$J,4,FALSE)</f>
        <v>SD</v>
      </c>
      <c r="E101" s="49">
        <f>VLOOKUP(C101,classifications!C:K,9,FALSE)</f>
        <v>0</v>
      </c>
      <c r="F101" s="59">
        <f t="shared" si="27"/>
        <v>20</v>
      </c>
      <c r="G101" s="105"/>
      <c r="H101" s="60">
        <f t="shared" si="28"/>
        <v>20</v>
      </c>
      <c r="I101" s="112">
        <f>IF(H101="","",IF($I$8="A",(RANK(H101,H$11:H$363,1)+COUNTIF(H$11:H101,H101)-1),(RANK(H101,H$11:H$363)+COUNTIF(H$11:H101,H101)-1)))</f>
        <v>110</v>
      </c>
      <c r="J101" s="58"/>
      <c r="K101" s="51">
        <f t="shared" si="43"/>
        <v>91</v>
      </c>
      <c r="L101" s="59" t="str">
        <f t="shared" si="29"/>
        <v>West Dorset</v>
      </c>
      <c r="M101" s="153">
        <f t="shared" si="34"/>
        <v>18</v>
      </c>
      <c r="N101" s="148">
        <f t="shared" si="35"/>
        <v>18</v>
      </c>
      <c r="O101" s="131" t="str">
        <f t="shared" si="30"/>
        <v/>
      </c>
      <c r="P101" s="131">
        <f t="shared" si="44"/>
        <v>18</v>
      </c>
      <c r="Q101" s="131" t="str">
        <f t="shared" si="45"/>
        <v/>
      </c>
      <c r="R101" s="127" t="str">
        <f t="shared" si="46"/>
        <v/>
      </c>
      <c r="S101" s="60" t="str">
        <f t="shared" si="36"/>
        <v/>
      </c>
      <c r="T101" s="231" t="str">
        <f>IF(L101="","",VLOOKUP(L101,classifications!C:K,9,FALSE))</f>
        <v>Sparse</v>
      </c>
      <c r="U101" s="238">
        <f t="shared" si="31"/>
        <v>18</v>
      </c>
      <c r="V101" s="239">
        <f>IF(U101="","",IF($I$8="A",(RANK(U101,U$11:U$363)+COUNTIF(U$11:U101,U101)-1),(RANK(U101,U$11:U$363,1)+COUNTIF(U$11:U101,U101)-1)))</f>
        <v>53</v>
      </c>
      <c r="W101" s="240"/>
      <c r="X101" s="61" t="str">
        <f>IF(L101="","",VLOOKUP($L101,classifications!$C:$J,6,FALSE))</f>
        <v xml:space="preserve">Mainly Rural (rural including hub towns &gt;=80%) </v>
      </c>
      <c r="Y101" s="49">
        <f t="shared" si="32"/>
        <v>18</v>
      </c>
      <c r="Z101" s="57">
        <f>IF(Y101="","",IF(I$8="A",(RANK(Y101,Y$11:Y$363,1)+COUNTIF(Y$11:Y101,Y101)-1),(RANK(Y101,Y$11:Y$363)+COUNTIF(Y$11:Y101,Y101)-1)))</f>
        <v>20</v>
      </c>
      <c r="AA101" s="245" t="str">
        <f>IF(L101="","",VLOOKUP($L101,classifications!C:I,7,FALSE))</f>
        <v>Predominantly Rural</v>
      </c>
      <c r="AB101" s="239">
        <f t="shared" si="37"/>
        <v>18</v>
      </c>
      <c r="AC101" s="239">
        <f>IF(AB101="","",IF($I$8="A",(RANK(AB101,AB$11:AB$363)+COUNTIF(AB$11:AB101,AB101)-1),(RANK(AB101,AB$11:AB$363,1)+COUNTIF(AB$11:AB101,AB101)-1)))</f>
        <v>41</v>
      </c>
      <c r="AD101" s="239"/>
      <c r="AE101" s="51" t="str">
        <f t="shared" si="50"/>
        <v/>
      </c>
      <c r="AG101" s="143"/>
      <c r="AH101" s="52"/>
      <c r="AI101" s="61" t="str">
        <f>IF(L101="","",VLOOKUP($L101,classifications!$C:$J,8,FALSE))</f>
        <v>Dorset</v>
      </c>
      <c r="AJ101" s="62" t="str">
        <f t="shared" si="33"/>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South West</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20</v>
      </c>
      <c r="AY101" s="156"/>
      <c r="AZ101" s="44"/>
    </row>
    <row r="102" spans="1:52">
      <c r="A102" s="84" t="str">
        <f>$D$1&amp;92</f>
        <v>SD92</v>
      </c>
      <c r="B102" s="85" t="str">
        <f>IF(ISERROR(VLOOKUP(A102,classifications!A:C,3,FALSE)),0,VLOOKUP(A102,classifications!A:C,3,FALSE))</f>
        <v>West Somerset</v>
      </c>
      <c r="C102" s="31" t="s">
        <v>55</v>
      </c>
      <c r="D102" s="49" t="str">
        <f>VLOOKUP($C102,classifications!$C:$J,4,FALSE)</f>
        <v>SD</v>
      </c>
      <c r="E102" s="49" t="str">
        <f>VLOOKUP(C102,classifications!C:K,9,FALSE)</f>
        <v>Sparse</v>
      </c>
      <c r="F102" s="59">
        <f t="shared" si="27"/>
        <v>19</v>
      </c>
      <c r="G102" s="105"/>
      <c r="H102" s="60">
        <f t="shared" si="28"/>
        <v>19</v>
      </c>
      <c r="I102" s="112">
        <f>IF(H102="","",IF($I$8="A",(RANK(H102,H$11:H$363,1)+COUNTIF(H$11:H102,H102)-1),(RANK(H102,H$11:H$363)+COUNTIF(H$11:H102,H102)-1)))</f>
        <v>97</v>
      </c>
      <c r="J102" s="58"/>
      <c r="K102" s="51">
        <f t="shared" si="43"/>
        <v>92</v>
      </c>
      <c r="L102" s="59" t="str">
        <f t="shared" si="29"/>
        <v>West Lindsey</v>
      </c>
      <c r="M102" s="153">
        <f t="shared" si="34"/>
        <v>18</v>
      </c>
      <c r="N102" s="148">
        <f t="shared" si="35"/>
        <v>18</v>
      </c>
      <c r="O102" s="131" t="str">
        <f t="shared" si="30"/>
        <v/>
      </c>
      <c r="P102" s="131">
        <f t="shared" si="44"/>
        <v>18</v>
      </c>
      <c r="Q102" s="131" t="str">
        <f t="shared" si="45"/>
        <v/>
      </c>
      <c r="R102" s="127" t="str">
        <f t="shared" si="46"/>
        <v/>
      </c>
      <c r="S102" s="60" t="str">
        <f t="shared" si="36"/>
        <v/>
      </c>
      <c r="T102" s="231" t="str">
        <f>IF(L102="","",VLOOKUP(L102,classifications!C:K,9,FALSE))</f>
        <v>Sparse</v>
      </c>
      <c r="U102" s="238">
        <f t="shared" si="31"/>
        <v>18</v>
      </c>
      <c r="V102" s="239">
        <f>IF(U102="","",IF($I$8="A",(RANK(U102,U$11:U$363)+COUNTIF(U$11:U102,U102)-1),(RANK(U102,U$11:U$363,1)+COUNTIF(U$11:U102,U102)-1)))</f>
        <v>54</v>
      </c>
      <c r="W102" s="240"/>
      <c r="X102" s="61" t="str">
        <f>IF(L102="","",VLOOKUP($L102,classifications!$C:$J,6,FALSE))</f>
        <v xml:space="preserve">Mainly Rural (rural including hub towns &gt;=80%) </v>
      </c>
      <c r="Y102" s="49">
        <f t="shared" si="32"/>
        <v>18</v>
      </c>
      <c r="Z102" s="57">
        <f>IF(Y102="","",IF(I$8="A",(RANK(Y102,Y$11:Y$363,1)+COUNTIF(Y$11:Y102,Y102)-1),(RANK(Y102,Y$11:Y$363)+COUNTIF(Y$11:Y102,Y102)-1)))</f>
        <v>21</v>
      </c>
      <c r="AA102" s="245" t="str">
        <f>IF(L102="","",VLOOKUP($L102,classifications!C:I,7,FALSE))</f>
        <v>Predominantly Rural</v>
      </c>
      <c r="AB102" s="239">
        <f t="shared" si="37"/>
        <v>18</v>
      </c>
      <c r="AC102" s="239">
        <f>IF(AB102="","",IF($I$8="A",(RANK(AB102,AB$11:AB$363)+COUNTIF(AB$11:AB102,AB102)-1),(RANK(AB102,AB$11:AB$363,1)+COUNTIF(AB$11:AB102,AB102)-1)))</f>
        <v>42</v>
      </c>
      <c r="AD102" s="239"/>
      <c r="AE102" s="51" t="str">
        <f t="shared" si="50"/>
        <v/>
      </c>
      <c r="AG102" s="143"/>
      <c r="AH102" s="52"/>
      <c r="AI102" s="61" t="str">
        <f>IF(L102="","",VLOOKUP($L102,classifications!$C:$J,8,FALSE))</f>
        <v>Lincolnshire</v>
      </c>
      <c r="AJ102" s="62" t="str">
        <f t="shared" si="33"/>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East Midlands</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19</v>
      </c>
      <c r="AY102" s="156"/>
      <c r="AZ102" s="44"/>
    </row>
    <row r="103" spans="1:52">
      <c r="A103" s="84" t="str">
        <f>$D$1&amp;93</f>
        <v>SD93</v>
      </c>
      <c r="B103" s="85" t="str">
        <f>IF(ISERROR(VLOOKUP(A103,classifications!A:C,3,FALSE)),0,VLOOKUP(A103,classifications!A:C,3,FALSE))</f>
        <v>Winchester</v>
      </c>
      <c r="C103" s="31" t="s">
        <v>56</v>
      </c>
      <c r="D103" s="49" t="str">
        <f>VLOOKUP($C103,classifications!$C:$J,4,FALSE)</f>
        <v>SD</v>
      </c>
      <c r="E103" s="49" t="str">
        <f>VLOOKUP(C103,classifications!C:K,9,FALSE)</f>
        <v>Sparse</v>
      </c>
      <c r="F103" s="59">
        <f t="shared" si="27"/>
        <v>28</v>
      </c>
      <c r="G103" s="105"/>
      <c r="H103" s="60">
        <f t="shared" si="28"/>
        <v>28</v>
      </c>
      <c r="I103" s="112">
        <f>IF(H103="","",IF($I$8="A",(RANK(H103,H$11:H$363,1)+COUNTIF(H$11:H103,H103)-1),(RANK(H103,H$11:H$363)+COUNTIF(H$11:H103,H103)-1)))</f>
        <v>188</v>
      </c>
      <c r="J103" s="58"/>
      <c r="K103" s="51">
        <f t="shared" si="43"/>
        <v>93</v>
      </c>
      <c r="L103" s="59" t="str">
        <f t="shared" si="29"/>
        <v>Winchester</v>
      </c>
      <c r="M103" s="153">
        <f t="shared" si="34"/>
        <v>18</v>
      </c>
      <c r="N103" s="148">
        <f t="shared" si="35"/>
        <v>18</v>
      </c>
      <c r="O103" s="131" t="str">
        <f t="shared" si="30"/>
        <v/>
      </c>
      <c r="P103" s="131">
        <f t="shared" si="44"/>
        <v>18</v>
      </c>
      <c r="Q103" s="131" t="str">
        <f t="shared" si="45"/>
        <v/>
      </c>
      <c r="R103" s="127" t="str">
        <f t="shared" si="46"/>
        <v/>
      </c>
      <c r="S103" s="60" t="str">
        <f t="shared" si="36"/>
        <v/>
      </c>
      <c r="T103" s="231" t="str">
        <f>IF(L103="","",VLOOKUP(L103,classifications!C:K,9,FALSE))</f>
        <v>Sparse</v>
      </c>
      <c r="U103" s="238">
        <f t="shared" si="31"/>
        <v>18</v>
      </c>
      <c r="V103" s="239">
        <f>IF(U103="","",IF($I$8="A",(RANK(U103,U$11:U$363)+COUNTIF(U$11:U103,U103)-1),(RANK(U103,U$11:U$363,1)+COUNTIF(U$11:U103,U103)-1)))</f>
        <v>55</v>
      </c>
      <c r="W103" s="240"/>
      <c r="X103" s="61" t="str">
        <f>IF(L103="","",VLOOKUP($L103,classifications!$C:$J,6,FALSE))</f>
        <v xml:space="preserve">Largely Rural (rural including hub towns 50-79%) </v>
      </c>
      <c r="Y103" s="49" t="str">
        <f t="shared" si="32"/>
        <v/>
      </c>
      <c r="Z103" s="57" t="str">
        <f>IF(Y103="","",IF(I$8="A",(RANK(Y103,Y$11:Y$363,1)+COUNTIF(Y$11:Y103,Y103)-1),(RANK(Y103,Y$11:Y$363)+COUNTIF(Y$11:Y103,Y103)-1)))</f>
        <v/>
      </c>
      <c r="AA103" s="245" t="str">
        <f>IF(L103="","",VLOOKUP($L103,classifications!C:I,7,FALSE))</f>
        <v>Predominantly Rural</v>
      </c>
      <c r="AB103" s="239">
        <f t="shared" si="37"/>
        <v>18</v>
      </c>
      <c r="AC103" s="239">
        <f>IF(AB103="","",IF($I$8="A",(RANK(AB103,AB$11:AB$363)+COUNTIF(AB$11:AB103,AB103)-1),(RANK(AB103,AB$11:AB$363,1)+COUNTIF(AB$11:AB103,AB103)-1)))</f>
        <v>43</v>
      </c>
      <c r="AD103" s="239"/>
      <c r="AE103" s="51" t="str">
        <f t="shared" si="50"/>
        <v/>
      </c>
      <c r="AG103" s="143"/>
      <c r="AH103" s="52"/>
      <c r="AI103" s="61" t="str">
        <f>IF(L103="","",VLOOKUP($L103,classifications!$C:$J,8,FALSE))</f>
        <v>Hampshire</v>
      </c>
      <c r="AJ103" s="62" t="str">
        <f t="shared" si="33"/>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South East</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28</v>
      </c>
      <c r="AY103" s="156"/>
      <c r="AZ103" s="44"/>
    </row>
    <row r="104" spans="1:52">
      <c r="A104" s="84" t="str">
        <f>$D$1&amp;94</f>
        <v>SD94</v>
      </c>
      <c r="B104" s="85" t="str">
        <f>IF(ISERROR(VLOOKUP(A104,classifications!A:C,3,FALSE)),0,VLOOKUP(A104,classifications!A:C,3,FALSE))</f>
        <v>Wychavon</v>
      </c>
      <c r="C104" s="31" t="s">
        <v>57</v>
      </c>
      <c r="D104" s="49" t="str">
        <f>VLOOKUP($C104,classifications!$C:$J,4,FALSE)</f>
        <v>SD</v>
      </c>
      <c r="E104" s="49" t="str">
        <f>VLOOKUP(C104,classifications!C:K,9,FALSE)</f>
        <v>Sparse</v>
      </c>
      <c r="F104" s="59">
        <f t="shared" si="27"/>
        <v>18</v>
      </c>
      <c r="G104" s="105"/>
      <c r="H104" s="60">
        <f t="shared" si="28"/>
        <v>18</v>
      </c>
      <c r="I104" s="112">
        <f>IF(H104="","",IF($I$8="A",(RANK(H104,H$11:H$363,1)+COUNTIF(H$11:H104,H104)-1),(RANK(H104,H$11:H$363)+COUNTIF(H$11:H104,H104)-1)))</f>
        <v>81</v>
      </c>
      <c r="J104" s="58"/>
      <c r="K104" s="51">
        <f t="shared" si="43"/>
        <v>94</v>
      </c>
      <c r="L104" s="59" t="str">
        <f t="shared" si="29"/>
        <v>Wyre</v>
      </c>
      <c r="M104" s="153">
        <f t="shared" si="34"/>
        <v>18</v>
      </c>
      <c r="N104" s="148">
        <f t="shared" si="35"/>
        <v>18</v>
      </c>
      <c r="O104" s="131" t="str">
        <f t="shared" si="30"/>
        <v/>
      </c>
      <c r="P104" s="131">
        <f t="shared" si="44"/>
        <v>18</v>
      </c>
      <c r="Q104" s="131" t="str">
        <f t="shared" si="45"/>
        <v/>
      </c>
      <c r="R104" s="127" t="str">
        <f t="shared" si="46"/>
        <v/>
      </c>
      <c r="S104" s="60" t="str">
        <f t="shared" si="36"/>
        <v/>
      </c>
      <c r="T104" s="231">
        <f>IF(L104="","",VLOOKUP(L104,classifications!C:K,9,FALSE))</f>
        <v>0</v>
      </c>
      <c r="U104" s="238" t="str">
        <f t="shared" si="31"/>
        <v/>
      </c>
      <c r="V104" s="239" t="str">
        <f>IF(U104="","",IF($I$8="A",(RANK(U104,U$11:U$363)+COUNTIF(U$11:U104,U104)-1),(RANK(U104,U$11:U$363,1)+COUNTIF(U$11:U104,U104)-1)))</f>
        <v/>
      </c>
      <c r="W104" s="240"/>
      <c r="X104" s="61" t="str">
        <f>IF(L104="","",VLOOKUP($L104,classifications!$C:$J,6,FALSE))</f>
        <v xml:space="preserve">Largely Rural (rural including hub towns 50-79%) </v>
      </c>
      <c r="Y104" s="49" t="str">
        <f t="shared" si="32"/>
        <v/>
      </c>
      <c r="Z104" s="57" t="str">
        <f>IF(Y104="","",IF(I$8="A",(RANK(Y104,Y$11:Y$363,1)+COUNTIF(Y$11:Y104,Y104)-1),(RANK(Y104,Y$11:Y$363)+COUNTIF(Y$11:Y104,Y104)-1)))</f>
        <v/>
      </c>
      <c r="AA104" s="245" t="str">
        <f>IF(L104="","",VLOOKUP($L104,classifications!C:I,7,FALSE))</f>
        <v>Predominantly Rural</v>
      </c>
      <c r="AB104" s="239">
        <f t="shared" si="37"/>
        <v>18</v>
      </c>
      <c r="AC104" s="239">
        <f>IF(AB104="","",IF($I$8="A",(RANK(AB104,AB$11:AB$363)+COUNTIF(AB$11:AB104,AB104)-1),(RANK(AB104,AB$11:AB$363,1)+COUNTIF(AB$11:AB104,AB104)-1)))</f>
        <v>44</v>
      </c>
      <c r="AD104" s="239"/>
      <c r="AE104" s="51" t="str">
        <f t="shared" si="50"/>
        <v/>
      </c>
      <c r="AG104" s="143"/>
      <c r="AH104" s="52"/>
      <c r="AI104" s="61" t="str">
        <f>IF(L104="","",VLOOKUP($L104,classifications!$C:$J,8,FALSE))</f>
        <v>Lancashire</v>
      </c>
      <c r="AJ104" s="62" t="str">
        <f t="shared" si="33"/>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North West</v>
      </c>
      <c r="AQ104" s="62">
        <f t="shared" si="39"/>
        <v>18</v>
      </c>
      <c r="AR104" s="57">
        <f>IF(AQ104="","",IF(I$8="A",(RANK(AQ104,AQ$11:AQ$363,1)+COUNTIF(AQ$11:AQ104,AQ104)-1),(RANK(AQ104,AQ$11:AQ$363)+COUNTIF(AQ$11:AQ104,AQ104)-1)))</f>
        <v>3</v>
      </c>
      <c r="AS104" s="52" t="str">
        <f t="shared" si="40"/>
        <v/>
      </c>
      <c r="AT104" s="57" t="str">
        <f t="shared" si="41"/>
        <v/>
      </c>
      <c r="AU104" s="62" t="str">
        <f t="shared" si="48"/>
        <v/>
      </c>
      <c r="AX104" s="44">
        <f>HLOOKUP($AX$9&amp;$AX$10,Data!$A$1:$ZZ$2000,(MATCH($C104,Data!$A$1:$A$2000,0)),FALSE)</f>
        <v>18</v>
      </c>
      <c r="AY104" s="156"/>
      <c r="AZ104" s="44"/>
    </row>
    <row r="105" spans="1:52">
      <c r="A105" s="84" t="str">
        <f>$D$1&amp;95</f>
        <v>SD95</v>
      </c>
      <c r="B105" s="85" t="str">
        <f>IF(ISERROR(VLOOKUP(A105,classifications!A:C,3,FALSE)),0,VLOOKUP(A105,classifications!A:C,3,FALSE))</f>
        <v>Wyre Forest</v>
      </c>
      <c r="C105" s="31" t="s">
        <v>58</v>
      </c>
      <c r="D105" s="49" t="str">
        <f>VLOOKUP($C105,classifications!$C:$J,4,FALSE)</f>
        <v>SD</v>
      </c>
      <c r="E105" s="49" t="str">
        <f>VLOOKUP(C105,classifications!C:K,9,FALSE)</f>
        <v>Sparse</v>
      </c>
      <c r="F105" s="59">
        <f t="shared" si="27"/>
        <v>18</v>
      </c>
      <c r="G105" s="105"/>
      <c r="H105" s="60">
        <f t="shared" si="28"/>
        <v>18</v>
      </c>
      <c r="I105" s="112">
        <f>IF(H105="","",IF($I$8="A",(RANK(H105,H$11:H$363,1)+COUNTIF(H$11:H105,H105)-1),(RANK(H105,H$11:H$363)+COUNTIF(H$11:H105,H105)-1)))</f>
        <v>82</v>
      </c>
      <c r="J105" s="58"/>
      <c r="K105" s="51">
        <f t="shared" si="43"/>
        <v>95</v>
      </c>
      <c r="L105" s="59" t="str">
        <f t="shared" si="29"/>
        <v>Arun</v>
      </c>
      <c r="M105" s="153">
        <f t="shared" si="34"/>
        <v>19</v>
      </c>
      <c r="N105" s="148">
        <f t="shared" si="35"/>
        <v>19</v>
      </c>
      <c r="O105" s="131" t="str">
        <f t="shared" si="30"/>
        <v/>
      </c>
      <c r="P105" s="131">
        <f t="shared" si="44"/>
        <v>19</v>
      </c>
      <c r="Q105" s="131" t="str">
        <f t="shared" si="45"/>
        <v/>
      </c>
      <c r="R105" s="127" t="str">
        <f t="shared" si="46"/>
        <v/>
      </c>
      <c r="S105" s="60" t="str">
        <f t="shared" si="36"/>
        <v/>
      </c>
      <c r="T105" s="231">
        <f>IF(L105="","",VLOOKUP(L105,classifications!C:K,9,FALSE))</f>
        <v>0</v>
      </c>
      <c r="U105" s="238" t="str">
        <f t="shared" si="31"/>
        <v/>
      </c>
      <c r="V105" s="239" t="str">
        <f>IF(U105="","",IF($I$8="A",(RANK(U105,U$11:U$363)+COUNTIF(U$11:U105,U105)-1),(RANK(U105,U$11:U$363,1)+COUNTIF(U$11:U105,U105)-1)))</f>
        <v/>
      </c>
      <c r="W105" s="240"/>
      <c r="X105" s="61" t="str">
        <f>IF(L105="","",VLOOKUP($L105,classifications!$C:$J,6,FALSE))</f>
        <v>Urban with City and Town</v>
      </c>
      <c r="Y105" s="49" t="str">
        <f t="shared" si="32"/>
        <v/>
      </c>
      <c r="Z105" s="57" t="str">
        <f>IF(Y105="","",IF(I$8="A",(RANK(Y105,Y$11:Y$363,1)+COUNTIF(Y$11:Y105,Y105)-1),(RANK(Y105,Y$11:Y$363)+COUNTIF(Y$11:Y105,Y105)-1)))</f>
        <v/>
      </c>
      <c r="AA105" s="245" t="str">
        <f>IF(L105="","",VLOOKUP($L105,classifications!C:I,7,FALSE))</f>
        <v>Predominantly Urban</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West Sussex</v>
      </c>
      <c r="AJ105" s="62" t="str">
        <f t="shared" si="33"/>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South East</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18</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14</v>
      </c>
      <c r="G106" s="105"/>
      <c r="H106" s="60" t="str">
        <f t="shared" si="28"/>
        <v/>
      </c>
      <c r="I106" s="112" t="str">
        <f>IF(H106="","",IF($I$8="A",(RANK(H106,H$11:H$363,1)+COUNTIF(H$11:H106,H106)-1),(RANK(H106,H$11:H$363)+COUNTIF(H$11:H106,H106)-1)))</f>
        <v/>
      </c>
      <c r="J106" s="58"/>
      <c r="K106" s="51">
        <f t="shared" si="43"/>
        <v>96</v>
      </c>
      <c r="L106" s="59" t="str">
        <f t="shared" si="29"/>
        <v>Broxtowe</v>
      </c>
      <c r="M106" s="153">
        <f t="shared" si="34"/>
        <v>19</v>
      </c>
      <c r="N106" s="148">
        <f t="shared" si="35"/>
        <v>19</v>
      </c>
      <c r="O106" s="131" t="str">
        <f t="shared" si="30"/>
        <v/>
      </c>
      <c r="P106" s="131">
        <f t="shared" si="44"/>
        <v>19</v>
      </c>
      <c r="Q106" s="131" t="str">
        <f t="shared" si="45"/>
        <v/>
      </c>
      <c r="R106" s="127" t="str">
        <f t="shared" si="46"/>
        <v/>
      </c>
      <c r="S106" s="60" t="str">
        <f t="shared" si="36"/>
        <v/>
      </c>
      <c r="T106" s="231">
        <f>IF(L106="","",VLOOKUP(L106,classifications!C:K,9,FALSE))</f>
        <v>0</v>
      </c>
      <c r="U106" s="238" t="str">
        <f t="shared" si="31"/>
        <v/>
      </c>
      <c r="V106" s="239" t="str">
        <f>IF(U106="","",IF($I$8="A",(RANK(U106,U$11:U$363)+COUNTIF(U$11:U106,U106)-1),(RANK(U106,U$11:U$363,1)+COUNTIF(U$11:U106,U106)-1)))</f>
        <v/>
      </c>
      <c r="W106" s="240"/>
      <c r="X106" s="61" t="str">
        <f>IF(L106="","",VLOOKUP($L106,classifications!$C:$J,6,FALSE))</f>
        <v>Urban with Minor Conurbation</v>
      </c>
      <c r="Y106" s="49" t="str">
        <f t="shared" si="32"/>
        <v/>
      </c>
      <c r="Z106" s="57" t="str">
        <f>IF(Y106="","",IF(I$8="A",(RANK(Y106,Y$11:Y$363,1)+COUNTIF(Y$11:Y106,Y106)-1),(RANK(Y106,Y$11:Y$363)+COUNTIF(Y$11:Y106,Y106)-1)))</f>
        <v/>
      </c>
      <c r="AA106" s="245" t="str">
        <f>IF(L106="","",VLOOKUP($L106,classifications!C:I,7,FALSE))</f>
        <v>Predominantly Urban</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Nottinghamshire</v>
      </c>
      <c r="AJ106" s="62" t="str">
        <f t="shared" si="33"/>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East Midlands</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14</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28</v>
      </c>
      <c r="G107" s="105"/>
      <c r="H107" s="60">
        <f t="shared" si="28"/>
        <v>28</v>
      </c>
      <c r="I107" s="112">
        <f>IF(H107="","",IF($I$8="A",(RANK(H107,H$11:H$363,1)+COUNTIF(H$11:H107,H107)-1),(RANK(H107,H$11:H$363)+COUNTIF(H$11:H107,H107)-1)))</f>
        <v>189</v>
      </c>
      <c r="J107" s="58"/>
      <c r="K107" s="51">
        <f t="shared" si="43"/>
        <v>97</v>
      </c>
      <c r="L107" s="59" t="str">
        <f t="shared" si="29"/>
        <v>East Hampshire</v>
      </c>
      <c r="M107" s="153">
        <f t="shared" si="34"/>
        <v>19</v>
      </c>
      <c r="N107" s="148">
        <f t="shared" si="35"/>
        <v>19</v>
      </c>
      <c r="O107" s="131" t="str">
        <f t="shared" si="30"/>
        <v/>
      </c>
      <c r="P107" s="131">
        <f t="shared" si="44"/>
        <v>19</v>
      </c>
      <c r="Q107" s="131" t="str">
        <f t="shared" si="45"/>
        <v/>
      </c>
      <c r="R107" s="127" t="str">
        <f t="shared" si="46"/>
        <v/>
      </c>
      <c r="S107" s="60" t="str">
        <f t="shared" si="36"/>
        <v/>
      </c>
      <c r="T107" s="231" t="str">
        <f>IF(L107="","",VLOOKUP(L107,classifications!C:K,9,FALSE))</f>
        <v>Sparse</v>
      </c>
      <c r="U107" s="238">
        <f t="shared" si="31"/>
        <v>19</v>
      </c>
      <c r="V107" s="239">
        <f>IF(U107="","",IF($I$8="A",(RANK(U107,U$11:U$363)+COUNTIF(U$11:U107,U107)-1),(RANK(U107,U$11:U$363,1)+COUNTIF(U$11:U107,U107)-1)))</f>
        <v>42</v>
      </c>
      <c r="W107" s="240"/>
      <c r="X107" s="61" t="str">
        <f>IF(L107="","",VLOOKUP($L107,classifications!$C:$J,6,FALSE))</f>
        <v xml:space="preserve">Mainly Rural (rural including hub towns &gt;=80%) </v>
      </c>
      <c r="Y107" s="49">
        <f t="shared" si="32"/>
        <v>19</v>
      </c>
      <c r="Z107" s="57">
        <f>IF(Y107="","",IF(I$8="A",(RANK(Y107,Y$11:Y$363,1)+COUNTIF(Y$11:Y107,Y107)-1),(RANK(Y107,Y$11:Y$363)+COUNTIF(Y$11:Y107,Y107)-1)))</f>
        <v>22</v>
      </c>
      <c r="AA107" s="245" t="str">
        <f>IF(L107="","",VLOOKUP($L107,classifications!C:I,7,FALSE))</f>
        <v>Predominantly Rural</v>
      </c>
      <c r="AB107" s="239">
        <f t="shared" si="37"/>
        <v>19</v>
      </c>
      <c r="AC107" s="239">
        <f>IF(AB107="","",IF($I$8="A",(RANK(AB107,AB$11:AB$363)+COUNTIF(AB$11:AB107,AB107)-1),(RANK(AB107,AB$11:AB$363,1)+COUNTIF(AB$11:AB107,AB107)-1)))</f>
        <v>32</v>
      </c>
      <c r="AD107" s="239"/>
      <c r="AE107" s="51" t="str">
        <f t="shared" si="50"/>
        <v/>
      </c>
      <c r="AG107" s="143"/>
      <c r="AH107" s="52"/>
      <c r="AI107" s="61" t="str">
        <f>IF(L107="","",VLOOKUP($L107,classifications!$C:$J,8,FALSE))</f>
        <v>Hampshire</v>
      </c>
      <c r="AJ107" s="62" t="str">
        <f t="shared" si="33"/>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South East</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28</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Eden</v>
      </c>
      <c r="M108" s="153">
        <f t="shared" si="34"/>
        <v>19</v>
      </c>
      <c r="N108" s="148">
        <f t="shared" si="35"/>
        <v>19</v>
      </c>
      <c r="O108" s="131" t="str">
        <f t="shared" si="30"/>
        <v/>
      </c>
      <c r="P108" s="131">
        <f t="shared" si="44"/>
        <v>19</v>
      </c>
      <c r="Q108" s="131" t="str">
        <f t="shared" si="45"/>
        <v/>
      </c>
      <c r="R108" s="127" t="str">
        <f t="shared" si="46"/>
        <v/>
      </c>
      <c r="S108" s="60" t="str">
        <f t="shared" si="36"/>
        <v/>
      </c>
      <c r="T108" s="231" t="str">
        <f>IF(L108="","",VLOOKUP(L108,classifications!C:K,9,FALSE))</f>
        <v>Sparse</v>
      </c>
      <c r="U108" s="238">
        <f t="shared" si="31"/>
        <v>19</v>
      </c>
      <c r="V108" s="239">
        <f>IF(U108="","",IF($I$8="A",(RANK(U108,U$11:U$363)+COUNTIF(U$11:U108,U108)-1),(RANK(U108,U$11:U$363,1)+COUNTIF(U$11:U108,U108)-1)))</f>
        <v>43</v>
      </c>
      <c r="W108" s="240"/>
      <c r="X108" s="61" t="str">
        <f>IF(L108="","",VLOOKUP($L108,classifications!$C:$J,6,FALSE))</f>
        <v xml:space="preserve">Mainly Rural (rural including hub towns &gt;=80%) </v>
      </c>
      <c r="Y108" s="49">
        <f t="shared" si="32"/>
        <v>19</v>
      </c>
      <c r="Z108" s="57">
        <f>IF(Y108="","",IF(I$8="A",(RANK(Y108,Y$11:Y$363,1)+COUNTIF(Y$11:Y108,Y108)-1),(RANK(Y108,Y$11:Y$363)+COUNTIF(Y$11:Y108,Y108)-1)))</f>
        <v>23</v>
      </c>
      <c r="AA108" s="245" t="str">
        <f>IF(L108="","",VLOOKUP($L108,classifications!C:I,7,FALSE))</f>
        <v>Predominantly Rural</v>
      </c>
      <c r="AB108" s="239">
        <f t="shared" si="37"/>
        <v>19</v>
      </c>
      <c r="AC108" s="239">
        <f>IF(AB108="","",IF($I$8="A",(RANK(AB108,AB$11:AB$363)+COUNTIF(AB$11:AB108,AB108)-1),(RANK(AB108,AB$11:AB$363,1)+COUNTIF(AB$11:AB108,AB108)-1)))</f>
        <v>33</v>
      </c>
      <c r="AD108" s="239"/>
      <c r="AE108" s="51" t="str">
        <f t="shared" si="50"/>
        <v/>
      </c>
      <c r="AG108" s="143"/>
      <c r="AH108" s="52"/>
      <c r="AI108" s="61" t="str">
        <f>IF(L108="","",VLOOKUP($L108,classifications!$C:$J,8,FALSE))</f>
        <v>Cumbria</v>
      </c>
      <c r="AJ108" s="62">
        <f t="shared" si="33"/>
        <v>19</v>
      </c>
      <c r="AK108" s="57">
        <f>IF(AJ108="","",IF(I$8="A",(RANK(AJ108,AJ$11:AJ$363,1)+COUNTIF(AJ$11:AJ108,AJ108)-1),(RANK(AJ108,AJ$11:AJ$363)+COUNTIF(AJ$11:AJ108,AJ108)-1)))</f>
        <v>2</v>
      </c>
      <c r="AL108" s="52" t="str">
        <f t="shared" si="47"/>
        <v/>
      </c>
      <c r="AM108" s="31" t="str">
        <f t="shared" si="49"/>
        <v/>
      </c>
      <c r="AN108" s="31" t="str">
        <f t="shared" si="38"/>
        <v/>
      </c>
      <c r="AP108" s="61" t="str">
        <f>IF(L108="","",VLOOKUP($L108,classifications!$C:$E,3,FALSE))</f>
        <v>North West</v>
      </c>
      <c r="AQ108" s="62">
        <f t="shared" si="39"/>
        <v>19</v>
      </c>
      <c r="AR108" s="57">
        <f>IF(AQ108="","",IF(I$8="A",(RANK(AQ108,AQ$11:AQ$363,1)+COUNTIF(AQ$11:AQ108,AQ108)-1),(RANK(AQ108,AQ$11:AQ$363)+COUNTIF(AQ$11:AQ108,AQ108)-1)))</f>
        <v>4</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26</v>
      </c>
      <c r="G109" s="105"/>
      <c r="H109" s="60">
        <f t="shared" si="28"/>
        <v>26</v>
      </c>
      <c r="I109" s="112">
        <f>IF(H109="","",IF($I$8="A",(RANK(H109,H$11:H$363,1)+COUNTIF(H$11:H109,H109)-1),(RANK(H109,H$11:H$363)+COUNTIF(H$11:H109,H109)-1)))</f>
        <v>177</v>
      </c>
      <c r="J109" s="58"/>
      <c r="K109" s="51">
        <f t="shared" si="43"/>
        <v>99</v>
      </c>
      <c r="L109" s="59" t="str">
        <f t="shared" si="29"/>
        <v>Hertsmere</v>
      </c>
      <c r="M109" s="153">
        <f t="shared" si="34"/>
        <v>19</v>
      </c>
      <c r="N109" s="148">
        <f t="shared" si="35"/>
        <v>19</v>
      </c>
      <c r="O109" s="131" t="str">
        <f t="shared" si="30"/>
        <v/>
      </c>
      <c r="P109" s="131">
        <f t="shared" si="44"/>
        <v>19</v>
      </c>
      <c r="Q109" s="131" t="str">
        <f t="shared" si="45"/>
        <v/>
      </c>
      <c r="R109" s="127" t="str">
        <f t="shared" si="46"/>
        <v/>
      </c>
      <c r="S109" s="60" t="str">
        <f t="shared" si="36"/>
        <v/>
      </c>
      <c r="T109" s="231">
        <f>IF(L109="","",VLOOKUP(L109,classifications!C:K,9,FALSE))</f>
        <v>0</v>
      </c>
      <c r="U109" s="238" t="str">
        <f t="shared" si="31"/>
        <v/>
      </c>
      <c r="V109" s="239" t="str">
        <f>IF(U109="","",IF($I$8="A",(RANK(U109,U$11:U$363)+COUNTIF(U$11:U109,U109)-1),(RANK(U109,U$11:U$363,1)+COUNTIF(U$11:U109,U109)-1)))</f>
        <v/>
      </c>
      <c r="W109" s="240"/>
      <c r="X109" s="61" t="str">
        <f>IF(L109="","",VLOOKUP($L109,classifications!$C:$J,6,FALSE))</f>
        <v>Urban with Major Conurbation</v>
      </c>
      <c r="Y109" s="49" t="str">
        <f t="shared" si="32"/>
        <v/>
      </c>
      <c r="Z109" s="57" t="str">
        <f>IF(Y109="","",IF(I$8="A",(RANK(Y109,Y$11:Y$363,1)+COUNTIF(Y$11:Y109,Y109)-1),(RANK(Y109,Y$11:Y$363)+COUNTIF(Y$11:Y109,Y109)-1)))</f>
        <v/>
      </c>
      <c r="AA109" s="245" t="str">
        <f>IF(L109="","",VLOOKUP($L109,classifications!C:I,7,FALSE))</f>
        <v>Predominantly Urban</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Hertfordshire</v>
      </c>
      <c r="AJ109" s="62" t="str">
        <f t="shared" si="33"/>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East of England</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26</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18</v>
      </c>
      <c r="G110" s="105"/>
      <c r="H110" s="60">
        <f t="shared" si="28"/>
        <v>18</v>
      </c>
      <c r="I110" s="112">
        <f>IF(H110="","",IF($I$8="A",(RANK(H110,H$11:H$363,1)+COUNTIF(H$11:H110,H110)-1),(RANK(H110,H$11:H$363)+COUNTIF(H$11:H110,H110)-1)))</f>
        <v>83</v>
      </c>
      <c r="J110" s="58"/>
      <c r="K110" s="51">
        <f t="shared" si="43"/>
        <v>100</v>
      </c>
      <c r="L110" s="59" t="str">
        <f t="shared" si="29"/>
        <v>Horsham</v>
      </c>
      <c r="M110" s="153">
        <f t="shared" si="34"/>
        <v>19</v>
      </c>
      <c r="N110" s="148">
        <f t="shared" si="35"/>
        <v>19</v>
      </c>
      <c r="O110" s="131" t="str">
        <f t="shared" si="30"/>
        <v/>
      </c>
      <c r="P110" s="131">
        <f t="shared" si="44"/>
        <v>19</v>
      </c>
      <c r="Q110" s="131" t="str">
        <f t="shared" si="45"/>
        <v/>
      </c>
      <c r="R110" s="127" t="str">
        <f t="shared" si="46"/>
        <v/>
      </c>
      <c r="S110" s="60" t="str">
        <f t="shared" si="36"/>
        <v/>
      </c>
      <c r="T110" s="231" t="str">
        <f>IF(L110="","",VLOOKUP(L110,classifications!C:K,9,FALSE))</f>
        <v>Sparse</v>
      </c>
      <c r="U110" s="238">
        <f t="shared" si="31"/>
        <v>19</v>
      </c>
      <c r="V110" s="239">
        <f>IF(U110="","",IF($I$8="A",(RANK(U110,U$11:U$363)+COUNTIF(U$11:U110,U110)-1),(RANK(U110,U$11:U$363,1)+COUNTIF(U$11:U110,U110)-1)))</f>
        <v>44</v>
      </c>
      <c r="W110" s="240"/>
      <c r="X110" s="61" t="str">
        <f>IF(L110="","",VLOOKUP($L110,classifications!$C:$J,6,FALSE))</f>
        <v xml:space="preserve">Largely Rural (rural including hub towns 50-79%) </v>
      </c>
      <c r="Y110" s="49" t="str">
        <f t="shared" si="32"/>
        <v/>
      </c>
      <c r="Z110" s="57" t="str">
        <f>IF(Y110="","",IF(I$8="A",(RANK(Y110,Y$11:Y$363,1)+COUNTIF(Y$11:Y110,Y110)-1),(RANK(Y110,Y$11:Y$363)+COUNTIF(Y$11:Y110,Y110)-1)))</f>
        <v/>
      </c>
      <c r="AA110" s="245" t="str">
        <f>IF(L110="","",VLOOKUP($L110,classifications!C:I,7,FALSE))</f>
        <v>Predominantly Rural</v>
      </c>
      <c r="AB110" s="239">
        <f t="shared" si="37"/>
        <v>19</v>
      </c>
      <c r="AC110" s="239">
        <f>IF(AB110="","",IF($I$8="A",(RANK(AB110,AB$11:AB$363)+COUNTIF(AB$11:AB110,AB110)-1),(RANK(AB110,AB$11:AB$363,1)+COUNTIF(AB$11:AB110,AB110)-1)))</f>
        <v>34</v>
      </c>
      <c r="AD110" s="239"/>
      <c r="AE110" s="51" t="str">
        <f t="shared" si="50"/>
        <v/>
      </c>
      <c r="AG110" s="143"/>
      <c r="AH110" s="52"/>
      <c r="AI110" s="61" t="str">
        <f>IF(L110="","",VLOOKUP($L110,classifications!$C:$J,8,FALSE))</f>
        <v>West Sussex</v>
      </c>
      <c r="AJ110" s="62" t="str">
        <f t="shared" si="33"/>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South East</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18</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19</v>
      </c>
      <c r="G111" s="105"/>
      <c r="H111" s="60">
        <f t="shared" si="28"/>
        <v>19</v>
      </c>
      <c r="I111" s="112">
        <f>IF(H111="","",IF($I$8="A",(RANK(H111,H$11:H$363,1)+COUNTIF(H$11:H111,H111)-1),(RANK(H111,H$11:H$363)+COUNTIF(H$11:H111,H111)-1)))</f>
        <v>98</v>
      </c>
      <c r="J111" s="58"/>
      <c r="K111" s="51">
        <f t="shared" si="43"/>
        <v>101</v>
      </c>
      <c r="L111" s="59" t="str">
        <f t="shared" si="29"/>
        <v>Ribble Valley</v>
      </c>
      <c r="M111" s="153">
        <f t="shared" si="34"/>
        <v>19</v>
      </c>
      <c r="N111" s="148">
        <f t="shared" si="35"/>
        <v>19</v>
      </c>
      <c r="O111" s="131" t="str">
        <f t="shared" si="30"/>
        <v/>
      </c>
      <c r="P111" s="131">
        <f t="shared" si="44"/>
        <v>19</v>
      </c>
      <c r="Q111" s="131" t="str">
        <f t="shared" si="45"/>
        <v/>
      </c>
      <c r="R111" s="127" t="str">
        <f t="shared" si="46"/>
        <v/>
      </c>
      <c r="S111" s="60" t="str">
        <f t="shared" si="36"/>
        <v/>
      </c>
      <c r="T111" s="231" t="str">
        <f>IF(L111="","",VLOOKUP(L111,classifications!C:K,9,FALSE))</f>
        <v>Sparse</v>
      </c>
      <c r="U111" s="238">
        <f t="shared" si="31"/>
        <v>19</v>
      </c>
      <c r="V111" s="239">
        <f>IF(U111="","",IF($I$8="A",(RANK(U111,U$11:U$363)+COUNTIF(U$11:U111,U111)-1),(RANK(U111,U$11:U$363,1)+COUNTIF(U$11:U111,U111)-1)))</f>
        <v>45</v>
      </c>
      <c r="W111" s="240"/>
      <c r="X111" s="61" t="str">
        <f>IF(L111="","",VLOOKUP($L111,classifications!$C:$J,6,FALSE))</f>
        <v xml:space="preserve">Mainly Rural (rural including hub towns &gt;=80%) </v>
      </c>
      <c r="Y111" s="49">
        <f t="shared" si="32"/>
        <v>19</v>
      </c>
      <c r="Z111" s="57">
        <f>IF(Y111="","",IF(I$8="A",(RANK(Y111,Y$11:Y$363,1)+COUNTIF(Y$11:Y111,Y111)-1),(RANK(Y111,Y$11:Y$363)+COUNTIF(Y$11:Y111,Y111)-1)))</f>
        <v>24</v>
      </c>
      <c r="AA111" s="245" t="str">
        <f>IF(L111="","",VLOOKUP($L111,classifications!C:I,7,FALSE))</f>
        <v>Predominantly Rural</v>
      </c>
      <c r="AB111" s="239">
        <f t="shared" si="37"/>
        <v>19</v>
      </c>
      <c r="AC111" s="239">
        <f>IF(AB111="","",IF($I$8="A",(RANK(AB111,AB$11:AB$363)+COUNTIF(AB$11:AB111,AB111)-1),(RANK(AB111,AB$11:AB$363,1)+COUNTIF(AB$11:AB111,AB111)-1)))</f>
        <v>35</v>
      </c>
      <c r="AD111" s="239"/>
      <c r="AE111" s="51" t="str">
        <f t="shared" si="50"/>
        <v/>
      </c>
      <c r="AG111" s="143"/>
      <c r="AH111" s="52"/>
      <c r="AI111" s="61" t="str">
        <f>IF(L111="","",VLOOKUP($L111,classifications!$C:$J,8,FALSE))</f>
        <v>Lancashire</v>
      </c>
      <c r="AJ111" s="62" t="str">
        <f t="shared" si="33"/>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North West</v>
      </c>
      <c r="AQ111" s="62">
        <f t="shared" si="39"/>
        <v>19</v>
      </c>
      <c r="AR111" s="57">
        <f>IF(AQ111="","",IF(I$8="A",(RANK(AQ111,AQ$11:AQ$363,1)+COUNTIF(AQ$11:AQ111,AQ111)-1),(RANK(AQ111,AQ$11:AQ$363)+COUNTIF(AQ$11:AQ111,AQ111)-1)))</f>
        <v>5</v>
      </c>
      <c r="AS111" s="52" t="str">
        <f t="shared" si="40"/>
        <v/>
      </c>
      <c r="AT111" s="57" t="str">
        <f t="shared" si="41"/>
        <v/>
      </c>
      <c r="AU111" s="62" t="str">
        <f t="shared" si="48"/>
        <v/>
      </c>
      <c r="AX111" s="44">
        <f>HLOOKUP($AX$9&amp;$AX$10,Data!$A$1:$ZZ$2000,(MATCH($C111,Data!$A$1:$A$2000,0)),FALSE)</f>
        <v>19</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9</v>
      </c>
      <c r="G112" s="105"/>
      <c r="H112" s="60">
        <f t="shared" si="28"/>
        <v>9</v>
      </c>
      <c r="I112" s="112">
        <f>IF(H112="","",IF($I$8="A",(RANK(H112,H$11:H$363,1)+COUNTIF(H$11:H112,H112)-1),(RANK(H112,H$11:H$363)+COUNTIF(H$11:H112,H112)-1)))</f>
        <v>6</v>
      </c>
      <c r="J112" s="58"/>
      <c r="K112" s="51">
        <f t="shared" si="43"/>
        <v>102</v>
      </c>
      <c r="L112" s="59" t="str">
        <f t="shared" si="29"/>
        <v>Three Rivers</v>
      </c>
      <c r="M112" s="153">
        <f t="shared" si="34"/>
        <v>19</v>
      </c>
      <c r="N112" s="148">
        <f t="shared" si="35"/>
        <v>19</v>
      </c>
      <c r="O112" s="131" t="str">
        <f t="shared" si="30"/>
        <v/>
      </c>
      <c r="P112" s="131">
        <f t="shared" si="44"/>
        <v>19</v>
      </c>
      <c r="Q112" s="131" t="str">
        <f t="shared" si="45"/>
        <v/>
      </c>
      <c r="R112" s="127" t="str">
        <f t="shared" si="46"/>
        <v/>
      </c>
      <c r="S112" s="60" t="str">
        <f t="shared" si="36"/>
        <v/>
      </c>
      <c r="T112" s="231">
        <f>IF(L112="","",VLOOKUP(L112,classifications!C:K,9,FALSE))</f>
        <v>0</v>
      </c>
      <c r="U112" s="238" t="str">
        <f t="shared" si="31"/>
        <v/>
      </c>
      <c r="V112" s="239" t="str">
        <f>IF(U112="","",IF($I$8="A",(RANK(U112,U$11:U$363)+COUNTIF(U$11:U112,U112)-1),(RANK(U112,U$11:U$363,1)+COUNTIF(U$11:U112,U112)-1)))</f>
        <v/>
      </c>
      <c r="W112" s="240"/>
      <c r="X112" s="61" t="str">
        <f>IF(L112="","",VLOOKUP($L112,classifications!$C:$J,6,FALSE))</f>
        <v>Urban with Major Conurbation</v>
      </c>
      <c r="Y112" s="49" t="str">
        <f t="shared" si="32"/>
        <v/>
      </c>
      <c r="Z112" s="57" t="str">
        <f>IF(Y112="","",IF(I$8="A",(RANK(Y112,Y$11:Y$363,1)+COUNTIF(Y$11:Y112,Y112)-1),(RANK(Y112,Y$11:Y$363)+COUNTIF(Y$11:Y112,Y112)-1)))</f>
        <v/>
      </c>
      <c r="AA112" s="245" t="str">
        <f>IF(L112="","",VLOOKUP($L112,classifications!C:I,7,FALSE))</f>
        <v>Predominantly Urban</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Hertfordshire</v>
      </c>
      <c r="AJ112" s="62" t="str">
        <f t="shared" si="33"/>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East of England</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9</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21</v>
      </c>
      <c r="G113" s="105"/>
      <c r="H113" s="60" t="str">
        <f t="shared" si="28"/>
        <v/>
      </c>
      <c r="I113" s="112" t="str">
        <f>IF(H113="","",IF($I$8="A",(RANK(H113,H$11:H$363,1)+COUNTIF(H$11:H113,H113)-1),(RANK(H113,H$11:H$363)+COUNTIF(H$11:H113,H113)-1)))</f>
        <v/>
      </c>
      <c r="J113" s="58"/>
      <c r="K113" s="51">
        <f t="shared" si="43"/>
        <v>103</v>
      </c>
      <c r="L113" s="59" t="str">
        <f t="shared" si="29"/>
        <v>Woking</v>
      </c>
      <c r="M113" s="153">
        <f t="shared" si="34"/>
        <v>19</v>
      </c>
      <c r="N113" s="148">
        <f t="shared" si="35"/>
        <v>19</v>
      </c>
      <c r="O113" s="131" t="str">
        <f t="shared" si="30"/>
        <v/>
      </c>
      <c r="P113" s="131">
        <f t="shared" si="44"/>
        <v>19</v>
      </c>
      <c r="Q113" s="131" t="str">
        <f t="shared" si="45"/>
        <v/>
      </c>
      <c r="R113" s="127" t="str">
        <f t="shared" si="46"/>
        <v/>
      </c>
      <c r="S113" s="60" t="str">
        <f t="shared" si="36"/>
        <v/>
      </c>
      <c r="T113" s="231">
        <f>IF(L113="","",VLOOKUP(L113,classifications!C:K,9,FALSE))</f>
        <v>0</v>
      </c>
      <c r="U113" s="238" t="str">
        <f t="shared" si="31"/>
        <v/>
      </c>
      <c r="V113" s="239" t="str">
        <f>IF(U113="","",IF($I$8="A",(RANK(U113,U$11:U$363)+COUNTIF(U$11:U113,U113)-1),(RANK(U113,U$11:U$363,1)+COUNTIF(U$11:U113,U113)-1)))</f>
        <v/>
      </c>
      <c r="W113" s="240"/>
      <c r="X113" s="61" t="str">
        <f>IF(L113="","",VLOOKUP($L113,classifications!$C:$J,6,FALSE))</f>
        <v>Urban with Major Conurbation</v>
      </c>
      <c r="Y113" s="49" t="str">
        <f t="shared" si="32"/>
        <v/>
      </c>
      <c r="Z113" s="57" t="str">
        <f>IF(Y113="","",IF(I$8="A",(RANK(Y113,Y$11:Y$363,1)+COUNTIF(Y$11:Y113,Y113)-1),(RANK(Y113,Y$11:Y$363)+COUNTIF(Y$11:Y113,Y113)-1)))</f>
        <v/>
      </c>
      <c r="AA113" s="245" t="str">
        <f>IF(L113="","",VLOOKUP($L113,classifications!C:I,7,FALSE))</f>
        <v>Predominantly Urban</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Surrey</v>
      </c>
      <c r="AJ113" s="62" t="str">
        <f t="shared" si="33"/>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East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21</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21</v>
      </c>
      <c r="G114" s="105"/>
      <c r="H114" s="60">
        <f t="shared" si="28"/>
        <v>21</v>
      </c>
      <c r="I114" s="112">
        <f>IF(H114="","",IF($I$8="A",(RANK(H114,H$11:H$363,1)+COUNTIF(H$11:H114,H114)-1),(RANK(H114,H$11:H$363)+COUNTIF(H$11:H114,H114)-1)))</f>
        <v>127</v>
      </c>
      <c r="J114" s="58"/>
      <c r="K114" s="51">
        <f t="shared" si="43"/>
        <v>104</v>
      </c>
      <c r="L114" s="59" t="str">
        <f t="shared" si="29"/>
        <v>Worthing</v>
      </c>
      <c r="M114" s="153">
        <f t="shared" si="34"/>
        <v>19</v>
      </c>
      <c r="N114" s="148">
        <f t="shared" si="35"/>
        <v>19</v>
      </c>
      <c r="O114" s="131" t="str">
        <f t="shared" si="30"/>
        <v/>
      </c>
      <c r="P114" s="131">
        <f t="shared" si="44"/>
        <v>19</v>
      </c>
      <c r="Q114" s="131" t="str">
        <f t="shared" si="45"/>
        <v/>
      </c>
      <c r="R114" s="127" t="str">
        <f t="shared" si="46"/>
        <v/>
      </c>
      <c r="S114" s="60" t="str">
        <f t="shared" si="36"/>
        <v/>
      </c>
      <c r="T114" s="231">
        <f>IF(L114="","",VLOOKUP(L114,classifications!C:K,9,FALSE))</f>
        <v>0</v>
      </c>
      <c r="U114" s="238" t="str">
        <f t="shared" si="31"/>
        <v/>
      </c>
      <c r="V114" s="239" t="str">
        <f>IF(U114="","",IF($I$8="A",(RANK(U114,U$11:U$363)+COUNTIF(U$11:U114,U114)-1),(RANK(U114,U$11:U$363,1)+COUNTIF(U$11:U114,U114)-1)))</f>
        <v/>
      </c>
      <c r="W114" s="240"/>
      <c r="X114" s="61" t="str">
        <f>IF(L114="","",VLOOKUP($L114,classifications!$C:$J,6,FALSE))</f>
        <v>Urban with City and Town</v>
      </c>
      <c r="Y114" s="49" t="str">
        <f t="shared" si="32"/>
        <v/>
      </c>
      <c r="Z114" s="57" t="str">
        <f>IF(Y114="","",IF(I$8="A",(RANK(Y114,Y$11:Y$363,1)+COUNTIF(Y$11:Y114,Y114)-1),(RANK(Y114,Y$11:Y$363)+COUNTIF(Y$11:Y114,Y114)-1)))</f>
        <v/>
      </c>
      <c r="AA114" s="245" t="str">
        <f>IF(L114="","",VLOOKUP($L114,classifications!C:I,7,FALSE))</f>
        <v>Predominantly Urban</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West Sussex</v>
      </c>
      <c r="AJ114" s="62" t="str">
        <f t="shared" si="33"/>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South East</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21</v>
      </c>
      <c r="AY114" s="156"/>
      <c r="AZ114" s="44"/>
    </row>
    <row r="115" spans="1:52">
      <c r="A115" s="84" t="str">
        <f>$D$1&amp;105</f>
        <v>SD105</v>
      </c>
      <c r="B115" s="85">
        <f>IF(ISERROR(VLOOKUP(A115,classifications!A:C,3,FALSE)),0,VLOOKUP(A115,classifications!A:C,3,FALSE))</f>
        <v>0</v>
      </c>
      <c r="C115" s="31" t="s">
        <v>345</v>
      </c>
      <c r="D115" s="49" t="str">
        <f>VLOOKUP($C115,classifications!$C:$J,4,FALSE)</f>
        <v>SD</v>
      </c>
      <c r="E115" s="49">
        <f>VLOOKUP(C115,classifications!C:K,9,FALSE)</f>
        <v>0</v>
      </c>
      <c r="F115" s="59">
        <f t="shared" si="27"/>
        <v>20</v>
      </c>
      <c r="G115" s="105"/>
      <c r="H115" s="60">
        <f t="shared" si="28"/>
        <v>20</v>
      </c>
      <c r="I115" s="112">
        <f>IF(H115="","",IF($I$8="A",(RANK(H115,H$11:H$363,1)+COUNTIF(H$11:H115,H115)-1),(RANK(H115,H$11:H$363)+COUNTIF(H$11:H115,H115)-1)))</f>
        <v>111</v>
      </c>
      <c r="J115" s="58"/>
      <c r="K115" s="51">
        <f t="shared" si="43"/>
        <v>105</v>
      </c>
      <c r="L115" s="59" t="str">
        <f t="shared" si="29"/>
        <v>Ashfield</v>
      </c>
      <c r="M115" s="153">
        <f t="shared" si="34"/>
        <v>20</v>
      </c>
      <c r="N115" s="148">
        <f t="shared" si="35"/>
        <v>20</v>
      </c>
      <c r="O115" s="131" t="str">
        <f t="shared" si="30"/>
        <v/>
      </c>
      <c r="P115" s="131" t="str">
        <f t="shared" si="44"/>
        <v/>
      </c>
      <c r="Q115" s="131">
        <f t="shared" si="45"/>
        <v>20</v>
      </c>
      <c r="R115" s="127" t="str">
        <f t="shared" si="46"/>
        <v/>
      </c>
      <c r="S115" s="60" t="str">
        <f t="shared" si="36"/>
        <v/>
      </c>
      <c r="T115" s="231">
        <f>IF(L115="","",VLOOKUP(L115,classifications!C:K,9,FALSE))</f>
        <v>0</v>
      </c>
      <c r="U115" s="238" t="str">
        <f t="shared" si="31"/>
        <v/>
      </c>
      <c r="V115" s="239" t="str">
        <f>IF(U115="","",IF($I$8="A",(RANK(U115,U$11:U$363)+COUNTIF(U$11:U115,U115)-1),(RANK(U115,U$11:U$363,1)+COUNTIF(U$11:U115,U115)-1)))</f>
        <v/>
      </c>
      <c r="W115" s="240"/>
      <c r="X115" s="61" t="str">
        <f>IF(L115="","",VLOOKUP($L115,classifications!$C:$J,6,FALSE))</f>
        <v>Urban with City and Town</v>
      </c>
      <c r="Y115" s="49" t="str">
        <f t="shared" si="32"/>
        <v/>
      </c>
      <c r="Z115" s="57" t="str">
        <f>IF(Y115="","",IF(I$8="A",(RANK(Y115,Y$11:Y$363,1)+COUNTIF(Y$11:Y115,Y115)-1),(RANK(Y115,Y$11:Y$363)+COUNTIF(Y$11:Y115,Y115)-1)))</f>
        <v/>
      </c>
      <c r="AA115" s="245" t="str">
        <f>IF(L115="","",VLOOKUP($L115,classifications!C:I,7,FALSE))</f>
        <v>Predominantly Urban</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Nottinghamshire</v>
      </c>
      <c r="AJ115" s="62" t="str">
        <f t="shared" si="33"/>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East Midlands</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20</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15</v>
      </c>
      <c r="G116" s="105"/>
      <c r="H116" s="60">
        <f t="shared" si="28"/>
        <v>15</v>
      </c>
      <c r="I116" s="112">
        <f>IF(H116="","",IF($I$8="A",(RANK(H116,H$11:H$363,1)+COUNTIF(H$11:H116,H116)-1),(RANK(H116,H$11:H$363)+COUNTIF(H$11:H116,H116)-1)))</f>
        <v>37</v>
      </c>
      <c r="J116" s="58"/>
      <c r="K116" s="51">
        <f t="shared" si="43"/>
        <v>106</v>
      </c>
      <c r="L116" s="59" t="str">
        <f t="shared" si="29"/>
        <v>Ashford</v>
      </c>
      <c r="M116" s="153">
        <f t="shared" si="34"/>
        <v>20</v>
      </c>
      <c r="N116" s="148">
        <f t="shared" si="35"/>
        <v>20</v>
      </c>
      <c r="O116" s="131" t="str">
        <f t="shared" si="30"/>
        <v/>
      </c>
      <c r="P116" s="131" t="str">
        <f t="shared" si="44"/>
        <v/>
      </c>
      <c r="Q116" s="131">
        <f t="shared" si="45"/>
        <v>20</v>
      </c>
      <c r="R116" s="127" t="str">
        <f t="shared" si="46"/>
        <v/>
      </c>
      <c r="S116" s="60" t="str">
        <f t="shared" si="36"/>
        <v/>
      </c>
      <c r="T116" s="231" t="str">
        <f>IF(L116="","",VLOOKUP(L116,classifications!C:K,9,FALSE))</f>
        <v>Sparse</v>
      </c>
      <c r="U116" s="238">
        <f t="shared" si="31"/>
        <v>20</v>
      </c>
      <c r="V116" s="239">
        <f>IF(U116="","",IF($I$8="A",(RANK(U116,U$11:U$363)+COUNTIF(U$11:U116,U116)-1),(RANK(U116,U$11:U$363,1)+COUNTIF(U$11:U116,U116)-1)))</f>
        <v>35</v>
      </c>
      <c r="W116" s="240"/>
      <c r="X116" s="61" t="str">
        <f>IF(L116="","",VLOOKUP($L116,classifications!$C:$J,6,FALSE))</f>
        <v>Urban with Significant Rural (rural including hub towns 26-49%)</v>
      </c>
      <c r="Y116" s="49" t="str">
        <f t="shared" si="32"/>
        <v/>
      </c>
      <c r="Z116" s="57" t="str">
        <f>IF(Y116="","",IF(I$8="A",(RANK(Y116,Y$11:Y$363,1)+COUNTIF(Y$11:Y116,Y116)-1),(RANK(Y116,Y$11:Y$363)+COUNTIF(Y$11:Y116,Y116)-1)))</f>
        <v/>
      </c>
      <c r="AA116" s="245" t="str">
        <f>IF(L116="","",VLOOKUP($L116,classifications!C:I,7,FALSE))</f>
        <v>Significant Rural</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Kent</v>
      </c>
      <c r="AJ116" s="62" t="str">
        <f t="shared" si="33"/>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South East</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15</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Aylesbury Vale</v>
      </c>
      <c r="M117" s="153">
        <f t="shared" si="34"/>
        <v>20</v>
      </c>
      <c r="N117" s="148">
        <f t="shared" si="35"/>
        <v>20</v>
      </c>
      <c r="O117" s="131" t="str">
        <f t="shared" si="30"/>
        <v/>
      </c>
      <c r="P117" s="131" t="str">
        <f t="shared" si="44"/>
        <v/>
      </c>
      <c r="Q117" s="131">
        <f t="shared" si="45"/>
        <v>20</v>
      </c>
      <c r="R117" s="127" t="str">
        <f t="shared" si="46"/>
        <v/>
      </c>
      <c r="S117" s="60" t="str">
        <f t="shared" si="36"/>
        <v/>
      </c>
      <c r="T117" s="231" t="str">
        <f>IF(L117="","",VLOOKUP(L117,classifications!C:K,9,FALSE))</f>
        <v>Sparse</v>
      </c>
      <c r="U117" s="238">
        <f t="shared" si="31"/>
        <v>20</v>
      </c>
      <c r="V117" s="239">
        <f>IF(U117="","",IF($I$8="A",(RANK(U117,U$11:U$363)+COUNTIF(U$11:U117,U117)-1),(RANK(U117,U$11:U$363,1)+COUNTIF(U$11:U117,U117)-1)))</f>
        <v>36</v>
      </c>
      <c r="W117" s="240"/>
      <c r="X117" s="61" t="str">
        <f>IF(L117="","",VLOOKUP($L117,classifications!$C:$J,6,FALSE))</f>
        <v xml:space="preserve">Largely Rural (rural including hub towns 50-79%) </v>
      </c>
      <c r="Y117" s="49" t="str">
        <f t="shared" si="32"/>
        <v/>
      </c>
      <c r="Z117" s="57" t="str">
        <f>IF(Y117="","",IF(I$8="A",(RANK(Y117,Y$11:Y$363,1)+COUNTIF(Y$11:Y117,Y117)-1),(RANK(Y117,Y$11:Y$363)+COUNTIF(Y$11:Y117,Y117)-1)))</f>
        <v/>
      </c>
      <c r="AA117" s="245" t="str">
        <f>IF(L117="","",VLOOKUP($L117,classifications!C:I,7,FALSE))</f>
        <v>Predominantly Rural</v>
      </c>
      <c r="AB117" s="239">
        <f t="shared" si="37"/>
        <v>20</v>
      </c>
      <c r="AC117" s="239">
        <f>IF(AB117="","",IF($I$8="A",(RANK(AB117,AB$11:AB$363)+COUNTIF(AB$11:AB117,AB117)-1),(RANK(AB117,AB$11:AB$363,1)+COUNTIF(AB$11:AB117,AB117)-1)))</f>
        <v>27</v>
      </c>
      <c r="AD117" s="239"/>
      <c r="AE117" s="51" t="str">
        <f t="shared" si="50"/>
        <v/>
      </c>
      <c r="AG117" s="143"/>
      <c r="AH117" s="52"/>
      <c r="AI117" s="61" t="str">
        <f>IF(L117="","",VLOOKUP($L117,classifications!$C:$J,8,FALSE))</f>
        <v>Buckinghamshire</v>
      </c>
      <c r="AJ117" s="62" t="str">
        <f t="shared" si="33"/>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South East</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21</v>
      </c>
      <c r="G118" s="105"/>
      <c r="H118" s="60">
        <f t="shared" si="28"/>
        <v>21</v>
      </c>
      <c r="I118" s="112">
        <f>IF(H118="","",IF($I$8="A",(RANK(H118,H$11:H$363,1)+COUNTIF(H$11:H118,H118)-1),(RANK(H118,H$11:H$363)+COUNTIF(H$11:H118,H118)-1)))</f>
        <v>128</v>
      </c>
      <c r="J118" s="58"/>
      <c r="K118" s="51">
        <f t="shared" si="43"/>
        <v>108</v>
      </c>
      <c r="L118" s="59" t="str">
        <f t="shared" si="29"/>
        <v>Burnley</v>
      </c>
      <c r="M118" s="153">
        <f t="shared" si="34"/>
        <v>20</v>
      </c>
      <c r="N118" s="148">
        <f t="shared" si="35"/>
        <v>20</v>
      </c>
      <c r="O118" s="131" t="str">
        <f t="shared" si="30"/>
        <v/>
      </c>
      <c r="P118" s="131" t="str">
        <f t="shared" si="44"/>
        <v/>
      </c>
      <c r="Q118" s="131">
        <f t="shared" si="45"/>
        <v>20</v>
      </c>
      <c r="R118" s="127" t="str">
        <f t="shared" si="46"/>
        <v/>
      </c>
      <c r="S118" s="60" t="str">
        <f t="shared" si="36"/>
        <v/>
      </c>
      <c r="T118" s="231">
        <f>IF(L118="","",VLOOKUP(L118,classifications!C:K,9,FALSE))</f>
        <v>0</v>
      </c>
      <c r="U118" s="238" t="str">
        <f t="shared" si="31"/>
        <v/>
      </c>
      <c r="V118" s="239" t="str">
        <f>IF(U118="","",IF($I$8="A",(RANK(U118,U$11:U$363)+COUNTIF(U$11:U118,U118)-1),(RANK(U118,U$11:U$363,1)+COUNTIF(U$11:U118,U118)-1)))</f>
        <v/>
      </c>
      <c r="W118" s="240"/>
      <c r="X118" s="61" t="str">
        <f>IF(L118="","",VLOOKUP($L118,classifications!$C:$J,6,FALSE))</f>
        <v>Urban with City and Town</v>
      </c>
      <c r="Y118" s="49" t="str">
        <f t="shared" si="32"/>
        <v/>
      </c>
      <c r="Z118" s="57" t="str">
        <f>IF(Y118="","",IF(I$8="A",(RANK(Y118,Y$11:Y$363,1)+COUNTIF(Y$11:Y118,Y118)-1),(RANK(Y118,Y$11:Y$363)+COUNTIF(Y$11:Y118,Y118)-1)))</f>
        <v/>
      </c>
      <c r="AA118" s="245" t="str">
        <f>IF(L118="","",VLOOKUP($L118,classifications!C:I,7,FALSE))</f>
        <v>Predominantly Urban</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Lancashire</v>
      </c>
      <c r="AJ118" s="62" t="str">
        <f t="shared" si="33"/>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North West</v>
      </c>
      <c r="AQ118" s="62">
        <f t="shared" si="39"/>
        <v>20</v>
      </c>
      <c r="AR118" s="57">
        <f>IF(AQ118="","",IF(I$8="A",(RANK(AQ118,AQ$11:AQ$363,1)+COUNTIF(AQ$11:AQ118,AQ118)-1),(RANK(AQ118,AQ$11:AQ$363)+COUNTIF(AQ$11:AQ118,AQ118)-1)))</f>
        <v>6</v>
      </c>
      <c r="AS118" s="52" t="str">
        <f t="shared" si="40"/>
        <v/>
      </c>
      <c r="AT118" s="57" t="str">
        <f t="shared" si="41"/>
        <v/>
      </c>
      <c r="AU118" s="62" t="str">
        <f t="shared" si="48"/>
        <v/>
      </c>
      <c r="AX118" s="44">
        <f>HLOOKUP($AX$9&amp;$AX$10,Data!$A$1:$ZZ$2000,(MATCH($C118,Data!$A$1:$A$2000,0)),FALSE)</f>
        <v>21</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5</v>
      </c>
      <c r="G119" s="105"/>
      <c r="H119" s="60">
        <f t="shared" si="28"/>
        <v>5</v>
      </c>
      <c r="I119" s="112">
        <f>IF(H119="","",IF($I$8="A",(RANK(H119,H$11:H$363,1)+COUNTIF(H$11:H119,H119)-1),(RANK(H119,H$11:H$363)+COUNTIF(H$11:H119,H119)-1)))</f>
        <v>2</v>
      </c>
      <c r="J119" s="58"/>
      <c r="K119" s="51">
        <f t="shared" si="43"/>
        <v>109</v>
      </c>
      <c r="L119" s="59" t="str">
        <f t="shared" si="29"/>
        <v>Chelmsford</v>
      </c>
      <c r="M119" s="153">
        <f t="shared" si="34"/>
        <v>20</v>
      </c>
      <c r="N119" s="148">
        <f t="shared" si="35"/>
        <v>20</v>
      </c>
      <c r="O119" s="131" t="str">
        <f t="shared" si="30"/>
        <v/>
      </c>
      <c r="P119" s="131" t="str">
        <f t="shared" si="44"/>
        <v/>
      </c>
      <c r="Q119" s="131">
        <f t="shared" si="45"/>
        <v>20</v>
      </c>
      <c r="R119" s="127" t="str">
        <f t="shared" si="46"/>
        <v/>
      </c>
      <c r="S119" s="60" t="str">
        <f t="shared" si="36"/>
        <v/>
      </c>
      <c r="T119" s="231">
        <f>IF(L119="","",VLOOKUP(L119,classifications!C:K,9,FALSE))</f>
        <v>0</v>
      </c>
      <c r="U119" s="238" t="str">
        <f t="shared" si="31"/>
        <v/>
      </c>
      <c r="V119" s="239" t="str">
        <f>IF(U119="","",IF($I$8="A",(RANK(U119,U$11:U$363)+COUNTIF(U$11:U119,U119)-1),(RANK(U119,U$11:U$363,1)+COUNTIF(U$11:U119,U119)-1)))</f>
        <v/>
      </c>
      <c r="W119" s="240"/>
      <c r="X119" s="61" t="str">
        <f>IF(L119="","",VLOOKUP($L119,classifications!$C:$J,6,FALSE))</f>
        <v>Urban with City and Town</v>
      </c>
      <c r="Y119" s="49" t="str">
        <f t="shared" si="32"/>
        <v/>
      </c>
      <c r="Z119" s="57" t="str">
        <f>IF(Y119="","",IF(I$8="A",(RANK(Y119,Y$11:Y$363,1)+COUNTIF(Y$11:Y119,Y119)-1),(RANK(Y119,Y$11:Y$363)+COUNTIF(Y$11:Y119,Y119)-1)))</f>
        <v/>
      </c>
      <c r="AA119" s="245" t="str">
        <f>IF(L119="","",VLOOKUP($L119,classifications!C:I,7,FALSE))</f>
        <v>Predominantly Urban</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Essex</v>
      </c>
      <c r="AJ119" s="62" t="str">
        <f t="shared" si="33"/>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East of England</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5</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18</v>
      </c>
      <c r="G120" s="105"/>
      <c r="H120" s="60">
        <f t="shared" si="28"/>
        <v>18</v>
      </c>
      <c r="I120" s="112">
        <f>IF(H120="","",IF($I$8="A",(RANK(H120,H$11:H$363,1)+COUNTIF(H$11:H120,H120)-1),(RANK(H120,H$11:H$363)+COUNTIF(H$11:H120,H120)-1)))</f>
        <v>84</v>
      </c>
      <c r="J120" s="58"/>
      <c r="K120" s="51">
        <f t="shared" si="43"/>
        <v>110</v>
      </c>
      <c r="L120" s="59" t="str">
        <f t="shared" si="29"/>
        <v>East Dorset</v>
      </c>
      <c r="M120" s="153">
        <f t="shared" si="34"/>
        <v>20</v>
      </c>
      <c r="N120" s="148">
        <f t="shared" si="35"/>
        <v>20</v>
      </c>
      <c r="O120" s="131" t="str">
        <f t="shared" si="30"/>
        <v/>
      </c>
      <c r="P120" s="131" t="str">
        <f t="shared" si="44"/>
        <v/>
      </c>
      <c r="Q120" s="131">
        <f t="shared" si="45"/>
        <v>20</v>
      </c>
      <c r="R120" s="127" t="str">
        <f t="shared" si="46"/>
        <v/>
      </c>
      <c r="S120" s="60" t="str">
        <f t="shared" si="36"/>
        <v/>
      </c>
      <c r="T120" s="231">
        <f>IF(L120="","",VLOOKUP(L120,classifications!C:K,9,FALSE))</f>
        <v>0</v>
      </c>
      <c r="U120" s="238" t="str">
        <f t="shared" si="31"/>
        <v/>
      </c>
      <c r="V120" s="239" t="str">
        <f>IF(U120="","",IF($I$8="A",(RANK(U120,U$11:U$363)+COUNTIF(U$11:U120,U120)-1),(RANK(U120,U$11:U$363,1)+COUNTIF(U$11:U120,U120)-1)))</f>
        <v/>
      </c>
      <c r="W120" s="240"/>
      <c r="X120" s="61" t="str">
        <f>IF(L120="","",VLOOKUP($L120,classifications!$C:$J,6,FALSE))</f>
        <v>Urban with Significant Rural (rural including hub towns 26-49%)</v>
      </c>
      <c r="Y120" s="49" t="str">
        <f t="shared" si="32"/>
        <v/>
      </c>
      <c r="Z120" s="57" t="str">
        <f>IF(Y120="","",IF(I$8="A",(RANK(Y120,Y$11:Y$363,1)+COUNTIF(Y$11:Y120,Y120)-1),(RANK(Y120,Y$11:Y$363)+COUNTIF(Y$11:Y120,Y120)-1)))</f>
        <v/>
      </c>
      <c r="AA120" s="245" t="str">
        <f>IF(L120="","",VLOOKUP($L120,classifications!C:I,7,FALSE))</f>
        <v>Significant Rural</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Dorset</v>
      </c>
      <c r="AJ120" s="62" t="str">
        <f t="shared" si="33"/>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South West</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18</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15</v>
      </c>
      <c r="G121" s="105"/>
      <c r="H121" s="60">
        <f t="shared" si="28"/>
        <v>15</v>
      </c>
      <c r="I121" s="112">
        <f>IF(H121="","",IF($I$8="A",(RANK(H121,H$11:H$363,1)+COUNTIF(H$11:H121,H121)-1),(RANK(H121,H$11:H$363)+COUNTIF(H$11:H121,H121)-1)))</f>
        <v>38</v>
      </c>
      <c r="J121" s="58"/>
      <c r="K121" s="51">
        <f t="shared" si="43"/>
        <v>111</v>
      </c>
      <c r="L121" s="59" t="str">
        <f t="shared" si="29"/>
        <v>Epsom &amp; Ewell</v>
      </c>
      <c r="M121" s="153">
        <f t="shared" si="34"/>
        <v>20</v>
      </c>
      <c r="N121" s="148">
        <f t="shared" si="35"/>
        <v>20</v>
      </c>
      <c r="O121" s="131" t="str">
        <f t="shared" si="30"/>
        <v/>
      </c>
      <c r="P121" s="131" t="str">
        <f t="shared" si="44"/>
        <v/>
      </c>
      <c r="Q121" s="131">
        <f t="shared" si="45"/>
        <v>20</v>
      </c>
      <c r="R121" s="127" t="str">
        <f t="shared" si="46"/>
        <v/>
      </c>
      <c r="S121" s="60" t="str">
        <f t="shared" si="36"/>
        <v/>
      </c>
      <c r="T121" s="231">
        <f>IF(L121="","",VLOOKUP(L121,classifications!C:K,9,FALSE))</f>
        <v>0</v>
      </c>
      <c r="U121" s="238" t="str">
        <f t="shared" si="31"/>
        <v/>
      </c>
      <c r="V121" s="239" t="str">
        <f>IF(U121="","",IF($I$8="A",(RANK(U121,U$11:U$363)+COUNTIF(U$11:U121,U121)-1),(RANK(U121,U$11:U$363,1)+COUNTIF(U$11:U121,U121)-1)))</f>
        <v/>
      </c>
      <c r="W121" s="240"/>
      <c r="X121" s="61" t="str">
        <f>IF(L121="","",VLOOKUP($L121,classifications!$C:$J,6,FALSE))</f>
        <v>Urban with Major Conurbation</v>
      </c>
      <c r="Y121" s="49" t="str">
        <f t="shared" si="32"/>
        <v/>
      </c>
      <c r="Z121" s="57" t="str">
        <f>IF(Y121="","",IF(I$8="A",(RANK(Y121,Y$11:Y$363,1)+COUNTIF(Y$11:Y121,Y121)-1),(RANK(Y121,Y$11:Y$363)+COUNTIF(Y$11:Y121,Y121)-1)))</f>
        <v/>
      </c>
      <c r="AA121" s="245" t="str">
        <f>IF(L121="","",VLOOKUP($L121,classifications!C:I,7,FALSE))</f>
        <v>Predominantly Urban</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Surrey</v>
      </c>
      <c r="AJ121" s="62" t="str">
        <f t="shared" si="33"/>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South East</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15</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18</v>
      </c>
      <c r="G122" s="105"/>
      <c r="H122" s="60">
        <f t="shared" si="28"/>
        <v>18</v>
      </c>
      <c r="I122" s="112">
        <f>IF(H122="","",IF($I$8="A",(RANK(H122,H$11:H$363,1)+COUNTIF(H$11:H122,H122)-1),(RANK(H122,H$11:H$363)+COUNTIF(H$11:H122,H122)-1)))</f>
        <v>85</v>
      </c>
      <c r="J122" s="58"/>
      <c r="K122" s="51">
        <f t="shared" si="43"/>
        <v>112</v>
      </c>
      <c r="L122" s="59" t="str">
        <f t="shared" si="29"/>
        <v>Mendip</v>
      </c>
      <c r="M122" s="153">
        <f t="shared" si="34"/>
        <v>20</v>
      </c>
      <c r="N122" s="148">
        <f t="shared" si="35"/>
        <v>20</v>
      </c>
      <c r="O122" s="131" t="str">
        <f t="shared" si="30"/>
        <v/>
      </c>
      <c r="P122" s="131" t="str">
        <f t="shared" si="44"/>
        <v/>
      </c>
      <c r="Q122" s="131">
        <f t="shared" si="45"/>
        <v>20</v>
      </c>
      <c r="R122" s="127" t="str">
        <f t="shared" si="46"/>
        <v/>
      </c>
      <c r="S122" s="60" t="str">
        <f t="shared" si="36"/>
        <v/>
      </c>
      <c r="T122" s="231" t="str">
        <f>IF(L122="","",VLOOKUP(L122,classifications!C:K,9,FALSE))</f>
        <v>Sparse</v>
      </c>
      <c r="U122" s="238">
        <f t="shared" si="31"/>
        <v>20</v>
      </c>
      <c r="V122" s="239">
        <f>IF(U122="","",IF($I$8="A",(RANK(U122,U$11:U$363)+COUNTIF(U$11:U122,U122)-1),(RANK(U122,U$11:U$363,1)+COUNTIF(U$11:U122,U122)-1)))</f>
        <v>37</v>
      </c>
      <c r="W122" s="240"/>
      <c r="X122" s="61" t="str">
        <f>IF(L122="","",VLOOKUP($L122,classifications!$C:$J,6,FALSE))</f>
        <v xml:space="preserve">Mainly Rural (rural including hub towns &gt;=80%) </v>
      </c>
      <c r="Y122" s="49">
        <f t="shared" si="32"/>
        <v>20</v>
      </c>
      <c r="Z122" s="57">
        <f>IF(Y122="","",IF(I$8="A",(RANK(Y122,Y$11:Y$363,1)+COUNTIF(Y$11:Y122,Y122)-1),(RANK(Y122,Y$11:Y$363)+COUNTIF(Y$11:Y122,Y122)-1)))</f>
        <v>25</v>
      </c>
      <c r="AA122" s="245" t="str">
        <f>IF(L122="","",VLOOKUP($L122,classifications!C:I,7,FALSE))</f>
        <v>Predominantly Rural</v>
      </c>
      <c r="AB122" s="239">
        <f t="shared" si="37"/>
        <v>20</v>
      </c>
      <c r="AC122" s="239">
        <f>IF(AB122="","",IF($I$8="A",(RANK(AB122,AB$11:AB$363)+COUNTIF(AB$11:AB122,AB122)-1),(RANK(AB122,AB$11:AB$363,1)+COUNTIF(AB$11:AB122,AB122)-1)))</f>
        <v>28</v>
      </c>
      <c r="AD122" s="239"/>
      <c r="AE122" s="51" t="str">
        <f t="shared" si="50"/>
        <v/>
      </c>
      <c r="AG122" s="143"/>
      <c r="AH122" s="52"/>
      <c r="AI122" s="61" t="str">
        <f>IF(L122="","",VLOOKUP($L122,classifications!$C:$J,8,FALSE))</f>
        <v>Somerset</v>
      </c>
      <c r="AJ122" s="62" t="str">
        <f t="shared" si="33"/>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South West</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18</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f t="shared" si="27"/>
        <v>22</v>
      </c>
      <c r="G123" s="105"/>
      <c r="H123" s="60">
        <f t="shared" si="28"/>
        <v>22</v>
      </c>
      <c r="I123" s="112">
        <f>IF(H123="","",IF($I$8="A",(RANK(H123,H$11:H$363,1)+COUNTIF(H$11:H123,H123)-1),(RANK(H123,H$11:H$363)+COUNTIF(H$11:H123,H123)-1)))</f>
        <v>136</v>
      </c>
      <c r="J123" s="58"/>
      <c r="K123" s="51">
        <f t="shared" si="43"/>
        <v>113</v>
      </c>
      <c r="L123" s="59" t="str">
        <f t="shared" si="29"/>
        <v>Mid Sussex</v>
      </c>
      <c r="M123" s="153">
        <f t="shared" si="34"/>
        <v>20</v>
      </c>
      <c r="N123" s="148">
        <f t="shared" si="35"/>
        <v>20</v>
      </c>
      <c r="O123" s="131" t="str">
        <f t="shared" si="30"/>
        <v/>
      </c>
      <c r="P123" s="131" t="str">
        <f t="shared" si="44"/>
        <v/>
      </c>
      <c r="Q123" s="131">
        <f t="shared" si="45"/>
        <v>20</v>
      </c>
      <c r="R123" s="127" t="str">
        <f t="shared" si="46"/>
        <v/>
      </c>
      <c r="S123" s="60" t="str">
        <f t="shared" si="36"/>
        <v/>
      </c>
      <c r="T123" s="231" t="str">
        <f>IF(L123="","",VLOOKUP(L123,classifications!C:K,9,FALSE))</f>
        <v>Sparse</v>
      </c>
      <c r="U123" s="238">
        <f t="shared" si="31"/>
        <v>20</v>
      </c>
      <c r="V123" s="239">
        <f>IF(U123="","",IF($I$8="A",(RANK(U123,U$11:U$363)+COUNTIF(U$11:U123,U123)-1),(RANK(U123,U$11:U$363,1)+COUNTIF(U$11:U123,U123)-1)))</f>
        <v>38</v>
      </c>
      <c r="W123" s="240"/>
      <c r="X123" s="61" t="str">
        <f>IF(L123="","",VLOOKUP($L123,classifications!$C:$J,6,FALSE))</f>
        <v>Urban with City and Town</v>
      </c>
      <c r="Y123" s="49" t="str">
        <f t="shared" si="32"/>
        <v/>
      </c>
      <c r="Z123" s="57" t="str">
        <f>IF(Y123="","",IF(I$8="A",(RANK(Y123,Y$11:Y$363,1)+COUNTIF(Y$11:Y123,Y123)-1),(RANK(Y123,Y$11:Y$363)+COUNTIF(Y$11:Y123,Y123)-1)))</f>
        <v/>
      </c>
      <c r="AA123" s="245" t="str">
        <f>IF(L123="","",VLOOKUP($L123,classifications!C:I,7,FALSE))</f>
        <v>Predominantly Urban</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West Sussex</v>
      </c>
      <c r="AJ123" s="62" t="str">
        <f t="shared" si="33"/>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South East</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22</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25</v>
      </c>
      <c r="G124" s="105"/>
      <c r="H124" s="60" t="str">
        <f t="shared" si="28"/>
        <v/>
      </c>
      <c r="I124" s="112" t="str">
        <f>IF(H124="","",IF($I$8="A",(RANK(H124,H$11:H$363,1)+COUNTIF(H$11:H124,H124)-1),(RANK(H124,H$11:H$363)+COUNTIF(H$11:H124,H124)-1)))</f>
        <v/>
      </c>
      <c r="J124" s="58"/>
      <c r="K124" s="51">
        <f t="shared" si="43"/>
        <v>114</v>
      </c>
      <c r="L124" s="59" t="str">
        <f t="shared" si="29"/>
        <v>North East Derbyshire</v>
      </c>
      <c r="M124" s="153">
        <f t="shared" si="34"/>
        <v>20</v>
      </c>
      <c r="N124" s="148">
        <f t="shared" si="35"/>
        <v>20</v>
      </c>
      <c r="O124" s="131" t="str">
        <f t="shared" si="30"/>
        <v/>
      </c>
      <c r="P124" s="131" t="str">
        <f t="shared" si="44"/>
        <v/>
      </c>
      <c r="Q124" s="131">
        <f t="shared" si="45"/>
        <v>20</v>
      </c>
      <c r="R124" s="127" t="str">
        <f t="shared" si="46"/>
        <v/>
      </c>
      <c r="S124" s="60" t="str">
        <f t="shared" si="36"/>
        <v/>
      </c>
      <c r="T124" s="231">
        <f>IF(L124="","",VLOOKUP(L124,classifications!C:K,9,FALSE))</f>
        <v>0</v>
      </c>
      <c r="U124" s="238" t="str">
        <f t="shared" si="31"/>
        <v/>
      </c>
      <c r="V124" s="239" t="str">
        <f>IF(U124="","",IF($I$8="A",(RANK(U124,U$11:U$363)+COUNTIF(U$11:U124,U124)-1),(RANK(U124,U$11:U$363,1)+COUNTIF(U$11:U124,U124)-1)))</f>
        <v/>
      </c>
      <c r="W124" s="240"/>
      <c r="X124" s="61" t="str">
        <f>IF(L124="","",VLOOKUP($L124,classifications!$C:$J,6,FALSE))</f>
        <v>Urban with City and Town</v>
      </c>
      <c r="Y124" s="49" t="str">
        <f t="shared" si="32"/>
        <v/>
      </c>
      <c r="Z124" s="57" t="str">
        <f>IF(Y124="","",IF(I$8="A",(RANK(Y124,Y$11:Y$363,1)+COUNTIF(Y$11:Y124,Y124)-1),(RANK(Y124,Y$11:Y$363)+COUNTIF(Y$11:Y124,Y124)-1)))</f>
        <v/>
      </c>
      <c r="AA124" s="245" t="str">
        <f>IF(L124="","",VLOOKUP($L124,classifications!C:I,7,FALSE))</f>
        <v>Predominantly Urban</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Derbyshire</v>
      </c>
      <c r="AJ124" s="62" t="str">
        <f t="shared" si="33"/>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East Midlands</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25</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11</v>
      </c>
      <c r="G125" s="105"/>
      <c r="H125" s="60">
        <f t="shared" si="28"/>
        <v>11</v>
      </c>
      <c r="I125" s="112">
        <f>IF(H125="","",IF($I$8="A",(RANK(H125,H$11:H$363,1)+COUNTIF(H$11:H125,H125)-1),(RANK(H125,H$11:H$363)+COUNTIF(H$11:H125,H125)-1)))</f>
        <v>11</v>
      </c>
      <c r="J125" s="58"/>
      <c r="K125" s="51">
        <f t="shared" si="43"/>
        <v>115</v>
      </c>
      <c r="L125" s="59" t="str">
        <f t="shared" si="29"/>
        <v>Pendle</v>
      </c>
      <c r="M125" s="153">
        <f t="shared" si="34"/>
        <v>20</v>
      </c>
      <c r="N125" s="148">
        <f t="shared" si="35"/>
        <v>20</v>
      </c>
      <c r="O125" s="131" t="str">
        <f t="shared" si="30"/>
        <v/>
      </c>
      <c r="P125" s="131" t="str">
        <f t="shared" si="44"/>
        <v/>
      </c>
      <c r="Q125" s="131">
        <f t="shared" si="45"/>
        <v>20</v>
      </c>
      <c r="R125" s="127" t="str">
        <f t="shared" si="46"/>
        <v/>
      </c>
      <c r="S125" s="60" t="str">
        <f t="shared" si="36"/>
        <v/>
      </c>
      <c r="T125" s="231">
        <f>IF(L125="","",VLOOKUP(L125,classifications!C:K,9,FALSE))</f>
        <v>0</v>
      </c>
      <c r="U125" s="238" t="str">
        <f t="shared" si="31"/>
        <v/>
      </c>
      <c r="V125" s="239" t="str">
        <f>IF(U125="","",IF($I$8="A",(RANK(U125,U$11:U$363)+COUNTIF(U$11:U125,U125)-1),(RANK(U125,U$11:U$363,1)+COUNTIF(U$11:U125,U125)-1)))</f>
        <v/>
      </c>
      <c r="W125" s="240"/>
      <c r="X125" s="61" t="str">
        <f>IF(L125="","",VLOOKUP($L125,classifications!$C:$J,6,FALSE))</f>
        <v>Urban with City and Town</v>
      </c>
      <c r="Y125" s="49" t="str">
        <f t="shared" si="32"/>
        <v/>
      </c>
      <c r="Z125" s="57" t="str">
        <f>IF(Y125="","",IF(I$8="A",(RANK(Y125,Y$11:Y$363,1)+COUNTIF(Y$11:Y125,Y125)-1),(RANK(Y125,Y$11:Y$363)+COUNTIF(Y$11:Y125,Y125)-1)))</f>
        <v/>
      </c>
      <c r="AA125" s="245" t="str">
        <f>IF(L125="","",VLOOKUP($L125,classifications!C:I,7,FALSE))</f>
        <v>Predominantly Urban</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Lancashire</v>
      </c>
      <c r="AJ125" s="62" t="str">
        <f t="shared" si="33"/>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North West</v>
      </c>
      <c r="AQ125" s="62">
        <f t="shared" si="39"/>
        <v>20</v>
      </c>
      <c r="AR125" s="57">
        <f>IF(AQ125="","",IF(I$8="A",(RANK(AQ125,AQ$11:AQ$363,1)+COUNTIF(AQ$11:AQ125,AQ125)-1),(RANK(AQ125,AQ$11:AQ$363)+COUNTIF(AQ$11:AQ125,AQ125)-1)))</f>
        <v>7</v>
      </c>
      <c r="AS125" s="52" t="str">
        <f t="shared" si="40"/>
        <v/>
      </c>
      <c r="AT125" s="57" t="str">
        <f t="shared" si="41"/>
        <v/>
      </c>
      <c r="AU125" s="62" t="str">
        <f t="shared" si="48"/>
        <v/>
      </c>
      <c r="AX125" s="44">
        <f>HLOOKUP($AX$9&amp;$AX$10,Data!$A$1:$ZZ$2000,(MATCH($C125,Data!$A$1:$A$2000,0)),FALSE)</f>
        <v>11</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23</v>
      </c>
      <c r="G126" s="105"/>
      <c r="H126" s="60">
        <f t="shared" si="28"/>
        <v>23</v>
      </c>
      <c r="I126" s="112">
        <f>IF(H126="","",IF($I$8="A",(RANK(H126,H$11:H$363,1)+COUNTIF(H$11:H126,H126)-1),(RANK(H126,H$11:H$363)+COUNTIF(H$11:H126,H126)-1)))</f>
        <v>147</v>
      </c>
      <c r="J126" s="58"/>
      <c r="K126" s="51">
        <f t="shared" si="43"/>
        <v>116</v>
      </c>
      <c r="L126" s="59" t="str">
        <f t="shared" si="29"/>
        <v>Rugby</v>
      </c>
      <c r="M126" s="153">
        <f t="shared" si="34"/>
        <v>20</v>
      </c>
      <c r="N126" s="148">
        <f t="shared" si="35"/>
        <v>20</v>
      </c>
      <c r="O126" s="131" t="str">
        <f t="shared" si="30"/>
        <v/>
      </c>
      <c r="P126" s="131" t="str">
        <f t="shared" si="44"/>
        <v/>
      </c>
      <c r="Q126" s="131">
        <f t="shared" si="45"/>
        <v>20</v>
      </c>
      <c r="R126" s="127" t="str">
        <f t="shared" si="46"/>
        <v/>
      </c>
      <c r="S126" s="60" t="str">
        <f t="shared" si="36"/>
        <v/>
      </c>
      <c r="T126" s="231" t="str">
        <f>IF(L126="","",VLOOKUP(L126,classifications!C:K,9,FALSE))</f>
        <v>Sparse</v>
      </c>
      <c r="U126" s="238">
        <f t="shared" si="31"/>
        <v>20</v>
      </c>
      <c r="V126" s="239">
        <f>IF(U126="","",IF($I$8="A",(RANK(U126,U$11:U$363)+COUNTIF(U$11:U126,U126)-1),(RANK(U126,U$11:U$363,1)+COUNTIF(U$11:U126,U126)-1)))</f>
        <v>39</v>
      </c>
      <c r="W126" s="240"/>
      <c r="X126" s="61" t="str">
        <f>IF(L126="","",VLOOKUP($L126,classifications!$C:$J,6,FALSE))</f>
        <v>Urban with City and Town</v>
      </c>
      <c r="Y126" s="49" t="str">
        <f t="shared" si="32"/>
        <v/>
      </c>
      <c r="Z126" s="57" t="str">
        <f>IF(Y126="","",IF(I$8="A",(RANK(Y126,Y$11:Y$363,1)+COUNTIF(Y$11:Y126,Y126)-1),(RANK(Y126,Y$11:Y$363)+COUNTIF(Y$11:Y126,Y126)-1)))</f>
        <v/>
      </c>
      <c r="AA126" s="245" t="str">
        <f>IF(L126="","",VLOOKUP($L126,classifications!C:I,7,FALSE))</f>
        <v>Predominantly Urban</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Warwickshire</v>
      </c>
      <c r="AJ126" s="62" t="str">
        <f t="shared" si="33"/>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West Midlands</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23</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South Hams</v>
      </c>
      <c r="M127" s="153">
        <f t="shared" si="34"/>
        <v>20</v>
      </c>
      <c r="N127" s="148">
        <f t="shared" si="35"/>
        <v>20</v>
      </c>
      <c r="O127" s="131" t="str">
        <f t="shared" si="30"/>
        <v/>
      </c>
      <c r="P127" s="131" t="str">
        <f t="shared" si="44"/>
        <v/>
      </c>
      <c r="Q127" s="131">
        <f t="shared" si="45"/>
        <v>20</v>
      </c>
      <c r="R127" s="127" t="str">
        <f t="shared" si="46"/>
        <v/>
      </c>
      <c r="S127" s="60" t="str">
        <f t="shared" si="36"/>
        <v/>
      </c>
      <c r="T127" s="231" t="str">
        <f>IF(L127="","",VLOOKUP(L127,classifications!C:K,9,FALSE))</f>
        <v>Sparse</v>
      </c>
      <c r="U127" s="238">
        <f t="shared" si="31"/>
        <v>20</v>
      </c>
      <c r="V127" s="239">
        <f>IF(U127="","",IF($I$8="A",(RANK(U127,U$11:U$363)+COUNTIF(U$11:U127,U127)-1),(RANK(U127,U$11:U$363,1)+COUNTIF(U$11:U127,U127)-1)))</f>
        <v>40</v>
      </c>
      <c r="W127" s="240"/>
      <c r="X127" s="61" t="str">
        <f>IF(L127="","",VLOOKUP($L127,classifications!$C:$J,6,FALSE))</f>
        <v xml:space="preserve">Mainly Rural (rural including hub towns &gt;=80%) </v>
      </c>
      <c r="Y127" s="49">
        <f t="shared" si="32"/>
        <v>20</v>
      </c>
      <c r="Z127" s="57">
        <f>IF(Y127="","",IF(I$8="A",(RANK(Y127,Y$11:Y$363,1)+COUNTIF(Y$11:Y127,Y127)-1),(RANK(Y127,Y$11:Y$363)+COUNTIF(Y$11:Y127,Y127)-1)))</f>
        <v>26</v>
      </c>
      <c r="AA127" s="245" t="str">
        <f>IF(L127="","",VLOOKUP($L127,classifications!C:I,7,FALSE))</f>
        <v>Predominantly Rural</v>
      </c>
      <c r="AB127" s="239">
        <f t="shared" si="37"/>
        <v>20</v>
      </c>
      <c r="AC127" s="239">
        <f>IF(AB127="","",IF($I$8="A",(RANK(AB127,AB$11:AB$363)+COUNTIF(AB$11:AB127,AB127)-1),(RANK(AB127,AB$11:AB$363,1)+COUNTIF(AB$11:AB127,AB127)-1)))</f>
        <v>29</v>
      </c>
      <c r="AD127" s="239"/>
      <c r="AE127" s="51" t="str">
        <f t="shared" si="50"/>
        <v/>
      </c>
      <c r="AG127" s="143"/>
      <c r="AH127" s="52"/>
      <c r="AI127" s="61" t="str">
        <f>IF(L127="","",VLOOKUP($L127,classifications!$C:$J,8,FALSE))</f>
        <v>Devon</v>
      </c>
      <c r="AJ127" s="62" t="str">
        <f t="shared" si="33"/>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South West</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18</v>
      </c>
      <c r="G128" s="105"/>
      <c r="H128" s="60">
        <f t="shared" si="28"/>
        <v>18</v>
      </c>
      <c r="I128" s="112">
        <f>IF(H128="","",IF($I$8="A",(RANK(H128,H$11:H$363,1)+COUNTIF(H$11:H128,H128)-1),(RANK(H128,H$11:H$363)+COUNTIF(H$11:H128,H128)-1)))</f>
        <v>86</v>
      </c>
      <c r="J128" s="58"/>
      <c r="K128" s="51">
        <f t="shared" si="43"/>
        <v>118</v>
      </c>
      <c r="L128" s="59" t="str">
        <f t="shared" si="29"/>
        <v>Test Valley</v>
      </c>
      <c r="M128" s="153">
        <f t="shared" si="34"/>
        <v>20</v>
      </c>
      <c r="N128" s="148">
        <f t="shared" si="35"/>
        <v>20</v>
      </c>
      <c r="O128" s="131" t="str">
        <f t="shared" si="30"/>
        <v/>
      </c>
      <c r="P128" s="131" t="str">
        <f t="shared" si="44"/>
        <v/>
      </c>
      <c r="Q128" s="131">
        <f t="shared" si="45"/>
        <v>20</v>
      </c>
      <c r="R128" s="127" t="str">
        <f t="shared" si="46"/>
        <v/>
      </c>
      <c r="S128" s="60" t="str">
        <f t="shared" si="36"/>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Urban with Significant Rural (rural including hub towns 26-49%)</v>
      </c>
      <c r="Y128" s="49" t="str">
        <f t="shared" si="32"/>
        <v/>
      </c>
      <c r="Z128" s="57" t="str">
        <f>IF(Y128="","",IF(I$8="A",(RANK(Y128,Y$11:Y$363,1)+COUNTIF(Y$11:Y128,Y128)-1),(RANK(Y128,Y$11:Y$363)+COUNTIF(Y$11:Y128,Y128)-1)))</f>
        <v/>
      </c>
      <c r="AA128" s="245" t="str">
        <f>IF(L128="","",VLOOKUP($L128,classifications!C:I,7,FALSE))</f>
        <v>Significant Rural</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Hampshire</v>
      </c>
      <c r="AJ128" s="62" t="str">
        <f t="shared" si="33"/>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South East</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18</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16</v>
      </c>
      <c r="G129" s="105"/>
      <c r="H129" s="60">
        <f t="shared" si="28"/>
        <v>16</v>
      </c>
      <c r="I129" s="112">
        <f>IF(H129="","",IF($I$8="A",(RANK(H129,H$11:H$363,1)+COUNTIF(H$11:H129,H129)-1),(RANK(H129,H$11:H$363)+COUNTIF(H$11:H129,H129)-1)))</f>
        <v>57</v>
      </c>
      <c r="J129" s="58"/>
      <c r="K129" s="51">
        <f t="shared" si="43"/>
        <v>119</v>
      </c>
      <c r="L129" s="59" t="str">
        <f t="shared" si="29"/>
        <v>Watford</v>
      </c>
      <c r="M129" s="153">
        <f t="shared" si="34"/>
        <v>20</v>
      </c>
      <c r="N129" s="148">
        <f t="shared" si="35"/>
        <v>20</v>
      </c>
      <c r="O129" s="131" t="str">
        <f t="shared" si="30"/>
        <v/>
      </c>
      <c r="P129" s="131" t="str">
        <f t="shared" si="44"/>
        <v/>
      </c>
      <c r="Q129" s="131">
        <f t="shared" si="45"/>
        <v>20</v>
      </c>
      <c r="R129" s="127" t="str">
        <f t="shared" si="46"/>
        <v/>
      </c>
      <c r="S129" s="60" t="str">
        <f t="shared" si="36"/>
        <v/>
      </c>
      <c r="T129" s="231">
        <f>IF(L129="","",VLOOKUP(L129,classifications!C:K,9,FALSE))</f>
        <v>0</v>
      </c>
      <c r="U129" s="238" t="str">
        <f t="shared" si="31"/>
        <v/>
      </c>
      <c r="V129" s="239" t="str">
        <f>IF(U129="","",IF($I$8="A",(RANK(U129,U$11:U$363)+COUNTIF(U$11:U129,U129)-1),(RANK(U129,U$11:U$363,1)+COUNTIF(U$11:U129,U129)-1)))</f>
        <v/>
      </c>
      <c r="W129" s="240"/>
      <c r="X129" s="61" t="str">
        <f>IF(L129="","",VLOOKUP($L129,classifications!$C:$J,6,FALSE))</f>
        <v>Urban with Major Conurbation</v>
      </c>
      <c r="Y129" s="49" t="str">
        <f t="shared" si="32"/>
        <v/>
      </c>
      <c r="Z129" s="57" t="str">
        <f>IF(Y129="","",IF(I$8="A",(RANK(Y129,Y$11:Y$363,1)+COUNTIF(Y$11:Y129,Y129)-1),(RANK(Y129,Y$11:Y$363)+COUNTIF(Y$11:Y129,Y129)-1)))</f>
        <v/>
      </c>
      <c r="AA129" s="245" t="str">
        <f>IF(L129="","",VLOOKUP($L129,classifications!C:I,7,FALSE))</f>
        <v>Predominantly Urban</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Hertfordshire</v>
      </c>
      <c r="AJ129" s="62" t="str">
        <f t="shared" si="33"/>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East of England</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16</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15</v>
      </c>
      <c r="G130" s="105"/>
      <c r="H130" s="60">
        <f t="shared" si="28"/>
        <v>15</v>
      </c>
      <c r="I130" s="112">
        <f>IF(H130="","",IF($I$8="A",(RANK(H130,H$11:H$363,1)+COUNTIF(H$11:H130,H130)-1),(RANK(H130,H$11:H$363)+COUNTIF(H$11:H130,H130)-1)))</f>
        <v>39</v>
      </c>
      <c r="J130" s="58"/>
      <c r="K130" s="51">
        <f t="shared" si="43"/>
        <v>120</v>
      </c>
      <c r="L130" s="59" t="str">
        <f t="shared" si="29"/>
        <v>Waverley</v>
      </c>
      <c r="M130" s="153">
        <f t="shared" si="34"/>
        <v>20</v>
      </c>
      <c r="N130" s="148">
        <f t="shared" si="35"/>
        <v>20</v>
      </c>
      <c r="O130" s="131" t="str">
        <f t="shared" si="30"/>
        <v/>
      </c>
      <c r="P130" s="131" t="str">
        <f t="shared" si="44"/>
        <v/>
      </c>
      <c r="Q130" s="131">
        <f t="shared" si="45"/>
        <v>20</v>
      </c>
      <c r="R130" s="127" t="str">
        <f t="shared" si="46"/>
        <v/>
      </c>
      <c r="S130" s="60" t="str">
        <f t="shared" si="36"/>
        <v/>
      </c>
      <c r="T130" s="231">
        <f>IF(L130="","",VLOOKUP(L130,classifications!C:K,9,FALSE))</f>
        <v>0</v>
      </c>
      <c r="U130" s="238" t="str">
        <f t="shared" si="31"/>
        <v/>
      </c>
      <c r="V130" s="239" t="str">
        <f>IF(U130="","",IF($I$8="A",(RANK(U130,U$11:U$363)+COUNTIF(U$11:U130,U130)-1),(RANK(U130,U$11:U$363,1)+COUNTIF(U$11:U130,U130)-1)))</f>
        <v/>
      </c>
      <c r="W130" s="240"/>
      <c r="X130" s="61" t="str">
        <f>IF(L130="","",VLOOKUP($L130,classifications!$C:$J,6,FALSE))</f>
        <v xml:space="preserve">Largely Rural (rural including hub towns 50-79%) </v>
      </c>
      <c r="Y130" s="49" t="str">
        <f t="shared" si="32"/>
        <v/>
      </c>
      <c r="Z130" s="57" t="str">
        <f>IF(Y130="","",IF(I$8="A",(RANK(Y130,Y$11:Y$363,1)+COUNTIF(Y$11:Y130,Y130)-1),(RANK(Y130,Y$11:Y$363)+COUNTIF(Y$11:Y130,Y130)-1)))</f>
        <v/>
      </c>
      <c r="AA130" s="245" t="str">
        <f>IF(L130="","",VLOOKUP($L130,classifications!C:I,7,FALSE))</f>
        <v>Predominantly Rural</v>
      </c>
      <c r="AB130" s="239">
        <f t="shared" si="37"/>
        <v>20</v>
      </c>
      <c r="AC130" s="239">
        <f>IF(AB130="","",IF($I$8="A",(RANK(AB130,AB$11:AB$363)+COUNTIF(AB$11:AB130,AB130)-1),(RANK(AB130,AB$11:AB$363,1)+COUNTIF(AB$11:AB130,AB130)-1)))</f>
        <v>30</v>
      </c>
      <c r="AD130" s="239"/>
      <c r="AE130" s="51" t="str">
        <f t="shared" si="50"/>
        <v/>
      </c>
      <c r="AG130" s="143"/>
      <c r="AH130" s="52"/>
      <c r="AI130" s="61" t="str">
        <f>IF(L130="","",VLOOKUP($L130,classifications!$C:$J,8,FALSE))</f>
        <v>Surrey</v>
      </c>
      <c r="AJ130" s="62" t="str">
        <f t="shared" si="33"/>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South East</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15</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27</v>
      </c>
      <c r="G131" s="105"/>
      <c r="H131" s="60" t="str">
        <f t="shared" si="28"/>
        <v/>
      </c>
      <c r="I131" s="112" t="str">
        <f>IF(H131="","",IF($I$8="A",(RANK(H131,H$11:H$363,1)+COUNTIF(H$11:H131,H131)-1),(RANK(H131,H$11:H$363)+COUNTIF(H$11:H131,H131)-1)))</f>
        <v/>
      </c>
      <c r="J131" s="58"/>
      <c r="K131" s="51">
        <f t="shared" si="43"/>
        <v>121</v>
      </c>
      <c r="L131" s="59" t="str">
        <f t="shared" si="29"/>
        <v>Wellingborough</v>
      </c>
      <c r="M131" s="153">
        <f t="shared" si="34"/>
        <v>20</v>
      </c>
      <c r="N131" s="148">
        <f t="shared" si="35"/>
        <v>20</v>
      </c>
      <c r="O131" s="131" t="str">
        <f t="shared" si="30"/>
        <v/>
      </c>
      <c r="P131" s="131" t="str">
        <f t="shared" si="44"/>
        <v/>
      </c>
      <c r="Q131" s="131">
        <f t="shared" si="45"/>
        <v>20</v>
      </c>
      <c r="R131" s="127" t="str">
        <f t="shared" si="46"/>
        <v/>
      </c>
      <c r="S131" s="60" t="str">
        <f t="shared" si="36"/>
        <v/>
      </c>
      <c r="T131" s="231">
        <f>IF(L131="","",VLOOKUP(L131,classifications!C:K,9,FALSE))</f>
        <v>0</v>
      </c>
      <c r="U131" s="238" t="str">
        <f t="shared" si="31"/>
        <v/>
      </c>
      <c r="V131" s="239" t="str">
        <f>IF(U131="","",IF($I$8="A",(RANK(U131,U$11:U$363)+COUNTIF(U$11:U131,U131)-1),(RANK(U131,U$11:U$363,1)+COUNTIF(U$11:U131,U131)-1)))</f>
        <v/>
      </c>
      <c r="W131" s="240"/>
      <c r="X131" s="61" t="str">
        <f>IF(L131="","",VLOOKUP($L131,classifications!$C:$J,6,FALSE))</f>
        <v>Urban with Significant Rural (rural including hub towns 26-49%)</v>
      </c>
      <c r="Y131" s="49" t="str">
        <f t="shared" si="32"/>
        <v/>
      </c>
      <c r="Z131" s="57" t="str">
        <f>IF(Y131="","",IF(I$8="A",(RANK(Y131,Y$11:Y$363,1)+COUNTIF(Y$11:Y131,Y131)-1),(RANK(Y131,Y$11:Y$363)+COUNTIF(Y$11:Y131,Y131)-1)))</f>
        <v/>
      </c>
      <c r="AA131" s="245" t="str">
        <f>IF(L131="","",VLOOKUP($L131,classifications!C:I,7,FALSE))</f>
        <v>Significant Rural</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Northamptonshire</v>
      </c>
      <c r="AJ131" s="62" t="str">
        <f t="shared" si="33"/>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East Midlands</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27</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24</v>
      </c>
      <c r="G132" s="105"/>
      <c r="H132" s="60">
        <f t="shared" si="28"/>
        <v>24</v>
      </c>
      <c r="I132" s="112">
        <f>IF(H132="","",IF($I$8="A",(RANK(H132,H$11:H$363,1)+COUNTIF(H$11:H132,H132)-1),(RANK(H132,H$11:H$363)+COUNTIF(H$11:H132,H132)-1)))</f>
        <v>159</v>
      </c>
      <c r="J132" s="58"/>
      <c r="K132" s="51">
        <f t="shared" si="43"/>
        <v>122</v>
      </c>
      <c r="L132" s="59" t="str">
        <f t="shared" si="29"/>
        <v>West Somerset</v>
      </c>
      <c r="M132" s="153">
        <f t="shared" si="34"/>
        <v>20</v>
      </c>
      <c r="N132" s="148">
        <f t="shared" si="35"/>
        <v>20</v>
      </c>
      <c r="O132" s="131" t="str">
        <f t="shared" si="30"/>
        <v/>
      </c>
      <c r="P132" s="131" t="str">
        <f t="shared" si="44"/>
        <v/>
      </c>
      <c r="Q132" s="131">
        <f t="shared" si="45"/>
        <v>20</v>
      </c>
      <c r="R132" s="127" t="str">
        <f t="shared" si="46"/>
        <v/>
      </c>
      <c r="S132" s="60" t="str">
        <f t="shared" si="36"/>
        <v/>
      </c>
      <c r="T132" s="231" t="str">
        <f>IF(L132="","",VLOOKUP(L132,classifications!C:K,9,FALSE))</f>
        <v>Sparse</v>
      </c>
      <c r="U132" s="238">
        <f t="shared" si="31"/>
        <v>20</v>
      </c>
      <c r="V132" s="239">
        <f>IF(U132="","",IF($I$8="A",(RANK(U132,U$11:U$363)+COUNTIF(U$11:U132,U132)-1),(RANK(U132,U$11:U$363,1)+COUNTIF(U$11:U132,U132)-1)))</f>
        <v>41</v>
      </c>
      <c r="W132" s="240"/>
      <c r="X132" s="61" t="str">
        <f>IF(L132="","",VLOOKUP($L132,classifications!$C:$J,6,FALSE))</f>
        <v xml:space="preserve">Mainly Rural (rural including hub towns &gt;=80%) </v>
      </c>
      <c r="Y132" s="49">
        <f t="shared" si="32"/>
        <v>20</v>
      </c>
      <c r="Z132" s="57">
        <f>IF(Y132="","",IF(I$8="A",(RANK(Y132,Y$11:Y$363,1)+COUNTIF(Y$11:Y132,Y132)-1),(RANK(Y132,Y$11:Y$363)+COUNTIF(Y$11:Y132,Y132)-1)))</f>
        <v>27</v>
      </c>
      <c r="AA132" s="245" t="str">
        <f>IF(L132="","",VLOOKUP($L132,classifications!C:I,7,FALSE))</f>
        <v>Predominantly Rural</v>
      </c>
      <c r="AB132" s="239">
        <f t="shared" si="37"/>
        <v>20</v>
      </c>
      <c r="AC132" s="239">
        <f>IF(AB132="","",IF($I$8="A",(RANK(AB132,AB$11:AB$363)+COUNTIF(AB$11:AB132,AB132)-1),(RANK(AB132,AB$11:AB$363,1)+COUNTIF(AB$11:AB132,AB132)-1)))</f>
        <v>31</v>
      </c>
      <c r="AD132" s="239"/>
      <c r="AE132" s="51" t="str">
        <f t="shared" si="50"/>
        <v/>
      </c>
      <c r="AG132" s="143"/>
      <c r="AH132" s="52"/>
      <c r="AI132" s="61" t="str">
        <f>IF(L132="","",VLOOKUP($L132,classifications!$C:$J,8,FALSE))</f>
        <v>Somerset</v>
      </c>
      <c r="AJ132" s="62" t="str">
        <f t="shared" si="33"/>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South West</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24</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21</v>
      </c>
      <c r="G133" s="105"/>
      <c r="H133" s="60" t="str">
        <f t="shared" si="28"/>
        <v/>
      </c>
      <c r="I133" s="112" t="str">
        <f>IF(H133="","",IF($I$8="A",(RANK(H133,H$11:H$363,1)+COUNTIF(H$11:H133,H133)-1),(RANK(H133,H$11:H$363)+COUNTIF(H$11:H133,H133)-1)))</f>
        <v/>
      </c>
      <c r="J133" s="58"/>
      <c r="K133" s="51">
        <f t="shared" si="43"/>
        <v>123</v>
      </c>
      <c r="L133" s="59" t="str">
        <f t="shared" si="29"/>
        <v>Weymouth &amp; Portland</v>
      </c>
      <c r="M133" s="153">
        <f t="shared" si="34"/>
        <v>20</v>
      </c>
      <c r="N133" s="148">
        <f t="shared" si="35"/>
        <v>20</v>
      </c>
      <c r="O133" s="131" t="str">
        <f t="shared" si="30"/>
        <v/>
      </c>
      <c r="P133" s="131" t="str">
        <f t="shared" si="44"/>
        <v/>
      </c>
      <c r="Q133" s="131">
        <f t="shared" si="45"/>
        <v>20</v>
      </c>
      <c r="R133" s="127" t="str">
        <f t="shared" si="46"/>
        <v/>
      </c>
      <c r="S133" s="60" t="str">
        <f t="shared" si="36"/>
        <v/>
      </c>
      <c r="T133" s="231">
        <f>IF(L133="","",VLOOKUP(L133,classifications!C:K,9,FALSE))</f>
        <v>0</v>
      </c>
      <c r="U133" s="238" t="str">
        <f t="shared" si="31"/>
        <v/>
      </c>
      <c r="V133" s="239" t="str">
        <f>IF(U133="","",IF($I$8="A",(RANK(U133,U$11:U$363)+COUNTIF(U$11:U133,U133)-1),(RANK(U133,U$11:U$363,1)+COUNTIF(U$11:U133,U133)-1)))</f>
        <v/>
      </c>
      <c r="W133" s="240"/>
      <c r="X133" s="61" t="str">
        <f>IF(L133="","",VLOOKUP($L133,classifications!$C:$J,6,FALSE))</f>
        <v>Urban with City and Town</v>
      </c>
      <c r="Y133" s="49" t="str">
        <f t="shared" si="32"/>
        <v/>
      </c>
      <c r="Z133" s="57" t="str">
        <f>IF(Y133="","",IF(I$8="A",(RANK(Y133,Y$11:Y$363,1)+COUNTIF(Y$11:Y133,Y133)-1),(RANK(Y133,Y$11:Y$363)+COUNTIF(Y$11:Y133,Y133)-1)))</f>
        <v/>
      </c>
      <c r="AA133" s="245" t="str">
        <f>IF(L133="","",VLOOKUP($L133,classifications!C:I,7,FALSE))</f>
        <v>Predominantly Urban</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Dorset</v>
      </c>
      <c r="AJ133" s="62" t="str">
        <f t="shared" si="33"/>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South West</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21</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15</v>
      </c>
      <c r="G134" s="105"/>
      <c r="H134" s="60" t="str">
        <f t="shared" si="28"/>
        <v/>
      </c>
      <c r="I134" s="112" t="str">
        <f>IF(H134="","",IF($I$8="A",(RANK(H134,H$11:H$363,1)+COUNTIF(H$11:H134,H134)-1),(RANK(H134,H$11:H$363)+COUNTIF(H$11:H134,H134)-1)))</f>
        <v/>
      </c>
      <c r="J134" s="58"/>
      <c r="K134" s="51">
        <f t="shared" si="43"/>
        <v>124</v>
      </c>
      <c r="L134" s="59" t="str">
        <f t="shared" si="29"/>
        <v>Wycombe</v>
      </c>
      <c r="M134" s="153">
        <f t="shared" si="34"/>
        <v>20</v>
      </c>
      <c r="N134" s="148">
        <f t="shared" si="35"/>
        <v>20</v>
      </c>
      <c r="O134" s="131" t="str">
        <f t="shared" si="30"/>
        <v/>
      </c>
      <c r="P134" s="131" t="str">
        <f t="shared" si="44"/>
        <v/>
      </c>
      <c r="Q134" s="131">
        <f t="shared" si="45"/>
        <v>20</v>
      </c>
      <c r="R134" s="127" t="str">
        <f t="shared" si="46"/>
        <v/>
      </c>
      <c r="S134" s="60" t="str">
        <f t="shared" si="36"/>
        <v/>
      </c>
      <c r="T134" s="231">
        <f>IF(L134="","",VLOOKUP(L134,classifications!C:K,9,FALSE))</f>
        <v>0</v>
      </c>
      <c r="U134" s="238" t="str">
        <f t="shared" si="31"/>
        <v/>
      </c>
      <c r="V134" s="239" t="str">
        <f>IF(U134="","",IF($I$8="A",(RANK(U134,U$11:U$363)+COUNTIF(U$11:U134,U134)-1),(RANK(U134,U$11:U$363,1)+COUNTIF(U$11:U134,U134)-1)))</f>
        <v/>
      </c>
      <c r="W134" s="240"/>
      <c r="X134" s="61" t="str">
        <f>IF(L134="","",VLOOKUP($L134,classifications!$C:$J,6,FALSE))</f>
        <v>Urban with Significant Rural (rural including hub towns 26-49%)</v>
      </c>
      <c r="Y134" s="49" t="str">
        <f t="shared" si="32"/>
        <v/>
      </c>
      <c r="Z134" s="57" t="str">
        <f>IF(Y134="","",IF(I$8="A",(RANK(Y134,Y$11:Y$363,1)+COUNTIF(Y$11:Y134,Y134)-1),(RANK(Y134,Y$11:Y$363)+COUNTIF(Y$11:Y134,Y134)-1)))</f>
        <v/>
      </c>
      <c r="AA134" s="245" t="str">
        <f>IF(L134="","",VLOOKUP($L134,classifications!C:I,7,FALSE))</f>
        <v>Significant Rural</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Buckinghamshire</v>
      </c>
      <c r="AJ134" s="62" t="str">
        <f t="shared" si="33"/>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South East</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15</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16</v>
      </c>
      <c r="G135" s="105"/>
      <c r="H135" s="60">
        <f t="shared" si="28"/>
        <v>16</v>
      </c>
      <c r="I135" s="112">
        <f>IF(H135="","",IF($I$8="A",(RANK(H135,H$11:H$363,1)+COUNTIF(H$11:H135,H135)-1),(RANK(H135,H$11:H$363)+COUNTIF(H$11:H135,H135)-1)))</f>
        <v>58</v>
      </c>
      <c r="J135" s="58"/>
      <c r="K135" s="51">
        <f t="shared" si="43"/>
        <v>125</v>
      </c>
      <c r="L135" s="59" t="str">
        <f t="shared" si="29"/>
        <v>Allerdale</v>
      </c>
      <c r="M135" s="153">
        <f t="shared" si="34"/>
        <v>21</v>
      </c>
      <c r="N135" s="148">
        <f t="shared" si="35"/>
        <v>21</v>
      </c>
      <c r="O135" s="131" t="str">
        <f t="shared" si="30"/>
        <v/>
      </c>
      <c r="P135" s="131" t="str">
        <f t="shared" si="44"/>
        <v/>
      </c>
      <c r="Q135" s="131">
        <f t="shared" si="45"/>
        <v>21</v>
      </c>
      <c r="R135" s="127" t="str">
        <f t="shared" si="46"/>
        <v/>
      </c>
      <c r="S135" s="60" t="str">
        <f t="shared" si="36"/>
        <v>u</v>
      </c>
      <c r="T135" s="231" t="str">
        <f>IF(L135="","",VLOOKUP(L135,classifications!C:K,9,FALSE))</f>
        <v>Sparse</v>
      </c>
      <c r="U135" s="238">
        <f t="shared" si="31"/>
        <v>21</v>
      </c>
      <c r="V135" s="239">
        <f>IF(U135="","",IF($I$8="A",(RANK(U135,U$11:U$363)+COUNTIF(U$11:U135,U135)-1),(RANK(U135,U$11:U$363,1)+COUNTIF(U$11:U135,U135)-1)))</f>
        <v>30</v>
      </c>
      <c r="W135" s="240"/>
      <c r="X135" s="61" t="str">
        <f>IF(L135="","",VLOOKUP($L135,classifications!$C:$J,6,FALSE))</f>
        <v xml:space="preserve">Mainly Rural (rural including hub towns &gt;=80%) </v>
      </c>
      <c r="Y135" s="49">
        <f t="shared" si="32"/>
        <v>21</v>
      </c>
      <c r="Z135" s="57">
        <f>IF(Y135="","",IF(I$8="A",(RANK(Y135,Y$11:Y$363,1)+COUNTIF(Y$11:Y135,Y135)-1),(RANK(Y135,Y$11:Y$363)+COUNTIF(Y$11:Y135,Y135)-1)))</f>
        <v>28</v>
      </c>
      <c r="AA135" s="245" t="str">
        <f>IF(L135="","",VLOOKUP($L135,classifications!C:I,7,FALSE))</f>
        <v>Predominantly Rural</v>
      </c>
      <c r="AB135" s="239">
        <f t="shared" si="37"/>
        <v>21</v>
      </c>
      <c r="AC135" s="239">
        <f>IF(AB135="","",IF($I$8="A",(RANK(AB135,AB$11:AB$363)+COUNTIF(AB$11:AB135,AB135)-1),(RANK(AB135,AB$11:AB$363,1)+COUNTIF(AB$11:AB135,AB135)-1)))</f>
        <v>22</v>
      </c>
      <c r="AD135" s="239"/>
      <c r="AE135" s="51" t="str">
        <f t="shared" si="50"/>
        <v/>
      </c>
      <c r="AG135" s="143"/>
      <c r="AH135" s="52"/>
      <c r="AI135" s="61" t="str">
        <f>IF(L135="","",VLOOKUP($L135,classifications!$C:$J,8,FALSE))</f>
        <v>Cumbria</v>
      </c>
      <c r="AJ135" s="62">
        <f t="shared" si="33"/>
        <v>21</v>
      </c>
      <c r="AK135" s="57">
        <f>IF(AJ135="","",IF(I$8="A",(RANK(AJ135,AJ$11:AJ$363,1)+COUNTIF(AJ$11:AJ135,AJ135)-1),(RANK(AJ135,AJ$11:AJ$363)+COUNTIF(AJ$11:AJ135,AJ135)-1)))</f>
        <v>3</v>
      </c>
      <c r="AL135" s="52" t="str">
        <f t="shared" si="47"/>
        <v/>
      </c>
      <c r="AM135" s="31" t="str">
        <f t="shared" si="49"/>
        <v/>
      </c>
      <c r="AN135" s="31" t="str">
        <f t="shared" si="38"/>
        <v/>
      </c>
      <c r="AP135" s="61" t="str">
        <f>IF(L135="","",VLOOKUP($L135,classifications!$C:$E,3,FALSE))</f>
        <v>North West</v>
      </c>
      <c r="AQ135" s="62">
        <f t="shared" si="39"/>
        <v>21</v>
      </c>
      <c r="AR135" s="57">
        <f>IF(AQ135="","",IF(I$8="A",(RANK(AQ135,AQ$11:AQ$363,1)+COUNTIF(AQ$11:AQ135,AQ135)-1),(RANK(AQ135,AQ$11:AQ$363)+COUNTIF(AQ$11:AQ135,AQ135)-1)))</f>
        <v>8</v>
      </c>
      <c r="AS135" s="52" t="str">
        <f t="shared" si="40"/>
        <v/>
      </c>
      <c r="AT135" s="57" t="str">
        <f t="shared" si="41"/>
        <v/>
      </c>
      <c r="AU135" s="62" t="str">
        <f t="shared" si="48"/>
        <v/>
      </c>
      <c r="AX135" s="44">
        <f>HLOOKUP($AX$9&amp;$AX$10,Data!$A$1:$ZZ$2000,(MATCH($C135,Data!$A$1:$A$2000,0)),FALSE)</f>
        <v>16</v>
      </c>
      <c r="AY135" s="156"/>
      <c r="AZ135" s="44"/>
    </row>
    <row r="136" spans="1:52">
      <c r="A136" s="84" t="str">
        <f>$D$1&amp;126</f>
        <v>SD126</v>
      </c>
      <c r="B136" s="85">
        <f>IF(ISERROR(VLOOKUP(A136,classifications!A:C,3,FALSE)),0,VLOOKUP(A136,classifications!A:C,3,FALSE))</f>
        <v>0</v>
      </c>
      <c r="C136" s="31" t="s">
        <v>337</v>
      </c>
      <c r="D136" s="49" t="str">
        <f>VLOOKUP($C136,classifications!$C:$J,4,FALSE)</f>
        <v>L</v>
      </c>
      <c r="E136" s="49">
        <f>VLOOKUP(C136,classifications!C:K,9,FALSE)</f>
        <v>0</v>
      </c>
      <c r="F136" s="59">
        <f t="shared" si="27"/>
        <v>23</v>
      </c>
      <c r="G136" s="105"/>
      <c r="H136" s="60" t="str">
        <f t="shared" si="28"/>
        <v/>
      </c>
      <c r="I136" s="112" t="str">
        <f>IF(H136="","",IF($I$8="A",(RANK(H136,H$11:H$363,1)+COUNTIF(H$11:H136,H136)-1),(RANK(H136,H$11:H$363)+COUNTIF(H$11:H136,H136)-1)))</f>
        <v/>
      </c>
      <c r="J136" s="58"/>
      <c r="K136" s="51">
        <f t="shared" si="43"/>
        <v>126</v>
      </c>
      <c r="L136" s="59" t="str">
        <f t="shared" si="29"/>
        <v>Chichester</v>
      </c>
      <c r="M136" s="153">
        <f t="shared" si="34"/>
        <v>21</v>
      </c>
      <c r="N136" s="148">
        <f t="shared" si="35"/>
        <v>21</v>
      </c>
      <c r="O136" s="131" t="str">
        <f t="shared" si="30"/>
        <v/>
      </c>
      <c r="P136" s="131" t="str">
        <f t="shared" si="44"/>
        <v/>
      </c>
      <c r="Q136" s="131">
        <f t="shared" si="45"/>
        <v>21</v>
      </c>
      <c r="R136" s="127" t="str">
        <f t="shared" si="46"/>
        <v/>
      </c>
      <c r="S136" s="60" t="str">
        <f t="shared" si="36"/>
        <v/>
      </c>
      <c r="T136" s="231" t="str">
        <f>IF(L136="","",VLOOKUP(L136,classifications!C:K,9,FALSE))</f>
        <v>Sparse</v>
      </c>
      <c r="U136" s="238">
        <f t="shared" si="31"/>
        <v>21</v>
      </c>
      <c r="V136" s="239">
        <f>IF(U136="","",IF($I$8="A",(RANK(U136,U$11:U$363)+COUNTIF(U$11:U136,U136)-1),(RANK(U136,U$11:U$363,1)+COUNTIF(U$11:U136,U136)-1)))</f>
        <v>31</v>
      </c>
      <c r="W136" s="240"/>
      <c r="X136" s="61" t="str">
        <f>IF(L136="","",VLOOKUP($L136,classifications!$C:$J,6,FALSE))</f>
        <v xml:space="preserve">Largely Rural (rural including hub towns 50-79%) </v>
      </c>
      <c r="Y136" s="49" t="str">
        <f t="shared" si="32"/>
        <v/>
      </c>
      <c r="Z136" s="57" t="str">
        <f>IF(Y136="","",IF(I$8="A",(RANK(Y136,Y$11:Y$363,1)+COUNTIF(Y$11:Y136,Y136)-1),(RANK(Y136,Y$11:Y$363)+COUNTIF(Y$11:Y136,Y136)-1)))</f>
        <v/>
      </c>
      <c r="AA136" s="245" t="str">
        <f>IF(L136="","",VLOOKUP($L136,classifications!C:I,7,FALSE))</f>
        <v>Predominantly Rural</v>
      </c>
      <c r="AB136" s="239">
        <f t="shared" si="37"/>
        <v>21</v>
      </c>
      <c r="AC136" s="239">
        <f>IF(AB136="","",IF($I$8="A",(RANK(AB136,AB$11:AB$363)+COUNTIF(AB$11:AB136,AB136)-1),(RANK(AB136,AB$11:AB$363,1)+COUNTIF(AB$11:AB136,AB136)-1)))</f>
        <v>23</v>
      </c>
      <c r="AD136" s="239"/>
      <c r="AE136" s="51" t="str">
        <f t="shared" si="50"/>
        <v/>
      </c>
      <c r="AG136" s="143"/>
      <c r="AH136" s="52"/>
      <c r="AI136" s="61" t="str">
        <f>IF(L136="","",VLOOKUP($L136,classifications!$C:$J,8,FALSE))</f>
        <v>West Sussex</v>
      </c>
      <c r="AJ136" s="62" t="str">
        <f t="shared" si="33"/>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South East</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23</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Epping Forest</v>
      </c>
      <c r="M137" s="153">
        <f t="shared" si="34"/>
        <v>21</v>
      </c>
      <c r="N137" s="148">
        <f t="shared" si="35"/>
        <v>21</v>
      </c>
      <c r="O137" s="131" t="str">
        <f t="shared" si="30"/>
        <v/>
      </c>
      <c r="P137" s="131" t="str">
        <f t="shared" si="44"/>
        <v/>
      </c>
      <c r="Q137" s="131">
        <f t="shared" si="45"/>
        <v>21</v>
      </c>
      <c r="R137" s="127" t="str">
        <f t="shared" si="46"/>
        <v/>
      </c>
      <c r="S137" s="60" t="str">
        <f t="shared" si="36"/>
        <v/>
      </c>
      <c r="T137" s="231">
        <f>IF(L137="","",VLOOKUP(L137,classifications!C:K,9,FALSE))</f>
        <v>0</v>
      </c>
      <c r="U137" s="238" t="str">
        <f t="shared" si="31"/>
        <v/>
      </c>
      <c r="V137" s="239" t="str">
        <f>IF(U137="","",IF($I$8="A",(RANK(U137,U$11:U$363)+COUNTIF(U$11:U137,U137)-1),(RANK(U137,U$11:U$363,1)+COUNTIF(U$11:U137,U137)-1)))</f>
        <v/>
      </c>
      <c r="W137" s="240"/>
      <c r="X137" s="61" t="str">
        <f>IF(L137="","",VLOOKUP($L137,classifications!$C:$J,6,FALSE))</f>
        <v>Urban with Significant Rural (rural including hub towns 26-49%)</v>
      </c>
      <c r="Y137" s="49" t="str">
        <f t="shared" si="32"/>
        <v/>
      </c>
      <c r="Z137" s="57" t="str">
        <f>IF(Y137="","",IF(I$8="A",(RANK(Y137,Y$11:Y$363,1)+COUNTIF(Y$11:Y137,Y137)-1),(RANK(Y137,Y$11:Y$363)+COUNTIF(Y$11:Y137,Y137)-1)))</f>
        <v/>
      </c>
      <c r="AA137" s="245" t="str">
        <f>IF(L137="","",VLOOKUP($L137,classifications!C:I,7,FALSE))</f>
        <v>Significant Rural</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Essex</v>
      </c>
      <c r="AJ137" s="62" t="str">
        <f t="shared" si="33"/>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East of England</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15</v>
      </c>
      <c r="G138" s="105"/>
      <c r="H138" s="60">
        <f t="shared" si="28"/>
        <v>15</v>
      </c>
      <c r="I138" s="112">
        <f>IF(H138="","",IF($I$8="A",(RANK(H138,H$11:H$363,1)+COUNTIF(H$11:H138,H138)-1),(RANK(H138,H$11:H$363)+COUNTIF(H$11:H138,H138)-1)))</f>
        <v>40</v>
      </c>
      <c r="J138" s="58"/>
      <c r="K138" s="51">
        <f t="shared" si="43"/>
        <v>128</v>
      </c>
      <c r="L138" s="59" t="str">
        <f t="shared" si="29"/>
        <v>Exeter</v>
      </c>
      <c r="M138" s="153">
        <f t="shared" si="34"/>
        <v>21</v>
      </c>
      <c r="N138" s="148">
        <f t="shared" si="35"/>
        <v>21</v>
      </c>
      <c r="O138" s="131" t="str">
        <f t="shared" si="30"/>
        <v/>
      </c>
      <c r="P138" s="131" t="str">
        <f t="shared" si="44"/>
        <v/>
      </c>
      <c r="Q138" s="131">
        <f t="shared" si="45"/>
        <v>21</v>
      </c>
      <c r="R138" s="127" t="str">
        <f t="shared" si="46"/>
        <v/>
      </c>
      <c r="S138" s="60" t="str">
        <f t="shared" si="36"/>
        <v/>
      </c>
      <c r="T138" s="231">
        <f>IF(L138="","",VLOOKUP(L138,classifications!C:K,9,FALSE))</f>
        <v>0</v>
      </c>
      <c r="U138" s="238" t="str">
        <f t="shared" si="31"/>
        <v/>
      </c>
      <c r="V138" s="239" t="str">
        <f>IF(U138="","",IF($I$8="A",(RANK(U138,U$11:U$363)+COUNTIF(U$11:U138,U138)-1),(RANK(U138,U$11:U$363,1)+COUNTIF(U$11:U138,U138)-1)))</f>
        <v/>
      </c>
      <c r="W138" s="240"/>
      <c r="X138" s="61" t="str">
        <f>IF(L138="","",VLOOKUP($L138,classifications!$C:$J,6,FALSE))</f>
        <v>Urban with City and Town</v>
      </c>
      <c r="Y138" s="49" t="str">
        <f t="shared" si="32"/>
        <v/>
      </c>
      <c r="Z138" s="57" t="str">
        <f>IF(Y138="","",IF(I$8="A",(RANK(Y138,Y$11:Y$363,1)+COUNTIF(Y$11:Y138,Y138)-1),(RANK(Y138,Y$11:Y$363)+COUNTIF(Y$11:Y138,Y138)-1)))</f>
        <v/>
      </c>
      <c r="AA138" s="245" t="str">
        <f>IF(L138="","",VLOOKUP($L138,classifications!C:I,7,FALSE))</f>
        <v>Predominantly Urban</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Devon</v>
      </c>
      <c r="AJ138" s="62" t="str">
        <f t="shared" si="33"/>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South West</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15</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16</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Hart</v>
      </c>
      <c r="M139" s="153">
        <f t="shared" si="34"/>
        <v>21</v>
      </c>
      <c r="N139" s="148">
        <f t="shared" si="35"/>
        <v>21</v>
      </c>
      <c r="O139" s="131" t="str">
        <f t="shared" ref="O139:O202" si="54">IF(I$8="A",IF(N139&gt;=$P$7,IF(N139&lt;=$O$10,N139,""),""),IF(N139&lt;=$P$7,IF(N139&gt;=$O$10,N139,""),""))</f>
        <v/>
      </c>
      <c r="P139" s="131" t="str">
        <f t="shared" si="44"/>
        <v/>
      </c>
      <c r="Q139" s="131">
        <f t="shared" si="45"/>
        <v>21</v>
      </c>
      <c r="R139" s="127" t="str">
        <f t="shared" si="46"/>
        <v/>
      </c>
      <c r="S139" s="60" t="str">
        <f t="shared" si="36"/>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Urban with Significant Rural (rural including hub towns 26-49%)</v>
      </c>
      <c r="Y139" s="49" t="str">
        <f t="shared" ref="Y139:Y202" si="56">IF($D$1="UA",IF(X139="Largely Rural (rural including hub towns 50-79%) ",M139,IF(X139="Mainly Rural (rural including hub towns &gt;=80%) ",M139,IF(X139="Urban with Significant Rural (rural including hub towns 26-49%)",M139,""))),IF($D$1="SD",IF(X139=$H$3,M139,"")))</f>
        <v/>
      </c>
      <c r="Z139" s="57" t="str">
        <f>IF(Y139="","",IF(I$8="A",(RANK(Y139,Y$11:Y$363,1)+COUNTIF(Y$11:Y139,Y139)-1),(RANK(Y139,Y$11:Y$363)+COUNTIF(Y$11:Y139,Y139)-1)))</f>
        <v/>
      </c>
      <c r="AA139" s="245" t="str">
        <f>IF(L139="","",VLOOKUP($L139,classifications!C:I,7,FALSE))</f>
        <v>Significant Rural</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Hampshire</v>
      </c>
      <c r="AJ139" s="62" t="str">
        <f t="shared" ref="AJ139:AJ202" si="57">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South East</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16</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27</v>
      </c>
      <c r="G140" s="105"/>
      <c r="H140" s="60">
        <f t="shared" si="52"/>
        <v>27</v>
      </c>
      <c r="I140" s="112">
        <f>IF(H140="","",IF($I$8="A",(RANK(H140,H$11:H$363,1)+COUNTIF(H$11:H140,H140)-1),(RANK(H140,H$11:H$363)+COUNTIF(H$11:H140,H140)-1)))</f>
        <v>183</v>
      </c>
      <c r="J140" s="58"/>
      <c r="K140" s="51">
        <f t="shared" si="43"/>
        <v>130</v>
      </c>
      <c r="L140" s="59" t="str">
        <f t="shared" si="53"/>
        <v>Ipswich</v>
      </c>
      <c r="M140" s="153">
        <f t="shared" ref="M140:M203" si="58">IF(L140="","",IF(VLOOKUP(L140,C:D,2,FALSE)=$F$3,VLOOKUP(L140,C:H,6,FALSE),""))</f>
        <v>21</v>
      </c>
      <c r="N140" s="148">
        <f t="shared" ref="N140:N203" si="59">IF(L140="","",IF($H$8="%%",M140*100,M140))</f>
        <v>21</v>
      </c>
      <c r="O140" s="131" t="str">
        <f t="shared" si="54"/>
        <v/>
      </c>
      <c r="P140" s="131" t="str">
        <f t="shared" si="44"/>
        <v/>
      </c>
      <c r="Q140" s="131">
        <f t="shared" si="45"/>
        <v>21</v>
      </c>
      <c r="R140" s="127" t="str">
        <f t="shared" si="46"/>
        <v/>
      </c>
      <c r="S140" s="60" t="str">
        <f t="shared" ref="S140:S203" si="60">IF(L140=D$3,"u","")</f>
        <v/>
      </c>
      <c r="T140" s="231">
        <f>IF(L140="","",VLOOKUP(L140,classifications!C:K,9,FALSE))</f>
        <v>0</v>
      </c>
      <c r="U140" s="238" t="str">
        <f t="shared" si="55"/>
        <v/>
      </c>
      <c r="V140" s="239" t="str">
        <f>IF(U140="","",IF($I$8="A",(RANK(U140,U$11:U$363)+COUNTIF(U$11:U140,U140)-1),(RANK(U140,U$11:U$363,1)+COUNTIF(U$11:U140,U140)-1)))</f>
        <v/>
      </c>
      <c r="W140" s="240"/>
      <c r="X140" s="61" t="str">
        <f>IF(L140="","",VLOOKUP($L140,classifications!$C:$J,6,FALSE))</f>
        <v>Urban with City and Town</v>
      </c>
      <c r="Y140" s="49" t="str">
        <f t="shared" si="56"/>
        <v/>
      </c>
      <c r="Z140" s="57" t="str">
        <f>IF(Y140="","",IF(I$8="A",(RANK(Y140,Y$11:Y$363,1)+COUNTIF(Y$11:Y140,Y140)-1),(RANK(Y140,Y$11:Y$363)+COUNTIF(Y$11:Y140,Y140)-1)))</f>
        <v/>
      </c>
      <c r="AA140" s="245" t="str">
        <f>IF(L140="","",VLOOKUP($L140,classifications!C:I,7,FALSE))</f>
        <v>Predominantly Urban</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Suffolk</v>
      </c>
      <c r="AJ140" s="62" t="str">
        <f t="shared" si="57"/>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East of England</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27</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23</v>
      </c>
      <c r="G141" s="105"/>
      <c r="H141" s="60">
        <f t="shared" si="52"/>
        <v>23</v>
      </c>
      <c r="I141" s="112">
        <f>IF(H141="","",IF($I$8="A",(RANK(H141,H$11:H$363,1)+COUNTIF(H$11:H141,H141)-1),(RANK(H141,H$11:H$363)+COUNTIF(H$11:H141,H141)-1)))</f>
        <v>148</v>
      </c>
      <c r="J141" s="58"/>
      <c r="K141" s="51">
        <f t="shared" ref="K141:K204" si="66">IF(K140="","",IF(K140+1&gt;(COUNT(H$11:H$363)),"",K140+1))</f>
        <v>131</v>
      </c>
      <c r="L141" s="59" t="str">
        <f t="shared" si="53"/>
        <v>North Dorset</v>
      </c>
      <c r="M141" s="153">
        <f t="shared" si="58"/>
        <v>21</v>
      </c>
      <c r="N141" s="148">
        <f t="shared" si="59"/>
        <v>21</v>
      </c>
      <c r="O141" s="131" t="str">
        <f t="shared" si="54"/>
        <v/>
      </c>
      <c r="P141" s="131" t="str">
        <f t="shared" ref="P141:P204" si="67">IF(I$8="A",IF(N141&gt;$O$10,IF(N141&lt;=$P$10,N141,""),""),IF(N141&lt;$O$10,IF(N141&gt;=$P$10,N141,""),""))</f>
        <v/>
      </c>
      <c r="Q141" s="131">
        <f t="shared" ref="Q141:Q204" si="68">IF(I$8="A",IF(N141&gt;$P$10,IF(N141&lt;=$Q$10,N141,""),""),IF(N141&lt;$P$10,IF(N141&gt;=$Q$10,N141,""),""))</f>
        <v>21</v>
      </c>
      <c r="R141" s="127" t="str">
        <f t="shared" ref="R141:R204" si="69">IF(I$8="A",IF(N141&gt;$Q$10,N141,""),IF(N141&lt;$Q$10,N141,""))</f>
        <v/>
      </c>
      <c r="S141" s="60" t="str">
        <f t="shared" si="60"/>
        <v/>
      </c>
      <c r="T141" s="231" t="str">
        <f>IF(L141="","",VLOOKUP(L141,classifications!C:K,9,FALSE))</f>
        <v>Sparse</v>
      </c>
      <c r="U141" s="238">
        <f t="shared" si="55"/>
        <v>21</v>
      </c>
      <c r="V141" s="239">
        <f>IF(U141="","",IF($I$8="A",(RANK(U141,U$11:U$363)+COUNTIF(U$11:U141,U141)-1),(RANK(U141,U$11:U$363,1)+COUNTIF(U$11:U141,U141)-1)))</f>
        <v>32</v>
      </c>
      <c r="W141" s="240"/>
      <c r="X141" s="61" t="str">
        <f>IF(L141="","",VLOOKUP($L141,classifications!$C:$J,6,FALSE))</f>
        <v xml:space="preserve">Mainly Rural (rural including hub towns &gt;=80%) </v>
      </c>
      <c r="Y141" s="49">
        <f t="shared" si="56"/>
        <v>21</v>
      </c>
      <c r="Z141" s="57">
        <f>IF(Y141="","",IF(I$8="A",(RANK(Y141,Y$11:Y$363,1)+COUNTIF(Y$11:Y141,Y141)-1),(RANK(Y141,Y$11:Y$363)+COUNTIF(Y$11:Y141,Y141)-1)))</f>
        <v>29</v>
      </c>
      <c r="AA141" s="245" t="str">
        <f>IF(L141="","",VLOOKUP($L141,classifications!C:I,7,FALSE))</f>
        <v>Predominantly Rural</v>
      </c>
      <c r="AB141" s="239">
        <f t="shared" si="61"/>
        <v>21</v>
      </c>
      <c r="AC141" s="239">
        <f>IF(AB141="","",IF($I$8="A",(RANK(AB141,AB$11:AB$363)+COUNTIF(AB$11:AB141,AB141)-1),(RANK(AB141,AB$11:AB$363,1)+COUNTIF(AB$11:AB141,AB141)-1)))</f>
        <v>24</v>
      </c>
      <c r="AD141" s="239"/>
      <c r="AE141" s="51" t="str">
        <f t="shared" si="50"/>
        <v/>
      </c>
      <c r="AG141" s="143"/>
      <c r="AH141" s="52"/>
      <c r="AI141" s="61" t="str">
        <f>IF(L141="","",VLOOKUP($L141,classifications!$C:$J,8,FALSE))</f>
        <v>Dorset</v>
      </c>
      <c r="AJ141" s="62" t="str">
        <f t="shared" si="57"/>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South West</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23</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23</v>
      </c>
      <c r="G142" s="105"/>
      <c r="H142" s="60" t="str">
        <f t="shared" si="52"/>
        <v/>
      </c>
      <c r="I142" s="112" t="str">
        <f>IF(H142="","",IF($I$8="A",(RANK(H142,H$11:H$363,1)+COUNTIF(H$11:H142,H142)-1),(RANK(H142,H$11:H$363)+COUNTIF(H$11:H142,H142)-1)))</f>
        <v/>
      </c>
      <c r="J142" s="58"/>
      <c r="K142" s="51">
        <f t="shared" si="66"/>
        <v>132</v>
      </c>
      <c r="L142" s="59" t="str">
        <f t="shared" si="53"/>
        <v>Uttlesford</v>
      </c>
      <c r="M142" s="153">
        <f t="shared" si="58"/>
        <v>21</v>
      </c>
      <c r="N142" s="148">
        <f t="shared" si="59"/>
        <v>21</v>
      </c>
      <c r="O142" s="131" t="str">
        <f t="shared" si="54"/>
        <v/>
      </c>
      <c r="P142" s="131" t="str">
        <f t="shared" si="67"/>
        <v/>
      </c>
      <c r="Q142" s="131">
        <f t="shared" si="68"/>
        <v>21</v>
      </c>
      <c r="R142" s="127" t="str">
        <f t="shared" si="69"/>
        <v/>
      </c>
      <c r="S142" s="60" t="str">
        <f t="shared" si="60"/>
        <v/>
      </c>
      <c r="T142" s="231" t="str">
        <f>IF(L142="","",VLOOKUP(L142,classifications!C:K,9,FALSE))</f>
        <v>Sparse</v>
      </c>
      <c r="U142" s="238">
        <f t="shared" si="55"/>
        <v>21</v>
      </c>
      <c r="V142" s="239">
        <f>IF(U142="","",IF($I$8="A",(RANK(U142,U$11:U$363)+COUNTIF(U$11:U142,U142)-1),(RANK(U142,U$11:U$363,1)+COUNTIF(U$11:U142,U142)-1)))</f>
        <v>33</v>
      </c>
      <c r="W142" s="240"/>
      <c r="X142" s="61" t="str">
        <f>IF(L142="","",VLOOKUP($L142,classifications!$C:$J,6,FALSE))</f>
        <v xml:space="preserve">Mainly Rural (rural including hub towns &gt;=80%) </v>
      </c>
      <c r="Y142" s="49">
        <f t="shared" si="56"/>
        <v>21</v>
      </c>
      <c r="Z142" s="57">
        <f>IF(Y142="","",IF(I$8="A",(RANK(Y142,Y$11:Y$363,1)+COUNTIF(Y$11:Y142,Y142)-1),(RANK(Y142,Y$11:Y$363)+COUNTIF(Y$11:Y142,Y142)-1)))</f>
        <v>30</v>
      </c>
      <c r="AA142" s="245" t="str">
        <f>IF(L142="","",VLOOKUP($L142,classifications!C:I,7,FALSE))</f>
        <v>Predominantly Rural</v>
      </c>
      <c r="AB142" s="239">
        <f t="shared" si="61"/>
        <v>21</v>
      </c>
      <c r="AC142" s="239">
        <f>IF(AB142="","",IF($I$8="A",(RANK(AB142,AB$11:AB$363)+COUNTIF(AB$11:AB142,AB142)-1),(RANK(AB142,AB$11:AB$363,1)+COUNTIF(AB$11:AB142,AB142)-1)))</f>
        <v>25</v>
      </c>
      <c r="AD142" s="239"/>
      <c r="AE142" s="51" t="str">
        <f t="shared" si="50"/>
        <v/>
      </c>
      <c r="AG142" s="143"/>
      <c r="AH142" s="52"/>
      <c r="AI142" s="61" t="str">
        <f>IF(L142="","",VLOOKUP($L142,classifications!$C:$J,8,FALSE))</f>
        <v>Essex</v>
      </c>
      <c r="AJ142" s="62" t="str">
        <f t="shared" si="57"/>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East of England</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23</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21</v>
      </c>
      <c r="G143" s="105"/>
      <c r="H143" s="60">
        <f t="shared" si="52"/>
        <v>21</v>
      </c>
      <c r="I143" s="112">
        <f>IF(H143="","",IF($I$8="A",(RANK(H143,H$11:H$363,1)+COUNTIF(H$11:H143,H143)-1),(RANK(H143,H$11:H$363)+COUNTIF(H$11:H143,H143)-1)))</f>
        <v>129</v>
      </c>
      <c r="J143" s="58"/>
      <c r="K143" s="51">
        <f t="shared" si="66"/>
        <v>133</v>
      </c>
      <c r="L143" s="59" t="str">
        <f t="shared" si="53"/>
        <v>West Devon</v>
      </c>
      <c r="M143" s="153">
        <f t="shared" si="58"/>
        <v>21</v>
      </c>
      <c r="N143" s="148">
        <f t="shared" si="59"/>
        <v>21</v>
      </c>
      <c r="O143" s="131" t="str">
        <f t="shared" si="54"/>
        <v/>
      </c>
      <c r="P143" s="131" t="str">
        <f t="shared" si="67"/>
        <v/>
      </c>
      <c r="Q143" s="131">
        <f t="shared" si="68"/>
        <v>21</v>
      </c>
      <c r="R143" s="127" t="str">
        <f t="shared" si="69"/>
        <v/>
      </c>
      <c r="S143" s="60" t="str">
        <f t="shared" si="60"/>
        <v/>
      </c>
      <c r="T143" s="231" t="str">
        <f>IF(L143="","",VLOOKUP(L143,classifications!C:K,9,FALSE))</f>
        <v>Sparse</v>
      </c>
      <c r="U143" s="238">
        <f t="shared" si="55"/>
        <v>21</v>
      </c>
      <c r="V143" s="239">
        <f>IF(U143="","",IF($I$8="A",(RANK(U143,U$11:U$363)+COUNTIF(U$11:U143,U143)-1),(RANK(U143,U$11:U$363,1)+COUNTIF(U$11:U143,U143)-1)))</f>
        <v>34</v>
      </c>
      <c r="W143" s="240"/>
      <c r="X143" s="61" t="str">
        <f>IF(L143="","",VLOOKUP($L143,classifications!$C:$J,6,FALSE))</f>
        <v xml:space="preserve">Mainly Rural (rural including hub towns &gt;=80%) </v>
      </c>
      <c r="Y143" s="49">
        <f t="shared" si="56"/>
        <v>21</v>
      </c>
      <c r="Z143" s="57">
        <f>IF(Y143="","",IF(I$8="A",(RANK(Y143,Y$11:Y$363,1)+COUNTIF(Y$11:Y143,Y143)-1),(RANK(Y143,Y$11:Y$363)+COUNTIF(Y$11:Y143,Y143)-1)))</f>
        <v>31</v>
      </c>
      <c r="AA143" s="245" t="str">
        <f>IF(L143="","",VLOOKUP($L143,classifications!C:I,7,FALSE))</f>
        <v>Predominantly Rural</v>
      </c>
      <c r="AB143" s="239">
        <f t="shared" si="61"/>
        <v>21</v>
      </c>
      <c r="AC143" s="239">
        <f>IF(AB143="","",IF($I$8="A",(RANK(AB143,AB$11:AB$363)+COUNTIF(AB$11:AB143,AB143)-1),(RANK(AB143,AB$11:AB$363,1)+COUNTIF(AB$11:AB143,AB143)-1)))</f>
        <v>26</v>
      </c>
      <c r="AD143" s="239"/>
      <c r="AE143" s="51" t="str">
        <f t="shared" si="50"/>
        <v/>
      </c>
      <c r="AG143" s="143"/>
      <c r="AH143" s="52"/>
      <c r="AI143" s="61" t="str">
        <f>IF(L143="","",VLOOKUP($L143,classifications!$C:$J,8,FALSE))</f>
        <v>Devon</v>
      </c>
      <c r="AJ143" s="62" t="str">
        <f t="shared" si="57"/>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South West</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21</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17</v>
      </c>
      <c r="G144" s="105"/>
      <c r="H144" s="60" t="str">
        <f t="shared" si="52"/>
        <v/>
      </c>
      <c r="I144" s="112" t="str">
        <f>IF(H144="","",IF($I$8="A",(RANK(H144,H$11:H$363,1)+COUNTIF(H$11:H144,H144)-1),(RANK(H144,H$11:H$363)+COUNTIF(H$11:H144,H144)-1)))</f>
        <v/>
      </c>
      <c r="J144" s="58"/>
      <c r="K144" s="51">
        <f t="shared" si="66"/>
        <v>134</v>
      </c>
      <c r="L144" s="59" t="str">
        <f t="shared" si="53"/>
        <v>Worcester</v>
      </c>
      <c r="M144" s="153">
        <f t="shared" si="58"/>
        <v>21</v>
      </c>
      <c r="N144" s="148">
        <f t="shared" si="59"/>
        <v>21</v>
      </c>
      <c r="O144" s="131" t="str">
        <f t="shared" si="54"/>
        <v/>
      </c>
      <c r="P144" s="131" t="str">
        <f t="shared" si="67"/>
        <v/>
      </c>
      <c r="Q144" s="131">
        <f t="shared" si="68"/>
        <v>21</v>
      </c>
      <c r="R144" s="127" t="str">
        <f t="shared" si="69"/>
        <v/>
      </c>
      <c r="S144" s="60" t="str">
        <f t="shared" si="60"/>
        <v/>
      </c>
      <c r="T144" s="231">
        <f>IF(L144="","",VLOOKUP(L144,classifications!C:K,9,FALSE))</f>
        <v>0</v>
      </c>
      <c r="U144" s="238" t="str">
        <f t="shared" si="55"/>
        <v/>
      </c>
      <c r="V144" s="239" t="str">
        <f>IF(U144="","",IF($I$8="A",(RANK(U144,U$11:U$363)+COUNTIF(U$11:U144,U144)-1),(RANK(U144,U$11:U$363,1)+COUNTIF(U$11:U144,U144)-1)))</f>
        <v/>
      </c>
      <c r="W144" s="240"/>
      <c r="X144" s="61" t="str">
        <f>IF(L144="","",VLOOKUP($L144,classifications!$C:$J,6,FALSE))</f>
        <v>Urban with City and Town</v>
      </c>
      <c r="Y144" s="49" t="str">
        <f t="shared" si="56"/>
        <v/>
      </c>
      <c r="Z144" s="57" t="str">
        <f>IF(Y144="","",IF(I$8="A",(RANK(Y144,Y$11:Y$363,1)+COUNTIF(Y$11:Y144,Y144)-1),(RANK(Y144,Y$11:Y$363)+COUNTIF(Y$11:Y144,Y144)-1)))</f>
        <v/>
      </c>
      <c r="AA144" s="245" t="str">
        <f>IF(L144="","",VLOOKUP($L144,classifications!C:I,7,FALSE))</f>
        <v>Predominantly Urban</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Worcestershire</v>
      </c>
      <c r="AJ144" s="62" t="str">
        <f t="shared" si="57"/>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West Midlands</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17</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15</v>
      </c>
      <c r="G145" s="105"/>
      <c r="H145" s="60">
        <f t="shared" si="52"/>
        <v>15</v>
      </c>
      <c r="I145" s="112">
        <f>IF(H145="","",IF($I$8="A",(RANK(H145,H$11:H$363,1)+COUNTIF(H$11:H145,H145)-1),(RANK(H145,H$11:H$363)+COUNTIF(H$11:H145,H145)-1)))</f>
        <v>41</v>
      </c>
      <c r="J145" s="58"/>
      <c r="K145" s="51">
        <f t="shared" si="66"/>
        <v>135</v>
      </c>
      <c r="L145" s="59" t="str">
        <f t="shared" si="53"/>
        <v>Broxbourne</v>
      </c>
      <c r="M145" s="153">
        <f t="shared" si="58"/>
        <v>22</v>
      </c>
      <c r="N145" s="148">
        <f t="shared" si="59"/>
        <v>22</v>
      </c>
      <c r="O145" s="131" t="str">
        <f t="shared" si="54"/>
        <v/>
      </c>
      <c r="P145" s="131" t="str">
        <f t="shared" si="67"/>
        <v/>
      </c>
      <c r="Q145" s="131">
        <f t="shared" si="68"/>
        <v>22</v>
      </c>
      <c r="R145" s="127" t="str">
        <f t="shared" si="69"/>
        <v/>
      </c>
      <c r="S145" s="60" t="str">
        <f t="shared" si="60"/>
        <v/>
      </c>
      <c r="T145" s="231">
        <f>IF(L145="","",VLOOKUP(L145,classifications!C:K,9,FALSE))</f>
        <v>0</v>
      </c>
      <c r="U145" s="238" t="str">
        <f t="shared" si="55"/>
        <v/>
      </c>
      <c r="V145" s="239" t="str">
        <f>IF(U145="","",IF($I$8="A",(RANK(U145,U$11:U$363)+COUNTIF(U$11:U145,U145)-1),(RANK(U145,U$11:U$363,1)+COUNTIF(U$11:U145,U145)-1)))</f>
        <v/>
      </c>
      <c r="W145" s="240"/>
      <c r="X145" s="61" t="str">
        <f>IF(L145="","",VLOOKUP($L145,classifications!$C:$J,6,FALSE))</f>
        <v>Urban with Major Conurbation</v>
      </c>
      <c r="Y145" s="49" t="str">
        <f t="shared" si="56"/>
        <v/>
      </c>
      <c r="Z145" s="57" t="str">
        <f>IF(Y145="","",IF(I$8="A",(RANK(Y145,Y$11:Y$363,1)+COUNTIF(Y$11:Y145,Y145)-1),(RANK(Y145,Y$11:Y$363)+COUNTIF(Y$11:Y145,Y145)-1)))</f>
        <v/>
      </c>
      <c r="AA145" s="245" t="str">
        <f>IF(L145="","",VLOOKUP($L145,classifications!C:I,7,FALSE))</f>
        <v>Predominantly Urban</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Hertfordshire</v>
      </c>
      <c r="AJ145" s="62" t="str">
        <f t="shared" si="57"/>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East of England</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15</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14</v>
      </c>
      <c r="G146" s="105"/>
      <c r="H146" s="60">
        <f t="shared" si="52"/>
        <v>14</v>
      </c>
      <c r="I146" s="112">
        <f>IF(H146="","",IF($I$8="A",(RANK(H146,H$11:H$363,1)+COUNTIF(H$11:H146,H146)-1),(RANK(H146,H$11:H$363)+COUNTIF(H$11:H146,H146)-1)))</f>
        <v>26</v>
      </c>
      <c r="J146" s="58"/>
      <c r="K146" s="51">
        <f t="shared" si="66"/>
        <v>136</v>
      </c>
      <c r="L146" s="59" t="str">
        <f t="shared" si="53"/>
        <v>Fylde</v>
      </c>
      <c r="M146" s="153">
        <f t="shared" si="58"/>
        <v>22</v>
      </c>
      <c r="N146" s="148">
        <f t="shared" si="59"/>
        <v>22</v>
      </c>
      <c r="O146" s="131" t="str">
        <f t="shared" si="54"/>
        <v/>
      </c>
      <c r="P146" s="131" t="str">
        <f t="shared" si="67"/>
        <v/>
      </c>
      <c r="Q146" s="131">
        <f t="shared" si="68"/>
        <v>22</v>
      </c>
      <c r="R146" s="127" t="str">
        <f t="shared" si="69"/>
        <v/>
      </c>
      <c r="S146" s="60" t="str">
        <f t="shared" si="60"/>
        <v/>
      </c>
      <c r="T146" s="231">
        <f>IF(L146="","",VLOOKUP(L146,classifications!C:K,9,FALSE))</f>
        <v>0</v>
      </c>
      <c r="U146" s="238" t="str">
        <f t="shared" si="55"/>
        <v/>
      </c>
      <c r="V146" s="239" t="str">
        <f>IF(U146="","",IF($I$8="A",(RANK(U146,U$11:U$363)+COUNTIF(U$11:U146,U146)-1),(RANK(U146,U$11:U$363,1)+COUNTIF(U$11:U146,U146)-1)))</f>
        <v/>
      </c>
      <c r="W146" s="240"/>
      <c r="X146" s="61" t="str">
        <f>IF(L146="","",VLOOKUP($L146,classifications!$C:$J,6,FALSE))</f>
        <v>Urban with City and Town</v>
      </c>
      <c r="Y146" s="49" t="str">
        <f t="shared" si="56"/>
        <v/>
      </c>
      <c r="Z146" s="57" t="str">
        <f>IF(Y146="","",IF(I$8="A",(RANK(Y146,Y$11:Y$363,1)+COUNTIF(Y$11:Y146,Y146)-1),(RANK(Y146,Y$11:Y$363)+COUNTIF(Y$11:Y146,Y146)-1)))</f>
        <v/>
      </c>
      <c r="AA146" s="245" t="str">
        <f>IF(L146="","",VLOOKUP($L146,classifications!C:I,7,FALSE))</f>
        <v>Predominantly Urban</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Lancashire</v>
      </c>
      <c r="AJ146" s="62" t="str">
        <f t="shared" si="57"/>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North West</v>
      </c>
      <c r="AQ146" s="62">
        <f t="shared" si="63"/>
        <v>22</v>
      </c>
      <c r="AR146" s="57">
        <f>IF(AQ146="","",IF(I$8="A",(RANK(AQ146,AQ$11:AQ$363,1)+COUNTIF(AQ$11:AQ146,AQ146)-1),(RANK(AQ146,AQ$11:AQ$363)+COUNTIF(AQ$11:AQ146,AQ146)-1)))</f>
        <v>9</v>
      </c>
      <c r="AS146" s="52" t="str">
        <f t="shared" si="64"/>
        <v/>
      </c>
      <c r="AT146" s="57" t="str">
        <f t="shared" si="65"/>
        <v/>
      </c>
      <c r="AU146" s="62" t="str">
        <f t="shared" ref="AU146:AU209" si="71">IF(AT146="","",VLOOKUP(AT146,L:M,2,FALSE))</f>
        <v/>
      </c>
      <c r="AX146" s="44">
        <f>HLOOKUP($AX$9&amp;$AX$10,Data!$A$1:$ZZ$2000,(MATCH($C146,Data!$A$1:$A$2000,0)),FALSE)</f>
        <v>14</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18</v>
      </c>
      <c r="G147" s="105"/>
      <c r="H147" s="60" t="str">
        <f t="shared" si="52"/>
        <v/>
      </c>
      <c r="I147" s="112" t="str">
        <f>IF(H147="","",IF($I$8="A",(RANK(H147,H$11:H$363,1)+COUNTIF(H$11:H147,H147)-1),(RANK(H147,H$11:H$363)+COUNTIF(H$11:H147,H147)-1)))</f>
        <v/>
      </c>
      <c r="J147" s="58"/>
      <c r="K147" s="51">
        <f t="shared" si="66"/>
        <v>137</v>
      </c>
      <c r="L147" s="59" t="str">
        <f t="shared" si="53"/>
        <v>Huntingdonshire</v>
      </c>
      <c r="M147" s="153">
        <f t="shared" si="58"/>
        <v>22</v>
      </c>
      <c r="N147" s="148">
        <f t="shared" si="59"/>
        <v>22</v>
      </c>
      <c r="O147" s="131" t="str">
        <f t="shared" si="54"/>
        <v/>
      </c>
      <c r="P147" s="131" t="str">
        <f t="shared" si="67"/>
        <v/>
      </c>
      <c r="Q147" s="131">
        <f t="shared" si="68"/>
        <v>22</v>
      </c>
      <c r="R147" s="127" t="str">
        <f t="shared" si="69"/>
        <v/>
      </c>
      <c r="S147" s="60" t="str">
        <f t="shared" si="60"/>
        <v/>
      </c>
      <c r="T147" s="231" t="str">
        <f>IF(L147="","",VLOOKUP(L147,classifications!C:K,9,FALSE))</f>
        <v>Sparse</v>
      </c>
      <c r="U147" s="238">
        <f t="shared" si="55"/>
        <v>22</v>
      </c>
      <c r="V147" s="239">
        <f>IF(U147="","",IF($I$8="A",(RANK(U147,U$11:U$363)+COUNTIF(U$11:U147,U147)-1),(RANK(U147,U$11:U$363,1)+COUNTIF(U$11:U147,U147)-1)))</f>
        <v>27</v>
      </c>
      <c r="W147" s="240"/>
      <c r="X147" s="61" t="str">
        <f>IF(L147="","",VLOOKUP($L147,classifications!$C:$J,6,FALSE))</f>
        <v xml:space="preserve">Mainly Rural (rural including hub towns &gt;=80%) </v>
      </c>
      <c r="Y147" s="49">
        <f t="shared" si="56"/>
        <v>22</v>
      </c>
      <c r="Z147" s="57">
        <f>IF(Y147="","",IF(I$8="A",(RANK(Y147,Y$11:Y$363,1)+COUNTIF(Y$11:Y147,Y147)-1),(RANK(Y147,Y$11:Y$363)+COUNTIF(Y$11:Y147,Y147)-1)))</f>
        <v>32</v>
      </c>
      <c r="AA147" s="245" t="str">
        <f>IF(L147="","",VLOOKUP($L147,classifications!C:I,7,FALSE))</f>
        <v>Predominantly Rural</v>
      </c>
      <c r="AB147" s="239">
        <f t="shared" si="61"/>
        <v>22</v>
      </c>
      <c r="AC147" s="239">
        <f>IF(AB147="","",IF($I$8="A",(RANK(AB147,AB$11:AB$363)+COUNTIF(AB$11:AB147,AB147)-1),(RANK(AB147,AB$11:AB$363,1)+COUNTIF(AB$11:AB147,AB147)-1)))</f>
        <v>20</v>
      </c>
      <c r="AD147" s="239"/>
      <c r="AE147" s="51" t="str">
        <f t="shared" si="50"/>
        <v/>
      </c>
      <c r="AG147" s="143"/>
      <c r="AH147" s="52"/>
      <c r="AI147" s="61" t="str">
        <f>IF(L147="","",VLOOKUP($L147,classifications!$C:$J,8,FALSE))</f>
        <v>Cambridgeshire</v>
      </c>
      <c r="AJ147" s="62" t="str">
        <f t="shared" si="57"/>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East of England</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18</v>
      </c>
      <c r="AY147" s="156"/>
      <c r="AZ147" s="44"/>
    </row>
    <row r="148" spans="1:52">
      <c r="A148" s="84" t="str">
        <f>$D$1&amp;138</f>
        <v>SD138</v>
      </c>
      <c r="B148" s="85">
        <f>IF(ISERROR(VLOOKUP(A148,classifications!A:C,3,FALSE)),0,VLOOKUP(A148,classifications!A:C,3,FALSE))</f>
        <v>0</v>
      </c>
      <c r="C148" s="31" t="s">
        <v>821</v>
      </c>
      <c r="D148" s="49" t="str">
        <f>VLOOKUP($C148,classifications!$C:$J,4,FALSE)</f>
        <v>UA</v>
      </c>
      <c r="E148" s="49" t="str">
        <f>VLOOKUP(C148,classifications!C:K,9,FALSE)</f>
        <v>Sparse</v>
      </c>
      <c r="F148" s="59">
        <f t="shared" si="51"/>
        <v>15</v>
      </c>
      <c r="G148" s="105"/>
      <c r="H148" s="60" t="str">
        <f t="shared" si="52"/>
        <v/>
      </c>
      <c r="I148" s="112" t="str">
        <f>IF(H148="","",IF($I$8="A",(RANK(H148,H$11:H$363,1)+COUNTIF(H$11:H148,H148)-1),(RANK(H148,H$11:H$363)+COUNTIF(H$11:H148,H148)-1)))</f>
        <v/>
      </c>
      <c r="J148" s="58"/>
      <c r="K148" s="51">
        <f t="shared" si="66"/>
        <v>138</v>
      </c>
      <c r="L148" s="59" t="str">
        <f t="shared" si="53"/>
        <v>Lancaster</v>
      </c>
      <c r="M148" s="153">
        <f t="shared" si="58"/>
        <v>22</v>
      </c>
      <c r="N148" s="148">
        <f t="shared" si="59"/>
        <v>22</v>
      </c>
      <c r="O148" s="131" t="str">
        <f t="shared" si="54"/>
        <v/>
      </c>
      <c r="P148" s="131" t="str">
        <f t="shared" si="67"/>
        <v/>
      </c>
      <c r="Q148" s="131">
        <f t="shared" si="68"/>
        <v>22</v>
      </c>
      <c r="R148" s="127" t="str">
        <f t="shared" si="69"/>
        <v/>
      </c>
      <c r="S148" s="60" t="str">
        <f t="shared" si="60"/>
        <v/>
      </c>
      <c r="T148" s="231">
        <f>IF(L148="","",VLOOKUP(L148,classifications!C:K,9,FALSE))</f>
        <v>0</v>
      </c>
      <c r="U148" s="238" t="str">
        <f t="shared" si="55"/>
        <v/>
      </c>
      <c r="V148" s="239" t="str">
        <f>IF(U148="","",IF($I$8="A",(RANK(U148,U$11:U$363)+COUNTIF(U$11:U148,U148)-1),(RANK(U148,U$11:U$363,1)+COUNTIF(U$11:U148,U148)-1)))</f>
        <v/>
      </c>
      <c r="W148" s="240"/>
      <c r="X148" s="61" t="str">
        <f>IF(L148="","",VLOOKUP($L148,classifications!$C:$J,6,FALSE))</f>
        <v>Urban with Significant Rural (rural including hub towns 26-49%)</v>
      </c>
      <c r="Y148" s="49" t="str">
        <f t="shared" si="56"/>
        <v/>
      </c>
      <c r="Z148" s="57" t="str">
        <f>IF(Y148="","",IF(I$8="A",(RANK(Y148,Y$11:Y$363,1)+COUNTIF(Y$11:Y148,Y148)-1),(RANK(Y148,Y$11:Y$363)+COUNTIF(Y$11:Y148,Y148)-1)))</f>
        <v/>
      </c>
      <c r="AA148" s="245" t="str">
        <f>IF(L148="","",VLOOKUP($L148,classifications!C:I,7,FALSE))</f>
        <v>Significant Rural</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Lancashire</v>
      </c>
      <c r="AJ148" s="62" t="str">
        <f t="shared" si="57"/>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North West</v>
      </c>
      <c r="AQ148" s="62">
        <f t="shared" si="63"/>
        <v>22</v>
      </c>
      <c r="AR148" s="57">
        <f>IF(AQ148="","",IF(I$8="A",(RANK(AQ148,AQ$11:AQ$363,1)+COUNTIF(AQ$11:AQ148,AQ148)-1),(RANK(AQ148,AQ$11:AQ$363)+COUNTIF(AQ$11:AQ148,AQ148)-1)))</f>
        <v>10</v>
      </c>
      <c r="AS148" s="52" t="str">
        <f t="shared" si="64"/>
        <v/>
      </c>
      <c r="AT148" s="57" t="str">
        <f t="shared" si="65"/>
        <v/>
      </c>
      <c r="AU148" s="62" t="str">
        <f t="shared" si="71"/>
        <v/>
      </c>
      <c r="AX148" s="44">
        <f>HLOOKUP($AX$9&amp;$AX$10,Data!$A$1:$ZZ$2000,(MATCH($C148,Data!$A$1:$A$2000,0)),FALSE)</f>
        <v>15</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Lincoln</v>
      </c>
      <c r="M149" s="153">
        <f t="shared" si="58"/>
        <v>22</v>
      </c>
      <c r="N149" s="148">
        <f t="shared" si="59"/>
        <v>22</v>
      </c>
      <c r="O149" s="131" t="str">
        <f t="shared" si="54"/>
        <v/>
      </c>
      <c r="P149" s="131" t="str">
        <f t="shared" si="67"/>
        <v/>
      </c>
      <c r="Q149" s="131">
        <f t="shared" si="68"/>
        <v>22</v>
      </c>
      <c r="R149" s="127" t="str">
        <f t="shared" si="69"/>
        <v/>
      </c>
      <c r="S149" s="60" t="str">
        <f t="shared" si="60"/>
        <v/>
      </c>
      <c r="T149" s="231">
        <f>IF(L149="","",VLOOKUP(L149,classifications!C:K,9,FALSE))</f>
        <v>0</v>
      </c>
      <c r="U149" s="238" t="str">
        <f t="shared" si="55"/>
        <v/>
      </c>
      <c r="V149" s="239" t="str">
        <f>IF(U149="","",IF($I$8="A",(RANK(U149,U$11:U$363)+COUNTIF(U$11:U149,U149)-1),(RANK(U149,U$11:U$363,1)+COUNTIF(U$11:U149,U149)-1)))</f>
        <v/>
      </c>
      <c r="W149" s="240"/>
      <c r="X149" s="61" t="str">
        <f>IF(L149="","",VLOOKUP($L149,classifications!$C:$J,6,FALSE))</f>
        <v>Urban with City and Town</v>
      </c>
      <c r="Y149" s="49" t="str">
        <f t="shared" si="56"/>
        <v/>
      </c>
      <c r="Z149" s="57" t="str">
        <f>IF(Y149="","",IF(I$8="A",(RANK(Y149,Y$11:Y$363,1)+COUNTIF(Y$11:Y149,Y149)-1),(RANK(Y149,Y$11:Y$363)+COUNTIF(Y$11:Y149,Y149)-1)))</f>
        <v/>
      </c>
      <c r="AA149" s="245" t="str">
        <f>IF(L149="","",VLOOKUP($L149,classifications!C:I,7,FALSE))</f>
        <v>Predominantly Urban</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Lincolnshire</v>
      </c>
      <c r="AJ149" s="62" t="str">
        <f t="shared" si="57"/>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East Midlands</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19</v>
      </c>
      <c r="G150" s="105"/>
      <c r="H150" s="60">
        <f t="shared" si="52"/>
        <v>19</v>
      </c>
      <c r="I150" s="112">
        <f>IF(H150="","",IF($I$8="A",(RANK(H150,H$11:H$363,1)+COUNTIF(H$11:H150,H150)-1),(RANK(H150,H$11:H$363)+COUNTIF(H$11:H150,H150)-1)))</f>
        <v>99</v>
      </c>
      <c r="J150" s="58"/>
      <c r="K150" s="51">
        <f t="shared" si="66"/>
        <v>140</v>
      </c>
      <c r="L150" s="59" t="str">
        <f t="shared" si="53"/>
        <v>Nuneaton &amp; Bedworth</v>
      </c>
      <c r="M150" s="153">
        <f t="shared" si="58"/>
        <v>22</v>
      </c>
      <c r="N150" s="148">
        <f t="shared" si="59"/>
        <v>22</v>
      </c>
      <c r="O150" s="131" t="str">
        <f t="shared" si="54"/>
        <v/>
      </c>
      <c r="P150" s="131" t="str">
        <f t="shared" si="67"/>
        <v/>
      </c>
      <c r="Q150" s="131">
        <f t="shared" si="68"/>
        <v>22</v>
      </c>
      <c r="R150" s="127" t="str">
        <f t="shared" si="69"/>
        <v/>
      </c>
      <c r="S150" s="60" t="str">
        <f t="shared" si="60"/>
        <v/>
      </c>
      <c r="T150" s="231">
        <f>IF(L150="","",VLOOKUP(L150,classifications!C:K,9,FALSE))</f>
        <v>0</v>
      </c>
      <c r="U150" s="238" t="str">
        <f t="shared" si="55"/>
        <v/>
      </c>
      <c r="V150" s="239" t="str">
        <f>IF(U150="","",IF($I$8="A",(RANK(U150,U$11:U$363)+COUNTIF(U$11:U150,U150)-1),(RANK(U150,U$11:U$363,1)+COUNTIF(U$11:U150,U150)-1)))</f>
        <v/>
      </c>
      <c r="W150" s="240"/>
      <c r="X150" s="61" t="str">
        <f>IF(L150="","",VLOOKUP($L150,classifications!$C:$J,6,FALSE))</f>
        <v>Urban with City and Town</v>
      </c>
      <c r="Y150" s="49" t="str">
        <f t="shared" si="56"/>
        <v/>
      </c>
      <c r="Z150" s="57" t="str">
        <f>IF(Y150="","",IF(I$8="A",(RANK(Y150,Y$11:Y$363,1)+COUNTIF(Y$11:Y150,Y150)-1),(RANK(Y150,Y$11:Y$363)+COUNTIF(Y$11:Y150,Y150)-1)))</f>
        <v/>
      </c>
      <c r="AA150" s="245" t="str">
        <f>IF(L150="","",VLOOKUP($L150,classifications!C:I,7,FALSE))</f>
        <v>Predominantly Urban</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Warwickshire</v>
      </c>
      <c r="AJ150" s="62" t="str">
        <f t="shared" si="57"/>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West Midlands</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19</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14</v>
      </c>
      <c r="G151" s="105"/>
      <c r="H151" s="60">
        <f t="shared" si="52"/>
        <v>14</v>
      </c>
      <c r="I151" s="112">
        <f>IF(H151="","",IF($I$8="A",(RANK(H151,H$11:H$363,1)+COUNTIF(H$11:H151,H151)-1),(RANK(H151,H$11:H$363)+COUNTIF(H$11:H151,H151)-1)))</f>
        <v>27</v>
      </c>
      <c r="J151" s="58"/>
      <c r="K151" s="51">
        <f t="shared" si="66"/>
        <v>141</v>
      </c>
      <c r="L151" s="59" t="str">
        <f t="shared" si="53"/>
        <v>Reigate &amp; Banstead</v>
      </c>
      <c r="M151" s="153">
        <f t="shared" si="58"/>
        <v>22</v>
      </c>
      <c r="N151" s="148">
        <f t="shared" si="59"/>
        <v>22</v>
      </c>
      <c r="O151" s="131" t="str">
        <f t="shared" si="54"/>
        <v/>
      </c>
      <c r="P151" s="131" t="str">
        <f t="shared" si="67"/>
        <v/>
      </c>
      <c r="Q151" s="131">
        <f t="shared" si="68"/>
        <v>22</v>
      </c>
      <c r="R151" s="127" t="str">
        <f t="shared" si="69"/>
        <v/>
      </c>
      <c r="S151" s="60" t="str">
        <f t="shared" si="60"/>
        <v/>
      </c>
      <c r="T151" s="231">
        <f>IF(L151="","",VLOOKUP(L151,classifications!C:K,9,FALSE))</f>
        <v>0</v>
      </c>
      <c r="U151" s="238" t="str">
        <f t="shared" si="55"/>
        <v/>
      </c>
      <c r="V151" s="239" t="str">
        <f>IF(U151="","",IF($I$8="A",(RANK(U151,U$11:U$363)+COUNTIF(U$11:U151,U151)-1),(RANK(U151,U$11:U$363,1)+COUNTIF(U$11:U151,U151)-1)))</f>
        <v/>
      </c>
      <c r="W151" s="240"/>
      <c r="X151" s="61" t="str">
        <f>IF(L151="","",VLOOKUP($L151,classifications!$C:$J,6,FALSE))</f>
        <v>Urban with City and Town</v>
      </c>
      <c r="Y151" s="49" t="str">
        <f t="shared" si="56"/>
        <v/>
      </c>
      <c r="Z151" s="57" t="str">
        <f>IF(Y151="","",IF(I$8="A",(RANK(Y151,Y$11:Y$363,1)+COUNTIF(Y$11:Y151,Y151)-1),(RANK(Y151,Y$11:Y$363)+COUNTIF(Y$11:Y151,Y151)-1)))</f>
        <v/>
      </c>
      <c r="AA151" s="245" t="str">
        <f>IF(L151="","",VLOOKUP($L151,classifications!C:I,7,FALSE))</f>
        <v>Predominantly Urban</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Surrey</v>
      </c>
      <c r="AJ151" s="62" t="str">
        <f t="shared" si="57"/>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South East</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14</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11</v>
      </c>
      <c r="G152" s="105"/>
      <c r="H152" s="60" t="str">
        <f t="shared" si="52"/>
        <v/>
      </c>
      <c r="I152" s="112" t="str">
        <f>IF(H152="","",IF($I$8="A",(RANK(H152,H$11:H$363,1)+COUNTIF(H$11:H152,H152)-1),(RANK(H152,H$11:H$363)+COUNTIF(H$11:H152,H152)-1)))</f>
        <v/>
      </c>
      <c r="J152" s="58"/>
      <c r="K152" s="51">
        <f t="shared" si="66"/>
        <v>142</v>
      </c>
      <c r="L152" s="59" t="str">
        <f t="shared" si="53"/>
        <v>Scarborough</v>
      </c>
      <c r="M152" s="153">
        <f t="shared" si="58"/>
        <v>22</v>
      </c>
      <c r="N152" s="148">
        <f t="shared" si="59"/>
        <v>22</v>
      </c>
      <c r="O152" s="131" t="str">
        <f t="shared" si="54"/>
        <v/>
      </c>
      <c r="P152" s="131" t="str">
        <f t="shared" si="67"/>
        <v/>
      </c>
      <c r="Q152" s="131">
        <f t="shared" si="68"/>
        <v>22</v>
      </c>
      <c r="R152" s="127" t="str">
        <f t="shared" si="69"/>
        <v/>
      </c>
      <c r="S152" s="60" t="str">
        <f t="shared" si="60"/>
        <v/>
      </c>
      <c r="T152" s="231" t="str">
        <f>IF(L152="","",VLOOKUP(L152,classifications!C:K,9,FALSE))</f>
        <v>Sparse</v>
      </c>
      <c r="U152" s="238">
        <f t="shared" si="55"/>
        <v>22</v>
      </c>
      <c r="V152" s="239">
        <f>IF(U152="","",IF($I$8="A",(RANK(U152,U$11:U$363)+COUNTIF(U$11:U152,U152)-1),(RANK(U152,U$11:U$363,1)+COUNTIF(U$11:U152,U152)-1)))</f>
        <v>28</v>
      </c>
      <c r="W152" s="240"/>
      <c r="X152" s="61" t="str">
        <f>IF(L152="","",VLOOKUP($L152,classifications!$C:$J,6,FALSE))</f>
        <v>Urban with Significant Rural (rural including hub towns 26-49%)</v>
      </c>
      <c r="Y152" s="49" t="str">
        <f t="shared" si="56"/>
        <v/>
      </c>
      <c r="Z152" s="57" t="str">
        <f>IF(Y152="","",IF(I$8="A",(RANK(Y152,Y$11:Y$363,1)+COUNTIF(Y$11:Y152,Y152)-1),(RANK(Y152,Y$11:Y$363)+COUNTIF(Y$11:Y152,Y152)-1)))</f>
        <v/>
      </c>
      <c r="AA152" s="245" t="str">
        <f>IF(L152="","",VLOOKUP($L152,classifications!C:I,7,FALSE))</f>
        <v>Significant Rural</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North Yorkshire</v>
      </c>
      <c r="AJ152" s="62" t="str">
        <f t="shared" si="57"/>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Yorkshire &amp; Humberside</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11</v>
      </c>
      <c r="AY152" s="156"/>
      <c r="AZ152" s="44"/>
    </row>
    <row r="153" spans="1:52">
      <c r="A153" s="84" t="str">
        <f>$D$1&amp;143</f>
        <v>SD143</v>
      </c>
      <c r="B153" s="85">
        <f>IF(ISERROR(VLOOKUP(A153,classifications!A:C,3,FALSE)),0,VLOOKUP(A153,classifications!A:C,3,FALSE))</f>
        <v>0</v>
      </c>
      <c r="C153" s="31" t="s">
        <v>346</v>
      </c>
      <c r="D153" s="49" t="str">
        <f>VLOOKUP($C153,classifications!$C:$J,4,FALSE)</f>
        <v>SD</v>
      </c>
      <c r="E153" s="49" t="str">
        <f>VLOOKUP(C153,classifications!C:K,9,FALSE)</f>
        <v>Sparse</v>
      </c>
      <c r="F153" s="59">
        <f t="shared" si="51"/>
        <v>15</v>
      </c>
      <c r="G153" s="105"/>
      <c r="H153" s="60">
        <f t="shared" si="52"/>
        <v>15</v>
      </c>
      <c r="I153" s="112">
        <f>IF(H153="","",IF($I$8="A",(RANK(H153,H$11:H$363,1)+COUNTIF(H$11:H153,H153)-1),(RANK(H153,H$11:H$363)+COUNTIF(H$11:H153,H153)-1)))</f>
        <v>42</v>
      </c>
      <c r="J153" s="58"/>
      <c r="K153" s="51">
        <f t="shared" si="66"/>
        <v>143</v>
      </c>
      <c r="L153" s="59" t="str">
        <f t="shared" si="53"/>
        <v>South Holland</v>
      </c>
      <c r="M153" s="153">
        <f t="shared" si="58"/>
        <v>22</v>
      </c>
      <c r="N153" s="148">
        <f t="shared" si="59"/>
        <v>22</v>
      </c>
      <c r="O153" s="131" t="str">
        <f t="shared" si="54"/>
        <v/>
      </c>
      <c r="P153" s="131" t="str">
        <f t="shared" si="67"/>
        <v/>
      </c>
      <c r="Q153" s="131">
        <f t="shared" si="68"/>
        <v>22</v>
      </c>
      <c r="R153" s="127" t="str">
        <f t="shared" si="69"/>
        <v/>
      </c>
      <c r="S153" s="60" t="str">
        <f t="shared" si="60"/>
        <v/>
      </c>
      <c r="T153" s="231" t="str">
        <f>IF(L153="","",VLOOKUP(L153,classifications!C:K,9,FALSE))</f>
        <v>Sparse</v>
      </c>
      <c r="U153" s="238">
        <f t="shared" si="55"/>
        <v>22</v>
      </c>
      <c r="V153" s="239">
        <f>IF(U153="","",IF($I$8="A",(RANK(U153,U$11:U$363)+COUNTIF(U$11:U153,U153)-1),(RANK(U153,U$11:U$363,1)+COUNTIF(U$11:U153,U153)-1)))</f>
        <v>29</v>
      </c>
      <c r="W153" s="240"/>
      <c r="X153" s="61" t="str">
        <f>IF(L153="","",VLOOKUP($L153,classifications!$C:$J,6,FALSE))</f>
        <v xml:space="preserve">Largely Rural (rural including hub towns 50-79%) </v>
      </c>
      <c r="Y153" s="49" t="str">
        <f t="shared" si="56"/>
        <v/>
      </c>
      <c r="Z153" s="57" t="str">
        <f>IF(Y153="","",IF(I$8="A",(RANK(Y153,Y$11:Y$363,1)+COUNTIF(Y$11:Y153,Y153)-1),(RANK(Y153,Y$11:Y$363)+COUNTIF(Y$11:Y153,Y153)-1)))</f>
        <v/>
      </c>
      <c r="AA153" s="245" t="str">
        <f>IF(L153="","",VLOOKUP($L153,classifications!C:I,7,FALSE))</f>
        <v>Predominantly Rural</v>
      </c>
      <c r="AB153" s="239">
        <f t="shared" si="61"/>
        <v>22</v>
      </c>
      <c r="AC153" s="239">
        <f>IF(AB153="","",IF($I$8="A",(RANK(AB153,AB$11:AB$363)+COUNTIF(AB$11:AB153,AB153)-1),(RANK(AB153,AB$11:AB$363,1)+COUNTIF(AB$11:AB153,AB153)-1)))</f>
        <v>21</v>
      </c>
      <c r="AD153" s="239"/>
      <c r="AE153" s="51" t="str">
        <f t="shared" si="50"/>
        <v/>
      </c>
      <c r="AG153" s="143"/>
      <c r="AH153" s="52"/>
      <c r="AI153" s="61" t="str">
        <f>IF(L153="","",VLOOKUP($L153,classifications!$C:$J,8,FALSE))</f>
        <v>Lincolnshire</v>
      </c>
      <c r="AJ153" s="62" t="str">
        <f t="shared" si="57"/>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East Midlands</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15</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19</v>
      </c>
      <c r="G154" s="105"/>
      <c r="H154" s="60">
        <f t="shared" si="52"/>
        <v>19</v>
      </c>
      <c r="I154" s="112">
        <f>IF(H154="","",IF($I$8="A",(RANK(H154,H$11:H$363,1)+COUNTIF(H$11:H154,H154)-1),(RANK(H154,H$11:H$363)+COUNTIF(H$11:H154,H154)-1)))</f>
        <v>100</v>
      </c>
      <c r="J154" s="58"/>
      <c r="K154" s="51">
        <f t="shared" si="66"/>
        <v>144</v>
      </c>
      <c r="L154" s="59" t="str">
        <f t="shared" si="53"/>
        <v>Babergh</v>
      </c>
      <c r="M154" s="153">
        <f t="shared" si="58"/>
        <v>23</v>
      </c>
      <c r="N154" s="148">
        <f t="shared" si="59"/>
        <v>23</v>
      </c>
      <c r="O154" s="131" t="str">
        <f t="shared" si="54"/>
        <v/>
      </c>
      <c r="P154" s="131" t="str">
        <f t="shared" si="67"/>
        <v/>
      </c>
      <c r="Q154" s="131">
        <f t="shared" si="68"/>
        <v>23</v>
      </c>
      <c r="R154" s="127" t="str">
        <f t="shared" si="69"/>
        <v/>
      </c>
      <c r="S154" s="60" t="str">
        <f t="shared" si="60"/>
        <v/>
      </c>
      <c r="T154" s="231" t="str">
        <f>IF(L154="","",VLOOKUP(L154,classifications!C:K,9,FALSE))</f>
        <v>Sparse</v>
      </c>
      <c r="U154" s="238">
        <f t="shared" si="55"/>
        <v>23</v>
      </c>
      <c r="V154" s="239">
        <f>IF(U154="","",IF($I$8="A",(RANK(U154,U$11:U$363)+COUNTIF(U$11:U154,U154)-1),(RANK(U154,U$11:U$363,1)+COUNTIF(U$11:U154,U154)-1)))</f>
        <v>19</v>
      </c>
      <c r="W154" s="240"/>
      <c r="X154" s="61" t="str">
        <f>IF(L154="","",VLOOKUP($L154,classifications!$C:$J,6,FALSE))</f>
        <v xml:space="preserve">Mainly Rural (rural including hub towns &gt;=80%) </v>
      </c>
      <c r="Y154" s="49">
        <f t="shared" si="56"/>
        <v>23</v>
      </c>
      <c r="Z154" s="57">
        <f>IF(Y154="","",IF(I$8="A",(RANK(Y154,Y$11:Y$363,1)+COUNTIF(Y$11:Y154,Y154)-1),(RANK(Y154,Y$11:Y$363)+COUNTIF(Y$11:Y154,Y154)-1)))</f>
        <v>33</v>
      </c>
      <c r="AA154" s="245" t="str">
        <f>IF(L154="","",VLOOKUP($L154,classifications!C:I,7,FALSE))</f>
        <v>Predominantly Rural</v>
      </c>
      <c r="AB154" s="239">
        <f t="shared" si="61"/>
        <v>23</v>
      </c>
      <c r="AC154" s="239">
        <f>IF(AB154="","",IF($I$8="A",(RANK(AB154,AB$11:AB$363)+COUNTIF(AB$11:AB154,AB154)-1),(RANK(AB154,AB$11:AB$363,1)+COUNTIF(AB$11:AB154,AB154)-1)))</f>
        <v>13</v>
      </c>
      <c r="AD154" s="239"/>
      <c r="AE154" s="51" t="str">
        <f t="shared" si="50"/>
        <v/>
      </c>
      <c r="AG154" s="143"/>
      <c r="AH154" s="52"/>
      <c r="AI154" s="61" t="str">
        <f>IF(L154="","",VLOOKUP($L154,classifications!$C:$J,8,FALSE))</f>
        <v>Suffolk</v>
      </c>
      <c r="AJ154" s="62" t="str">
        <f t="shared" si="57"/>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East of England</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19</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19</v>
      </c>
      <c r="G155" s="105"/>
      <c r="H155" s="60" t="str">
        <f t="shared" si="52"/>
        <v/>
      </c>
      <c r="I155" s="112" t="str">
        <f>IF(H155="","",IF($I$8="A",(RANK(H155,H$11:H$363,1)+COUNTIF(H$11:H155,H155)-1),(RANK(H155,H$11:H$363)+COUNTIF(H$11:H155,H155)-1)))</f>
        <v/>
      </c>
      <c r="J155" s="58"/>
      <c r="K155" s="51">
        <f t="shared" si="66"/>
        <v>145</v>
      </c>
      <c r="L155" s="59" t="str">
        <f t="shared" si="53"/>
        <v>Blaby</v>
      </c>
      <c r="M155" s="153">
        <f t="shared" si="58"/>
        <v>23</v>
      </c>
      <c r="N155" s="148">
        <f t="shared" si="59"/>
        <v>23</v>
      </c>
      <c r="O155" s="131" t="str">
        <f t="shared" si="54"/>
        <v/>
      </c>
      <c r="P155" s="131" t="str">
        <f t="shared" si="67"/>
        <v/>
      </c>
      <c r="Q155" s="131">
        <f t="shared" si="68"/>
        <v>23</v>
      </c>
      <c r="R155" s="127" t="str">
        <f t="shared" si="69"/>
        <v/>
      </c>
      <c r="S155" s="60" t="str">
        <f t="shared" si="60"/>
        <v/>
      </c>
      <c r="T155" s="231">
        <f>IF(L155="","",VLOOKUP(L155,classifications!C:K,9,FALSE))</f>
        <v>0</v>
      </c>
      <c r="U155" s="238" t="str">
        <f t="shared" si="55"/>
        <v/>
      </c>
      <c r="V155" s="239" t="str">
        <f>IF(U155="","",IF($I$8="A",(RANK(U155,U$11:U$363)+COUNTIF(U$11:U155,U155)-1),(RANK(U155,U$11:U$363,1)+COUNTIF(U$11:U155,U155)-1)))</f>
        <v/>
      </c>
      <c r="W155" s="240"/>
      <c r="X155" s="61" t="str">
        <f>IF(L155="","",VLOOKUP($L155,classifications!$C:$J,6,FALSE))</f>
        <v>Urban with City and Town</v>
      </c>
      <c r="Y155" s="49" t="str">
        <f t="shared" si="56"/>
        <v/>
      </c>
      <c r="Z155" s="57" t="str">
        <f>IF(Y155="","",IF(I$8="A",(RANK(Y155,Y$11:Y$363,1)+COUNTIF(Y$11:Y155,Y155)-1),(RANK(Y155,Y$11:Y$363)+COUNTIF(Y$11:Y155,Y155)-1)))</f>
        <v/>
      </c>
      <c r="AA155" s="245" t="str">
        <f>IF(L155="","",VLOOKUP($L155,classifications!C:I,7,FALSE))</f>
        <v>Predominantly Urban</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Leicestershire</v>
      </c>
      <c r="AJ155" s="62" t="str">
        <f t="shared" si="57"/>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East Midlands</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19</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22</v>
      </c>
      <c r="G156" s="105"/>
      <c r="H156" s="60">
        <f t="shared" si="52"/>
        <v>22</v>
      </c>
      <c r="I156" s="112">
        <f>IF(H156="","",IF($I$8="A",(RANK(H156,H$11:H$363,1)+COUNTIF(H$11:H156,H156)-1),(RANK(H156,H$11:H$363)+COUNTIF(H$11:H156,H156)-1)))</f>
        <v>137</v>
      </c>
      <c r="J156" s="58"/>
      <c r="K156" s="51">
        <f t="shared" si="66"/>
        <v>146</v>
      </c>
      <c r="L156" s="59" t="str">
        <f t="shared" si="53"/>
        <v>Cheltenham</v>
      </c>
      <c r="M156" s="153">
        <f t="shared" si="58"/>
        <v>23</v>
      </c>
      <c r="N156" s="148">
        <f t="shared" si="59"/>
        <v>23</v>
      </c>
      <c r="O156" s="131" t="str">
        <f t="shared" si="54"/>
        <v/>
      </c>
      <c r="P156" s="131" t="str">
        <f t="shared" si="67"/>
        <v/>
      </c>
      <c r="Q156" s="131">
        <f t="shared" si="68"/>
        <v>23</v>
      </c>
      <c r="R156" s="127" t="str">
        <f t="shared" si="69"/>
        <v/>
      </c>
      <c r="S156" s="60" t="str">
        <f t="shared" si="60"/>
        <v/>
      </c>
      <c r="T156" s="231">
        <f>IF(L156="","",VLOOKUP(L156,classifications!C:K,9,FALSE))</f>
        <v>0</v>
      </c>
      <c r="U156" s="238" t="str">
        <f t="shared" si="55"/>
        <v/>
      </c>
      <c r="V156" s="239" t="str">
        <f>IF(U156="","",IF($I$8="A",(RANK(U156,U$11:U$363)+COUNTIF(U$11:U156,U156)-1),(RANK(U156,U$11:U$363,1)+COUNTIF(U$11:U156,U156)-1)))</f>
        <v/>
      </c>
      <c r="W156" s="240"/>
      <c r="X156" s="61" t="str">
        <f>IF(L156="","",VLOOKUP($L156,classifications!$C:$J,6,FALSE))</f>
        <v>Urban with City and Town</v>
      </c>
      <c r="Y156" s="49" t="str">
        <f t="shared" si="56"/>
        <v/>
      </c>
      <c r="Z156" s="57" t="str">
        <f>IF(Y156="","",IF(I$8="A",(RANK(Y156,Y$11:Y$363,1)+COUNTIF(Y$11:Y156,Y156)-1),(RANK(Y156,Y$11:Y$363)+COUNTIF(Y$11:Y156,Y156)-1)))</f>
        <v/>
      </c>
      <c r="AA156" s="245" t="str">
        <f>IF(L156="","",VLOOKUP($L156,classifications!C:I,7,FALSE))</f>
        <v>Predominantly Urban</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Gloucestershire</v>
      </c>
      <c r="AJ156" s="62" t="str">
        <f t="shared" si="57"/>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South West</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22</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23</v>
      </c>
      <c r="G157" s="105"/>
      <c r="H157" s="60">
        <f t="shared" si="52"/>
        <v>23</v>
      </c>
      <c r="I157" s="112">
        <f>IF(H157="","",IF($I$8="A",(RANK(H157,H$11:H$363,1)+COUNTIF(H$11:H157,H157)-1),(RANK(H157,H$11:H$363)+COUNTIF(H$11:H157,H157)-1)))</f>
        <v>149</v>
      </c>
      <c r="J157" s="58"/>
      <c r="K157" s="51">
        <f t="shared" si="66"/>
        <v>147</v>
      </c>
      <c r="L157" s="59" t="str">
        <f t="shared" si="53"/>
        <v>Gloucester</v>
      </c>
      <c r="M157" s="153">
        <f t="shared" si="58"/>
        <v>23</v>
      </c>
      <c r="N157" s="148">
        <f t="shared" si="59"/>
        <v>23</v>
      </c>
      <c r="O157" s="131" t="str">
        <f t="shared" si="54"/>
        <v/>
      </c>
      <c r="P157" s="131" t="str">
        <f t="shared" si="67"/>
        <v/>
      </c>
      <c r="Q157" s="131">
        <f t="shared" si="68"/>
        <v>23</v>
      </c>
      <c r="R157" s="127" t="str">
        <f t="shared" si="69"/>
        <v/>
      </c>
      <c r="S157" s="60" t="str">
        <f t="shared" si="60"/>
        <v/>
      </c>
      <c r="T157" s="231">
        <f>IF(L157="","",VLOOKUP(L157,classifications!C:K,9,FALSE))</f>
        <v>0</v>
      </c>
      <c r="U157" s="238" t="str">
        <f t="shared" si="55"/>
        <v/>
      </c>
      <c r="V157" s="239" t="str">
        <f>IF(U157="","",IF($I$8="A",(RANK(U157,U$11:U$363)+COUNTIF(U$11:U157,U157)-1),(RANK(U157,U$11:U$363,1)+COUNTIF(U$11:U157,U157)-1)))</f>
        <v/>
      </c>
      <c r="W157" s="240"/>
      <c r="X157" s="61" t="str">
        <f>IF(L157="","",VLOOKUP($L157,classifications!$C:$J,6,FALSE))</f>
        <v>Urban with City and Town</v>
      </c>
      <c r="Y157" s="49" t="str">
        <f t="shared" si="56"/>
        <v/>
      </c>
      <c r="Z157" s="57" t="str">
        <f>IF(Y157="","",IF(I$8="A",(RANK(Y157,Y$11:Y$363,1)+COUNTIF(Y$11:Y157,Y157)-1),(RANK(Y157,Y$11:Y$363)+COUNTIF(Y$11:Y157,Y157)-1)))</f>
        <v/>
      </c>
      <c r="AA157" s="245" t="str">
        <f>IF(L157="","",VLOOKUP($L157,classifications!C:I,7,FALSE))</f>
        <v>Predominantly Urban</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Gloucestershire</v>
      </c>
      <c r="AJ157" s="62" t="str">
        <f t="shared" si="57"/>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South West</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23</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21</v>
      </c>
      <c r="G158" s="105"/>
      <c r="H158" s="60">
        <f t="shared" si="52"/>
        <v>21</v>
      </c>
      <c r="I158" s="112">
        <f>IF(H158="","",IF($I$8="A",(RANK(H158,H$11:H$363,1)+COUNTIF(H$11:H158,H158)-1),(RANK(H158,H$11:H$363)+COUNTIF(H$11:H158,H158)-1)))</f>
        <v>130</v>
      </c>
      <c r="J158" s="58"/>
      <c r="K158" s="51">
        <f t="shared" si="66"/>
        <v>148</v>
      </c>
      <c r="L158" s="59" t="str">
        <f t="shared" si="53"/>
        <v>Harrogate</v>
      </c>
      <c r="M158" s="153">
        <f t="shared" si="58"/>
        <v>23</v>
      </c>
      <c r="N158" s="148">
        <f t="shared" si="59"/>
        <v>23</v>
      </c>
      <c r="O158" s="131" t="str">
        <f t="shared" si="54"/>
        <v/>
      </c>
      <c r="P158" s="131" t="str">
        <f t="shared" si="67"/>
        <v/>
      </c>
      <c r="Q158" s="131">
        <f t="shared" si="68"/>
        <v>23</v>
      </c>
      <c r="R158" s="127" t="str">
        <f t="shared" si="69"/>
        <v/>
      </c>
      <c r="S158" s="60" t="str">
        <f t="shared" si="60"/>
        <v/>
      </c>
      <c r="T158" s="231" t="str">
        <f>IF(L158="","",VLOOKUP(L158,classifications!C:K,9,FALSE))</f>
        <v>Sparse</v>
      </c>
      <c r="U158" s="238">
        <f t="shared" si="55"/>
        <v>23</v>
      </c>
      <c r="V158" s="239">
        <f>IF(U158="","",IF($I$8="A",(RANK(U158,U$11:U$363)+COUNTIF(U$11:U158,U158)-1),(RANK(U158,U$11:U$363,1)+COUNTIF(U$11:U158,U158)-1)))</f>
        <v>20</v>
      </c>
      <c r="W158" s="240"/>
      <c r="X158" s="61" t="str">
        <f>IF(L158="","",VLOOKUP($L158,classifications!$C:$J,6,FALSE))</f>
        <v>Urban with Significant Rural (rural including hub towns 26-49%)</v>
      </c>
      <c r="Y158" s="49" t="str">
        <f t="shared" si="56"/>
        <v/>
      </c>
      <c r="Z158" s="57" t="str">
        <f>IF(Y158="","",IF(I$8="A",(RANK(Y158,Y$11:Y$363,1)+COUNTIF(Y$11:Y158,Y158)-1),(RANK(Y158,Y$11:Y$363)+COUNTIF(Y$11:Y158,Y158)-1)))</f>
        <v/>
      </c>
      <c r="AA158" s="245" t="str">
        <f>IF(L158="","",VLOOKUP($L158,classifications!C:I,7,FALSE))</f>
        <v>Significant Rural</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North Yorkshire</v>
      </c>
      <c r="AJ158" s="62" t="str">
        <f t="shared" si="57"/>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Yorkshire &amp; Humberside</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21</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14</v>
      </c>
      <c r="G159" s="105"/>
      <c r="H159" s="60" t="str">
        <f t="shared" si="52"/>
        <v/>
      </c>
      <c r="I159" s="112" t="str">
        <f>IF(H159="","",IF($I$8="A",(RANK(H159,H$11:H$363,1)+COUNTIF(H$11:H159,H159)-1),(RANK(H159,H$11:H$363)+COUNTIF(H$11:H159,H159)-1)))</f>
        <v/>
      </c>
      <c r="J159" s="58"/>
      <c r="K159" s="51">
        <f t="shared" si="66"/>
        <v>149</v>
      </c>
      <c r="L159" s="59" t="str">
        <f t="shared" si="53"/>
        <v>Hyndburn</v>
      </c>
      <c r="M159" s="153">
        <f t="shared" si="58"/>
        <v>23</v>
      </c>
      <c r="N159" s="148">
        <f t="shared" si="59"/>
        <v>23</v>
      </c>
      <c r="O159" s="131" t="str">
        <f t="shared" si="54"/>
        <v/>
      </c>
      <c r="P159" s="131" t="str">
        <f t="shared" si="67"/>
        <v/>
      </c>
      <c r="Q159" s="131">
        <f t="shared" si="68"/>
        <v>23</v>
      </c>
      <c r="R159" s="127" t="str">
        <f t="shared" si="69"/>
        <v/>
      </c>
      <c r="S159" s="60" t="str">
        <f t="shared" si="60"/>
        <v/>
      </c>
      <c r="T159" s="231">
        <f>IF(L159="","",VLOOKUP(L159,classifications!C:K,9,FALSE))</f>
        <v>0</v>
      </c>
      <c r="U159" s="238" t="str">
        <f t="shared" si="55"/>
        <v/>
      </c>
      <c r="V159" s="239" t="str">
        <f>IF(U159="","",IF($I$8="A",(RANK(U159,U$11:U$363)+COUNTIF(U$11:U159,U159)-1),(RANK(U159,U$11:U$363,1)+COUNTIF(U$11:U159,U159)-1)))</f>
        <v/>
      </c>
      <c r="W159" s="240"/>
      <c r="X159" s="61" t="str">
        <f>IF(L159="","",VLOOKUP($L159,classifications!$C:$J,6,FALSE))</f>
        <v>Urban with City and Town</v>
      </c>
      <c r="Y159" s="49" t="str">
        <f t="shared" si="56"/>
        <v/>
      </c>
      <c r="Z159" s="57" t="str">
        <f>IF(Y159="","",IF(I$8="A",(RANK(Y159,Y$11:Y$363,1)+COUNTIF(Y$11:Y159,Y159)-1),(RANK(Y159,Y$11:Y$363)+COUNTIF(Y$11:Y159,Y159)-1)))</f>
        <v/>
      </c>
      <c r="AA159" s="245" t="str">
        <f>IF(L159="","",VLOOKUP($L159,classifications!C:I,7,FALSE))</f>
        <v>Predominantly Urban</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Lancashire</v>
      </c>
      <c r="AJ159" s="62" t="str">
        <f t="shared" si="57"/>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North West</v>
      </c>
      <c r="AQ159" s="62">
        <f t="shared" si="63"/>
        <v>23</v>
      </c>
      <c r="AR159" s="57">
        <f>IF(AQ159="","",IF(I$8="A",(RANK(AQ159,AQ$11:AQ$363,1)+COUNTIF(AQ$11:AQ159,AQ159)-1),(RANK(AQ159,AQ$11:AQ$363)+COUNTIF(AQ$11:AQ159,AQ159)-1)))</f>
        <v>11</v>
      </c>
      <c r="AS159" s="52" t="str">
        <f t="shared" si="64"/>
        <v/>
      </c>
      <c r="AT159" s="57" t="str">
        <f t="shared" si="65"/>
        <v/>
      </c>
      <c r="AU159" s="62" t="str">
        <f t="shared" si="71"/>
        <v/>
      </c>
      <c r="AX159" s="44">
        <f>HLOOKUP($AX$9&amp;$AX$10,Data!$A$1:$ZZ$2000,(MATCH($C159,Data!$A$1:$A$2000,0)),FALSE)</f>
        <v>14</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f t="shared" si="66"/>
        <v>150</v>
      </c>
      <c r="L160" s="59" t="str">
        <f t="shared" si="53"/>
        <v>Malvern Hills</v>
      </c>
      <c r="M160" s="153">
        <f t="shared" si="58"/>
        <v>23</v>
      </c>
      <c r="N160" s="148">
        <f t="shared" si="59"/>
        <v>23</v>
      </c>
      <c r="O160" s="131" t="str">
        <f t="shared" si="54"/>
        <v/>
      </c>
      <c r="P160" s="131" t="str">
        <f t="shared" si="67"/>
        <v/>
      </c>
      <c r="Q160" s="131">
        <f t="shared" si="68"/>
        <v>23</v>
      </c>
      <c r="R160" s="127" t="str">
        <f t="shared" si="69"/>
        <v/>
      </c>
      <c r="S160" s="60" t="str">
        <f t="shared" si="60"/>
        <v/>
      </c>
      <c r="T160" s="231" t="str">
        <f>IF(L160="","",VLOOKUP(L160,classifications!C:K,9,FALSE))</f>
        <v>Sparse</v>
      </c>
      <c r="U160" s="238">
        <f t="shared" si="55"/>
        <v>23</v>
      </c>
      <c r="V160" s="239">
        <f>IF(U160="","",IF($I$8="A",(RANK(U160,U$11:U$363)+COUNTIF(U$11:U160,U160)-1),(RANK(U160,U$11:U$363,1)+COUNTIF(U$11:U160,U160)-1)))</f>
        <v>21</v>
      </c>
      <c r="W160" s="240"/>
      <c r="X160" s="61" t="str">
        <f>IF(L160="","",VLOOKUP($L160,classifications!$C:$J,6,FALSE))</f>
        <v xml:space="preserve">Largely Rural (rural including hub towns 50-79%) </v>
      </c>
      <c r="Y160" s="49" t="str">
        <f t="shared" si="56"/>
        <v/>
      </c>
      <c r="Z160" s="57" t="str">
        <f>IF(Y160="","",IF(I$8="A",(RANK(Y160,Y$11:Y$363,1)+COUNTIF(Y$11:Y160,Y160)-1),(RANK(Y160,Y$11:Y$363)+COUNTIF(Y$11:Y160,Y160)-1)))</f>
        <v/>
      </c>
      <c r="AA160" s="245" t="str">
        <f>IF(L160="","",VLOOKUP($L160,classifications!C:I,7,FALSE))</f>
        <v>Predominantly Rural</v>
      </c>
      <c r="AB160" s="239">
        <f t="shared" si="61"/>
        <v>23</v>
      </c>
      <c r="AC160" s="239">
        <f>IF(AB160="","",IF($I$8="A",(RANK(AB160,AB$11:AB$363)+COUNTIF(AB$11:AB160,AB160)-1),(RANK(AB160,AB$11:AB$363,1)+COUNTIF(AB$11:AB160,AB160)-1)))</f>
        <v>14</v>
      </c>
      <c r="AD160" s="239"/>
      <c r="AE160" s="51" t="str">
        <f t="shared" si="50"/>
        <v/>
      </c>
      <c r="AG160" s="143"/>
      <c r="AH160" s="52"/>
      <c r="AI160" s="61" t="str">
        <f>IF(L160="","",VLOOKUP($L160,classifications!$C:$J,8,FALSE))</f>
        <v>Worcestershire</v>
      </c>
      <c r="AJ160" s="62" t="str">
        <f t="shared" si="57"/>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West Midlands</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16</v>
      </c>
      <c r="G161" s="105"/>
      <c r="H161" s="60" t="str">
        <f t="shared" si="52"/>
        <v/>
      </c>
      <c r="I161" s="112" t="str">
        <f>IF(H161="","",IF($I$8="A",(RANK(H161,H$11:H$363,1)+COUNTIF(H$11:H161,H161)-1),(RANK(H161,H$11:H$363)+COUNTIF(H$11:H161,H161)-1)))</f>
        <v/>
      </c>
      <c r="J161" s="58"/>
      <c r="K161" s="51">
        <f t="shared" si="66"/>
        <v>151</v>
      </c>
      <c r="L161" s="59" t="str">
        <f t="shared" si="53"/>
        <v>Mid Suffolk</v>
      </c>
      <c r="M161" s="153">
        <f t="shared" si="58"/>
        <v>23</v>
      </c>
      <c r="N161" s="148">
        <f t="shared" si="59"/>
        <v>23</v>
      </c>
      <c r="O161" s="131" t="str">
        <f t="shared" si="54"/>
        <v/>
      </c>
      <c r="P161" s="131" t="str">
        <f t="shared" si="67"/>
        <v/>
      </c>
      <c r="Q161" s="131">
        <f t="shared" si="68"/>
        <v>23</v>
      </c>
      <c r="R161" s="127" t="str">
        <f t="shared" si="69"/>
        <v/>
      </c>
      <c r="S161" s="60" t="str">
        <f t="shared" si="60"/>
        <v/>
      </c>
      <c r="T161" s="231" t="str">
        <f>IF(L161="","",VLOOKUP(L161,classifications!C:K,9,FALSE))</f>
        <v>Sparse</v>
      </c>
      <c r="U161" s="238">
        <f t="shared" si="55"/>
        <v>23</v>
      </c>
      <c r="V161" s="239">
        <f>IF(U161="","",IF($I$8="A",(RANK(U161,U$11:U$363)+COUNTIF(U$11:U161,U161)-1),(RANK(U161,U$11:U$363,1)+COUNTIF(U$11:U161,U161)-1)))</f>
        <v>22</v>
      </c>
      <c r="W161" s="240"/>
      <c r="X161" s="61" t="str">
        <f>IF(L161="","",VLOOKUP($L161,classifications!$C:$J,6,FALSE))</f>
        <v xml:space="preserve">Mainly Rural (rural including hub towns &gt;=80%) </v>
      </c>
      <c r="Y161" s="49">
        <f t="shared" si="56"/>
        <v>23</v>
      </c>
      <c r="Z161" s="57">
        <f>IF(Y161="","",IF(I$8="A",(RANK(Y161,Y$11:Y$363,1)+COUNTIF(Y$11:Y161,Y161)-1),(RANK(Y161,Y$11:Y$363)+COUNTIF(Y$11:Y161,Y161)-1)))</f>
        <v>34</v>
      </c>
      <c r="AA161" s="245" t="str">
        <f>IF(L161="","",VLOOKUP($L161,classifications!C:I,7,FALSE))</f>
        <v>Predominantly Rural</v>
      </c>
      <c r="AB161" s="239">
        <f t="shared" si="61"/>
        <v>23</v>
      </c>
      <c r="AC161" s="239">
        <f>IF(AB161="","",IF($I$8="A",(RANK(AB161,AB$11:AB$363)+COUNTIF(AB$11:AB161,AB161)-1),(RANK(AB161,AB$11:AB$363,1)+COUNTIF(AB$11:AB161,AB161)-1)))</f>
        <v>15</v>
      </c>
      <c r="AD161" s="239"/>
      <c r="AE161" s="51" t="str">
        <f t="shared" si="50"/>
        <v/>
      </c>
      <c r="AG161" s="143"/>
      <c r="AH161" s="52"/>
      <c r="AI161" s="61" t="str">
        <f>IF(L161="","",VLOOKUP($L161,classifications!$C:$J,8,FALSE))</f>
        <v>Suffolk</v>
      </c>
      <c r="AJ161" s="62" t="str">
        <f t="shared" si="57"/>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East of England</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16</v>
      </c>
      <c r="AY161" s="156"/>
      <c r="AZ161" s="44"/>
    </row>
    <row r="162" spans="1:52">
      <c r="A162" s="84" t="str">
        <f>$D$1&amp;152</f>
        <v>SD152</v>
      </c>
      <c r="B162" s="85">
        <f>IF(ISERROR(VLOOKUP(A162,classifications!A:C,3,FALSE)),0,VLOOKUP(A162,classifications!A:C,3,FALSE))</f>
        <v>0</v>
      </c>
      <c r="C162" s="31" t="s">
        <v>338</v>
      </c>
      <c r="D162" s="49" t="str">
        <f>VLOOKUP($C162,classifications!$C:$J,4,FALSE)</f>
        <v>L</v>
      </c>
      <c r="E162" s="49">
        <f>VLOOKUP(C162,classifications!C:K,9,FALSE)</f>
        <v>0</v>
      </c>
      <c r="F162" s="59">
        <f t="shared" si="51"/>
        <v>9</v>
      </c>
      <c r="G162" s="105"/>
      <c r="H162" s="60" t="str">
        <f t="shared" si="52"/>
        <v/>
      </c>
      <c r="I162" s="112" t="str">
        <f>IF(H162="","",IF($I$8="A",(RANK(H162,H$11:H$363,1)+COUNTIF(H$11:H162,H162)-1),(RANK(H162,H$11:H$363)+COUNTIF(H$11:H162,H162)-1)))</f>
        <v/>
      </c>
      <c r="J162" s="58"/>
      <c r="K162" s="51">
        <f t="shared" si="66"/>
        <v>152</v>
      </c>
      <c r="L162" s="59" t="str">
        <f t="shared" si="53"/>
        <v>North Warwickshire</v>
      </c>
      <c r="M162" s="153">
        <f t="shared" si="58"/>
        <v>23</v>
      </c>
      <c r="N162" s="148">
        <f t="shared" si="59"/>
        <v>23</v>
      </c>
      <c r="O162" s="131" t="str">
        <f t="shared" si="54"/>
        <v/>
      </c>
      <c r="P162" s="131" t="str">
        <f t="shared" si="67"/>
        <v/>
      </c>
      <c r="Q162" s="131">
        <f t="shared" si="68"/>
        <v>23</v>
      </c>
      <c r="R162" s="127" t="str">
        <f t="shared" si="69"/>
        <v/>
      </c>
      <c r="S162" s="60" t="str">
        <f t="shared" si="60"/>
        <v/>
      </c>
      <c r="T162" s="231" t="str">
        <f>IF(L162="","",VLOOKUP(L162,classifications!C:K,9,FALSE))</f>
        <v>Sparse</v>
      </c>
      <c r="U162" s="238">
        <f t="shared" si="55"/>
        <v>23</v>
      </c>
      <c r="V162" s="239">
        <f>IF(U162="","",IF($I$8="A",(RANK(U162,U$11:U$363)+COUNTIF(U$11:U162,U162)-1),(RANK(U162,U$11:U$363,1)+COUNTIF(U$11:U162,U162)-1)))</f>
        <v>23</v>
      </c>
      <c r="W162" s="240"/>
      <c r="X162" s="61" t="str">
        <f>IF(L162="","",VLOOKUP($L162,classifications!$C:$J,6,FALSE))</f>
        <v xml:space="preserve">Mainly Rural (rural including hub towns &gt;=80%) </v>
      </c>
      <c r="Y162" s="49">
        <f t="shared" si="56"/>
        <v>23</v>
      </c>
      <c r="Z162" s="57">
        <f>IF(Y162="","",IF(I$8="A",(RANK(Y162,Y$11:Y$363,1)+COUNTIF(Y$11:Y162,Y162)-1),(RANK(Y162,Y$11:Y$363)+COUNTIF(Y$11:Y162,Y162)-1)))</f>
        <v>35</v>
      </c>
      <c r="AA162" s="245" t="str">
        <f>IF(L162="","",VLOOKUP($L162,classifications!C:I,7,FALSE))</f>
        <v>Predominantly Rural</v>
      </c>
      <c r="AB162" s="239">
        <f t="shared" si="61"/>
        <v>23</v>
      </c>
      <c r="AC162" s="239">
        <f>IF(AB162="","",IF($I$8="A",(RANK(AB162,AB$11:AB$363)+COUNTIF(AB$11:AB162,AB162)-1),(RANK(AB162,AB$11:AB$363,1)+COUNTIF(AB$11:AB162,AB162)-1)))</f>
        <v>16</v>
      </c>
      <c r="AD162" s="239"/>
      <c r="AE162" s="51" t="str">
        <f t="shared" si="50"/>
        <v/>
      </c>
      <c r="AG162" s="143"/>
      <c r="AH162" s="52"/>
      <c r="AI162" s="61" t="str">
        <f>IF(L162="","",VLOOKUP($L162,classifications!$C:$J,8,FALSE))</f>
        <v>Warwickshire</v>
      </c>
      <c r="AJ162" s="62" t="str">
        <f t="shared" si="57"/>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West Midlands</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Ryedale</v>
      </c>
      <c r="M163" s="153">
        <f t="shared" si="58"/>
        <v>23</v>
      </c>
      <c r="N163" s="148">
        <f t="shared" si="59"/>
        <v>23</v>
      </c>
      <c r="O163" s="131" t="str">
        <f t="shared" si="54"/>
        <v/>
      </c>
      <c r="P163" s="131" t="str">
        <f t="shared" si="67"/>
        <v/>
      </c>
      <c r="Q163" s="131">
        <f t="shared" si="68"/>
        <v>23</v>
      </c>
      <c r="R163" s="127" t="str">
        <f t="shared" si="69"/>
        <v/>
      </c>
      <c r="S163" s="60" t="str">
        <f t="shared" si="60"/>
        <v/>
      </c>
      <c r="T163" s="231" t="str">
        <f>IF(L163="","",VLOOKUP(L163,classifications!C:K,9,FALSE))</f>
        <v>Sparse</v>
      </c>
      <c r="U163" s="238">
        <f t="shared" si="55"/>
        <v>23</v>
      </c>
      <c r="V163" s="239">
        <f>IF(U163="","",IF($I$8="A",(RANK(U163,U$11:U$363)+COUNTIF(U$11:U163,U163)-1),(RANK(U163,U$11:U$363,1)+COUNTIF(U$11:U163,U163)-1)))</f>
        <v>24</v>
      </c>
      <c r="W163" s="240"/>
      <c r="X163" s="61" t="str">
        <f>IF(L163="","",VLOOKUP($L163,classifications!$C:$J,6,FALSE))</f>
        <v xml:space="preserve">Mainly Rural (rural including hub towns &gt;=80%) </v>
      </c>
      <c r="Y163" s="49">
        <f t="shared" si="56"/>
        <v>23</v>
      </c>
      <c r="Z163" s="57">
        <f>IF(Y163="","",IF(I$8="A",(RANK(Y163,Y$11:Y$363,1)+COUNTIF(Y$11:Y163,Y163)-1),(RANK(Y163,Y$11:Y$363)+COUNTIF(Y$11:Y163,Y163)-1)))</f>
        <v>36</v>
      </c>
      <c r="AA163" s="245" t="str">
        <f>IF(L163="","",VLOOKUP($L163,classifications!C:I,7,FALSE))</f>
        <v>Predominantly Rural</v>
      </c>
      <c r="AB163" s="239">
        <f t="shared" si="61"/>
        <v>23</v>
      </c>
      <c r="AC163" s="239">
        <f>IF(AB163="","",IF($I$8="A",(RANK(AB163,AB$11:AB$363)+COUNTIF(AB$11:AB163,AB163)-1),(RANK(AB163,AB$11:AB$363,1)+COUNTIF(AB$11:AB163,AB163)-1)))</f>
        <v>17</v>
      </c>
      <c r="AD163" s="239"/>
      <c r="AE163" s="51" t="str">
        <f t="shared" ref="AE163:AE226" si="73">IF(AE162="","",IF(AE162+1&gt;(COUNT(AG:AG)),"",AE162+1))</f>
        <v/>
      </c>
      <c r="AG163" s="143"/>
      <c r="AH163" s="52"/>
      <c r="AI163" s="61" t="str">
        <f>IF(L163="","",VLOOKUP($L163,classifications!$C:$J,8,FALSE))</f>
        <v>North Yorkshire</v>
      </c>
      <c r="AJ163" s="62" t="str">
        <f t="shared" si="57"/>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Yorkshire &amp; Humberside</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18</v>
      </c>
      <c r="G164" s="105"/>
      <c r="H164" s="60">
        <f t="shared" si="52"/>
        <v>18</v>
      </c>
      <c r="I164" s="112">
        <f>IF(H164="","",IF($I$8="A",(RANK(H164,H$11:H$363,1)+COUNTIF(H$11:H164,H164)-1),(RANK(H164,H$11:H$363)+COUNTIF(H$11:H164,H164)-1)))</f>
        <v>87</v>
      </c>
      <c r="J164" s="58"/>
      <c r="K164" s="51">
        <f t="shared" si="66"/>
        <v>154</v>
      </c>
      <c r="L164" s="59" t="str">
        <f t="shared" si="53"/>
        <v>Selby</v>
      </c>
      <c r="M164" s="153">
        <f t="shared" si="58"/>
        <v>23</v>
      </c>
      <c r="N164" s="148">
        <f t="shared" si="59"/>
        <v>23</v>
      </c>
      <c r="O164" s="131" t="str">
        <f t="shared" si="54"/>
        <v/>
      </c>
      <c r="P164" s="131" t="str">
        <f t="shared" si="67"/>
        <v/>
      </c>
      <c r="Q164" s="131">
        <f t="shared" si="68"/>
        <v>23</v>
      </c>
      <c r="R164" s="127" t="str">
        <f t="shared" si="69"/>
        <v/>
      </c>
      <c r="S164" s="60" t="str">
        <f t="shared" si="60"/>
        <v/>
      </c>
      <c r="T164" s="231" t="str">
        <f>IF(L164="","",VLOOKUP(L164,classifications!C:K,9,FALSE))</f>
        <v>Sparse</v>
      </c>
      <c r="U164" s="238">
        <f t="shared" si="55"/>
        <v>23</v>
      </c>
      <c r="V164" s="239">
        <f>IF(U164="","",IF($I$8="A",(RANK(U164,U$11:U$363)+COUNTIF(U$11:U164,U164)-1),(RANK(U164,U$11:U$363,1)+COUNTIF(U$11:U164,U164)-1)))</f>
        <v>25</v>
      </c>
      <c r="W164" s="240"/>
      <c r="X164" s="61" t="str">
        <f>IF(L164="","",VLOOKUP($L164,classifications!$C:$J,6,FALSE))</f>
        <v xml:space="preserve">Mainly Rural (rural including hub towns &gt;=80%) </v>
      </c>
      <c r="Y164" s="49">
        <f t="shared" si="56"/>
        <v>23</v>
      </c>
      <c r="Z164" s="57">
        <f>IF(Y164="","",IF(I$8="A",(RANK(Y164,Y$11:Y$363,1)+COUNTIF(Y$11:Y164,Y164)-1),(RANK(Y164,Y$11:Y$363)+COUNTIF(Y$11:Y164,Y164)-1)))</f>
        <v>37</v>
      </c>
      <c r="AA164" s="245" t="str">
        <f>IF(L164="","",VLOOKUP($L164,classifications!C:I,7,FALSE))</f>
        <v>Predominantly Rural</v>
      </c>
      <c r="AB164" s="239">
        <f t="shared" si="61"/>
        <v>23</v>
      </c>
      <c r="AC164" s="239">
        <f>IF(AB164="","",IF($I$8="A",(RANK(AB164,AB$11:AB$363)+COUNTIF(AB$11:AB164,AB164)-1),(RANK(AB164,AB$11:AB$363,1)+COUNTIF(AB$11:AB164,AB164)-1)))</f>
        <v>18</v>
      </c>
      <c r="AD164" s="239"/>
      <c r="AE164" s="51" t="str">
        <f t="shared" si="73"/>
        <v/>
      </c>
      <c r="AG164" s="143"/>
      <c r="AH164" s="52"/>
      <c r="AI164" s="61" t="str">
        <f>IF(L164="","",VLOOKUP($L164,classifications!$C:$J,8,FALSE))</f>
        <v>North Yorkshire</v>
      </c>
      <c r="AJ164" s="62" t="str">
        <f t="shared" si="57"/>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Yorkshire &amp; Humberside</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18</v>
      </c>
      <c r="AY164" s="156"/>
      <c r="AZ164" s="44"/>
    </row>
    <row r="165" spans="1:52">
      <c r="A165" s="84" t="str">
        <f>$D$1&amp;155</f>
        <v>SD155</v>
      </c>
      <c r="B165" s="85">
        <f>IF(ISERROR(VLOOKUP(A165,classifications!A:C,3,FALSE)),0,VLOOKUP(A165,classifications!A:C,3,FALSE))</f>
        <v>0</v>
      </c>
      <c r="C165" s="31" t="s">
        <v>379</v>
      </c>
      <c r="D165" s="49" t="str">
        <f>VLOOKUP($C165,classifications!$C:$J,4,FALSE)</f>
        <v>SD</v>
      </c>
      <c r="E165" s="49" t="str">
        <f>VLOOKUP(C165,classifications!C:K,9,FALSE)</f>
        <v>Sparse</v>
      </c>
      <c r="F165" s="59">
        <f t="shared" si="51"/>
        <v>16</v>
      </c>
      <c r="G165" s="105"/>
      <c r="H165" s="60">
        <f t="shared" si="52"/>
        <v>16</v>
      </c>
      <c r="I165" s="112">
        <f>IF(H165="","",IF($I$8="A",(RANK(H165,H$11:H$363,1)+COUNTIF(H$11:H165,H165)-1),(RANK(H165,H$11:H$363)+COUNTIF(H$11:H165,H165)-1)))</f>
        <v>59</v>
      </c>
      <c r="J165" s="58"/>
      <c r="K165" s="51">
        <f t="shared" si="66"/>
        <v>155</v>
      </c>
      <c r="L165" s="59" t="str">
        <f t="shared" si="53"/>
        <v>Surrey Heath</v>
      </c>
      <c r="M165" s="153">
        <f t="shared" si="58"/>
        <v>23</v>
      </c>
      <c r="N165" s="148">
        <f t="shared" si="59"/>
        <v>23</v>
      </c>
      <c r="O165" s="131" t="str">
        <f t="shared" si="54"/>
        <v/>
      </c>
      <c r="P165" s="131" t="str">
        <f t="shared" si="67"/>
        <v/>
      </c>
      <c r="Q165" s="131">
        <f t="shared" si="68"/>
        <v>23</v>
      </c>
      <c r="R165" s="127" t="str">
        <f t="shared" si="69"/>
        <v/>
      </c>
      <c r="S165" s="60" t="str">
        <f t="shared" si="60"/>
        <v/>
      </c>
      <c r="T165" s="231">
        <f>IF(L165="","",VLOOKUP(L165,classifications!C:K,9,FALSE))</f>
        <v>0</v>
      </c>
      <c r="U165" s="238" t="str">
        <f t="shared" si="55"/>
        <v/>
      </c>
      <c r="V165" s="239" t="str">
        <f>IF(U165="","",IF($I$8="A",(RANK(U165,U$11:U$363)+COUNTIF(U$11:U165,U165)-1),(RANK(U165,U$11:U$363,1)+COUNTIF(U$11:U165,U165)-1)))</f>
        <v/>
      </c>
      <c r="W165" s="240"/>
      <c r="X165" s="61" t="str">
        <f>IF(L165="","",VLOOKUP($L165,classifications!$C:$J,6,FALSE))</f>
        <v>Urban with City and Town</v>
      </c>
      <c r="Y165" s="49" t="str">
        <f t="shared" si="56"/>
        <v/>
      </c>
      <c r="Z165" s="57" t="str">
        <f>IF(Y165="","",IF(I$8="A",(RANK(Y165,Y$11:Y$363,1)+COUNTIF(Y$11:Y165,Y165)-1),(RANK(Y165,Y$11:Y$363)+COUNTIF(Y$11:Y165,Y165)-1)))</f>
        <v/>
      </c>
      <c r="AA165" s="245" t="str">
        <f>IF(L165="","",VLOOKUP($L165,classifications!C:I,7,FALSE))</f>
        <v>Predominantly Urban</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Surrey</v>
      </c>
      <c r="AJ165" s="62" t="str">
        <f t="shared" si="57"/>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South East</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16</v>
      </c>
      <c r="AY165" s="156"/>
      <c r="AZ165" s="44"/>
    </row>
    <row r="166" spans="1:52">
      <c r="A166" s="84" t="str">
        <f>$D$1&amp;156</f>
        <v>SD156</v>
      </c>
      <c r="B166" s="85">
        <f>IF(ISERROR(VLOOKUP(A166,classifications!A:C,3,FALSE)),0,VLOOKUP(A166,classifications!A:C,3,FALSE))</f>
        <v>0</v>
      </c>
      <c r="C166" s="31" t="s">
        <v>822</v>
      </c>
      <c r="D166" s="49" t="str">
        <f>VLOOKUP($C166,classifications!$C:$J,4,FALSE)</f>
        <v>UA</v>
      </c>
      <c r="E166" s="49">
        <f>VLOOKUP(C166,classifications!C:K,9,FALSE)</f>
        <v>0</v>
      </c>
      <c r="F166" s="59">
        <f t="shared" si="51"/>
        <v>36</v>
      </c>
      <c r="G166" s="105"/>
      <c r="H166" s="60" t="str">
        <f t="shared" si="52"/>
        <v/>
      </c>
      <c r="I166" s="112" t="str">
        <f>IF(H166="","",IF($I$8="A",(RANK(H166,H$11:H$363,1)+COUNTIF(H$11:H166,H166)-1),(RANK(H166,H$11:H$363)+COUNTIF(H$11:H166,H166)-1)))</f>
        <v/>
      </c>
      <c r="J166" s="58"/>
      <c r="K166" s="51">
        <f t="shared" si="66"/>
        <v>156</v>
      </c>
      <c r="L166" s="59" t="str">
        <f t="shared" si="53"/>
        <v>Wychavon</v>
      </c>
      <c r="M166" s="153">
        <f t="shared" si="58"/>
        <v>23</v>
      </c>
      <c r="N166" s="148">
        <f t="shared" si="59"/>
        <v>23</v>
      </c>
      <c r="O166" s="131" t="str">
        <f t="shared" si="54"/>
        <v/>
      </c>
      <c r="P166" s="131" t="str">
        <f t="shared" si="67"/>
        <v/>
      </c>
      <c r="Q166" s="131">
        <f t="shared" si="68"/>
        <v>23</v>
      </c>
      <c r="R166" s="127" t="str">
        <f t="shared" si="69"/>
        <v/>
      </c>
      <c r="S166" s="60" t="str">
        <f t="shared" si="60"/>
        <v/>
      </c>
      <c r="T166" s="231" t="str">
        <f>IF(L166="","",VLOOKUP(L166,classifications!C:K,9,FALSE))</f>
        <v>Sparse</v>
      </c>
      <c r="U166" s="238">
        <f t="shared" si="55"/>
        <v>23</v>
      </c>
      <c r="V166" s="239">
        <f>IF(U166="","",IF($I$8="A",(RANK(U166,U$11:U$363)+COUNTIF(U$11:U166,U166)-1),(RANK(U166,U$11:U$363,1)+COUNTIF(U$11:U166,U166)-1)))</f>
        <v>26</v>
      </c>
      <c r="W166" s="240"/>
      <c r="X166" s="61" t="str">
        <f>IF(L166="","",VLOOKUP($L166,classifications!$C:$J,6,FALSE))</f>
        <v xml:space="preserve">Mainly Rural (rural including hub towns &gt;=80%) </v>
      </c>
      <c r="Y166" s="49">
        <f t="shared" si="56"/>
        <v>23</v>
      </c>
      <c r="Z166" s="57">
        <f>IF(Y166="","",IF(I$8="A",(RANK(Y166,Y$11:Y$363,1)+COUNTIF(Y$11:Y166,Y166)-1),(RANK(Y166,Y$11:Y$363)+COUNTIF(Y$11:Y166,Y166)-1)))</f>
        <v>38</v>
      </c>
      <c r="AA166" s="245" t="str">
        <f>IF(L166="","",VLOOKUP($L166,classifications!C:I,7,FALSE))</f>
        <v>Predominantly Rural</v>
      </c>
      <c r="AB166" s="239">
        <f t="shared" si="61"/>
        <v>23</v>
      </c>
      <c r="AC166" s="239">
        <f>IF(AB166="","",IF($I$8="A",(RANK(AB166,AB$11:AB$363)+COUNTIF(AB$11:AB166,AB166)-1),(RANK(AB166,AB$11:AB$363,1)+COUNTIF(AB$11:AB166,AB166)-1)))</f>
        <v>19</v>
      </c>
      <c r="AD166" s="239"/>
      <c r="AE166" s="51" t="str">
        <f t="shared" si="73"/>
        <v/>
      </c>
      <c r="AG166" s="143"/>
      <c r="AH166" s="52"/>
      <c r="AI166" s="61" t="str">
        <f>IF(L166="","",VLOOKUP($L166,classifications!$C:$J,8,FALSE))</f>
        <v>Worcestershire</v>
      </c>
      <c r="AJ166" s="62" t="str">
        <f t="shared" si="57"/>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West Midlands</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36</v>
      </c>
      <c r="AY166" s="156"/>
      <c r="AZ166" s="44"/>
    </row>
    <row r="167" spans="1:52">
      <c r="A167" s="84" t="str">
        <f>$D$1&amp;157</f>
        <v>SD157</v>
      </c>
      <c r="B167" s="85">
        <f>IF(ISERROR(VLOOKUP(A167,classifications!A:C,3,FALSE)),0,VLOOKUP(A167,classifications!A:C,3,FALSE))</f>
        <v>0</v>
      </c>
      <c r="C167" s="31" t="s">
        <v>395</v>
      </c>
      <c r="D167" s="49" t="str">
        <f>VLOOKUP($C167,classifications!$C:$J,4,FALSE)</f>
        <v>L</v>
      </c>
      <c r="E167" s="49">
        <f>VLOOKUP(C167,classifications!C:K,9,FALSE)</f>
        <v>0</v>
      </c>
      <c r="F167" s="59">
        <f t="shared" si="51"/>
        <v>22</v>
      </c>
      <c r="G167" s="105"/>
      <c r="H167" s="60" t="str">
        <f t="shared" si="52"/>
        <v/>
      </c>
      <c r="I167" s="112" t="str">
        <f>IF(H167="","",IF($I$8="A",(RANK(H167,H$11:H$363,1)+COUNTIF(H$11:H167,H167)-1),(RANK(H167,H$11:H$363)+COUNTIF(H$11:H167,H167)-1)))</f>
        <v/>
      </c>
      <c r="J167" s="58"/>
      <c r="K167" s="51">
        <f t="shared" si="66"/>
        <v>157</v>
      </c>
      <c r="L167" s="59" t="str">
        <f t="shared" si="53"/>
        <v>Basildon</v>
      </c>
      <c r="M167" s="153">
        <f t="shared" si="58"/>
        <v>24</v>
      </c>
      <c r="N167" s="148">
        <f t="shared" si="59"/>
        <v>24</v>
      </c>
      <c r="O167" s="131" t="str">
        <f t="shared" si="54"/>
        <v/>
      </c>
      <c r="P167" s="131" t="str">
        <f t="shared" si="67"/>
        <v/>
      </c>
      <c r="Q167" s="131" t="str">
        <f t="shared" si="68"/>
        <v/>
      </c>
      <c r="R167" s="127">
        <f t="shared" si="69"/>
        <v>24</v>
      </c>
      <c r="S167" s="60" t="str">
        <f t="shared" si="60"/>
        <v/>
      </c>
      <c r="T167" s="231">
        <f>IF(L167="","",VLOOKUP(L167,classifications!C:K,9,FALSE))</f>
        <v>0</v>
      </c>
      <c r="U167" s="238" t="str">
        <f t="shared" si="55"/>
        <v/>
      </c>
      <c r="V167" s="239" t="str">
        <f>IF(U167="","",IF($I$8="A",(RANK(U167,U$11:U$363)+COUNTIF(U$11:U167,U167)-1),(RANK(U167,U$11:U$363,1)+COUNTIF(U$11:U167,U167)-1)))</f>
        <v/>
      </c>
      <c r="W167" s="240"/>
      <c r="X167" s="61" t="str">
        <f>IF(L167="","",VLOOKUP($L167,classifications!$C:$J,6,FALSE))</f>
        <v>Urban with City and Town</v>
      </c>
      <c r="Y167" s="49" t="str">
        <f t="shared" si="56"/>
        <v/>
      </c>
      <c r="Z167" s="57" t="str">
        <f>IF(Y167="","",IF(I$8="A",(RANK(Y167,Y$11:Y$363,1)+COUNTIF(Y$11:Y167,Y167)-1),(RANK(Y167,Y$11:Y$363)+COUNTIF(Y$11:Y167,Y167)-1)))</f>
        <v/>
      </c>
      <c r="AA167" s="245" t="str">
        <f>IF(L167="","",VLOOKUP($L167,classifications!C:I,7,FALSE))</f>
        <v>Predominantly Urban</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Essex</v>
      </c>
      <c r="AJ167" s="62" t="str">
        <f t="shared" si="57"/>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East of England</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22</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21</v>
      </c>
      <c r="G168" s="105"/>
      <c r="H168" s="60" t="str">
        <f t="shared" si="52"/>
        <v/>
      </c>
      <c r="I168" s="112" t="str">
        <f>IF(H168="","",IF($I$8="A",(RANK(H168,H$11:H$363,1)+COUNTIF(H$11:H168,H168)-1),(RANK(H168,H$11:H$363)+COUNTIF(H$11:H168,H168)-1)))</f>
        <v/>
      </c>
      <c r="J168" s="58"/>
      <c r="K168" s="51">
        <f t="shared" si="66"/>
        <v>158</v>
      </c>
      <c r="L168" s="59" t="str">
        <f t="shared" si="53"/>
        <v>Craven</v>
      </c>
      <c r="M168" s="153">
        <f t="shared" si="58"/>
        <v>24</v>
      </c>
      <c r="N168" s="148">
        <f t="shared" si="59"/>
        <v>24</v>
      </c>
      <c r="O168" s="131" t="str">
        <f t="shared" si="54"/>
        <v/>
      </c>
      <c r="P168" s="131" t="str">
        <f t="shared" si="67"/>
        <v/>
      </c>
      <c r="Q168" s="131" t="str">
        <f t="shared" si="68"/>
        <v/>
      </c>
      <c r="R168" s="127">
        <f t="shared" si="69"/>
        <v>24</v>
      </c>
      <c r="S168" s="60" t="str">
        <f t="shared" si="60"/>
        <v/>
      </c>
      <c r="T168" s="231" t="str">
        <f>IF(L168="","",VLOOKUP(L168,classifications!C:K,9,FALSE))</f>
        <v>Sparse</v>
      </c>
      <c r="U168" s="238">
        <f t="shared" si="55"/>
        <v>24</v>
      </c>
      <c r="V168" s="239">
        <f>IF(U168="","",IF($I$8="A",(RANK(U168,U$11:U$363)+COUNTIF(U$11:U168,U168)-1),(RANK(U168,U$11:U$363,1)+COUNTIF(U$11:U168,U168)-1)))</f>
        <v>16</v>
      </c>
      <c r="W168" s="240"/>
      <c r="X168" s="61" t="str">
        <f>IF(L168="","",VLOOKUP($L168,classifications!$C:$J,6,FALSE))</f>
        <v xml:space="preserve">Mainly Rural (rural including hub towns &gt;=80%) </v>
      </c>
      <c r="Y168" s="49">
        <f t="shared" si="56"/>
        <v>24</v>
      </c>
      <c r="Z168" s="57">
        <f>IF(Y168="","",IF(I$8="A",(RANK(Y168,Y$11:Y$363,1)+COUNTIF(Y$11:Y168,Y168)-1),(RANK(Y168,Y$11:Y$363)+COUNTIF(Y$11:Y168,Y168)-1)))</f>
        <v>39</v>
      </c>
      <c r="AA168" s="245" t="str">
        <f>IF(L168="","",VLOOKUP($L168,classifications!C:I,7,FALSE))</f>
        <v>Predominantly Rural</v>
      </c>
      <c r="AB168" s="239">
        <f t="shared" si="61"/>
        <v>24</v>
      </c>
      <c r="AC168" s="239">
        <f>IF(AB168="","",IF($I$8="A",(RANK(AB168,AB$11:AB$363)+COUNTIF(AB$11:AB168,AB168)-1),(RANK(AB168,AB$11:AB$363,1)+COUNTIF(AB$11:AB168,AB168)-1)))</f>
        <v>10</v>
      </c>
      <c r="AD168" s="239"/>
      <c r="AE168" s="51" t="str">
        <f t="shared" si="73"/>
        <v/>
      </c>
      <c r="AG168" s="143"/>
      <c r="AH168" s="52"/>
      <c r="AI168" s="61" t="str">
        <f>IF(L168="","",VLOOKUP($L168,classifications!$C:$J,8,FALSE))</f>
        <v>North Yorkshire</v>
      </c>
      <c r="AJ168" s="62" t="str">
        <f t="shared" si="57"/>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Yorkshire &amp; Humberside</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21</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28</v>
      </c>
      <c r="G169" s="105"/>
      <c r="H169" s="60" t="str">
        <f t="shared" si="52"/>
        <v/>
      </c>
      <c r="I169" s="112" t="str">
        <f>IF(H169="","",IF($I$8="A",(RANK(H169,H$11:H$363,1)+COUNTIF(H$11:H169,H169)-1),(RANK(H169,H$11:H$363)+COUNTIF(H$11:H169,H169)-1)))</f>
        <v/>
      </c>
      <c r="J169" s="58"/>
      <c r="K169" s="51">
        <f t="shared" si="66"/>
        <v>159</v>
      </c>
      <c r="L169" s="59" t="str">
        <f t="shared" si="53"/>
        <v>Guildford</v>
      </c>
      <c r="M169" s="153">
        <f t="shared" si="58"/>
        <v>24</v>
      </c>
      <c r="N169" s="148">
        <f t="shared" si="59"/>
        <v>24</v>
      </c>
      <c r="O169" s="131" t="str">
        <f t="shared" si="54"/>
        <v/>
      </c>
      <c r="P169" s="131" t="str">
        <f t="shared" si="67"/>
        <v/>
      </c>
      <c r="Q169" s="131" t="str">
        <f t="shared" si="68"/>
        <v/>
      </c>
      <c r="R169" s="127">
        <f t="shared" si="69"/>
        <v>24</v>
      </c>
      <c r="S169" s="60" t="str">
        <f t="shared" si="60"/>
        <v/>
      </c>
      <c r="T169" s="231">
        <f>IF(L169="","",VLOOKUP(L169,classifications!C:K,9,FALSE))</f>
        <v>0</v>
      </c>
      <c r="U169" s="238" t="str">
        <f t="shared" si="55"/>
        <v/>
      </c>
      <c r="V169" s="239" t="str">
        <f>IF(U169="","",IF($I$8="A",(RANK(U169,U$11:U$363)+COUNTIF(U$11:U169,U169)-1),(RANK(U169,U$11:U$363,1)+COUNTIF(U$11:U169,U169)-1)))</f>
        <v/>
      </c>
      <c r="W169" s="240"/>
      <c r="X169" s="61" t="str">
        <f>IF(L169="","",VLOOKUP($L169,classifications!$C:$J,6,FALSE))</f>
        <v>Urban with City and Town</v>
      </c>
      <c r="Y169" s="49" t="str">
        <f t="shared" si="56"/>
        <v/>
      </c>
      <c r="Z169" s="57" t="str">
        <f>IF(Y169="","",IF(I$8="A",(RANK(Y169,Y$11:Y$363,1)+COUNTIF(Y$11:Y169,Y169)-1),(RANK(Y169,Y$11:Y$363)+COUNTIF(Y$11:Y169,Y169)-1)))</f>
        <v/>
      </c>
      <c r="AA169" s="245" t="str">
        <f>IF(L169="","",VLOOKUP($L169,classifications!C:I,7,FALSE))</f>
        <v>Predominantly Urban</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Surrey</v>
      </c>
      <c r="AJ169" s="62" t="str">
        <f t="shared" si="57"/>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South East</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28</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23</v>
      </c>
      <c r="G170" s="105"/>
      <c r="H170" s="60" t="str">
        <f t="shared" si="52"/>
        <v/>
      </c>
      <c r="I170" s="112" t="str">
        <f>IF(H170="","",IF($I$8="A",(RANK(H170,H$11:H$363,1)+COUNTIF(H$11:H170,H170)-1),(RANK(H170,H$11:H$363)+COUNTIF(H$11:H170,H170)-1)))</f>
        <v/>
      </c>
      <c r="J170" s="58"/>
      <c r="K170" s="51">
        <f t="shared" si="66"/>
        <v>160</v>
      </c>
      <c r="L170" s="59" t="str">
        <f t="shared" si="53"/>
        <v>Mansfield</v>
      </c>
      <c r="M170" s="153">
        <f t="shared" si="58"/>
        <v>24</v>
      </c>
      <c r="N170" s="148">
        <f t="shared" si="59"/>
        <v>24</v>
      </c>
      <c r="O170" s="131" t="str">
        <f t="shared" si="54"/>
        <v/>
      </c>
      <c r="P170" s="131" t="str">
        <f t="shared" si="67"/>
        <v/>
      </c>
      <c r="Q170" s="131" t="str">
        <f t="shared" si="68"/>
        <v/>
      </c>
      <c r="R170" s="127">
        <f t="shared" si="69"/>
        <v>24</v>
      </c>
      <c r="S170" s="60" t="str">
        <f t="shared" si="60"/>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Urban with City and Town</v>
      </c>
      <c r="Y170" s="49" t="str">
        <f t="shared" si="56"/>
        <v/>
      </c>
      <c r="Z170" s="57" t="str">
        <f>IF(Y170="","",IF(I$8="A",(RANK(Y170,Y$11:Y$363,1)+COUNTIF(Y$11:Y170,Y170)-1),(RANK(Y170,Y$11:Y$363)+COUNTIF(Y$11:Y170,Y170)-1)))</f>
        <v/>
      </c>
      <c r="AA170" s="245" t="str">
        <f>IF(L170="","",VLOOKUP($L170,classifications!C:I,7,FALSE))</f>
        <v>Predominantly Urban</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Nottinghamshire</v>
      </c>
      <c r="AJ170" s="62" t="str">
        <f t="shared" si="57"/>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East Midlands</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23</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f t="shared" si="66"/>
        <v>161</v>
      </c>
      <c r="L171" s="59" t="str">
        <f t="shared" si="53"/>
        <v>Purbeck</v>
      </c>
      <c r="M171" s="153">
        <f t="shared" si="58"/>
        <v>24</v>
      </c>
      <c r="N171" s="148">
        <f t="shared" si="59"/>
        <v>24</v>
      </c>
      <c r="O171" s="131" t="str">
        <f t="shared" si="54"/>
        <v/>
      </c>
      <c r="P171" s="131" t="str">
        <f t="shared" si="67"/>
        <v/>
      </c>
      <c r="Q171" s="131" t="str">
        <f t="shared" si="68"/>
        <v/>
      </c>
      <c r="R171" s="127">
        <f t="shared" si="69"/>
        <v>24</v>
      </c>
      <c r="S171" s="60" t="str">
        <f t="shared" si="60"/>
        <v/>
      </c>
      <c r="T171" s="231" t="str">
        <f>IF(L171="","",VLOOKUP(L171,classifications!C:K,9,FALSE))</f>
        <v>Sparse</v>
      </c>
      <c r="U171" s="238">
        <f t="shared" si="55"/>
        <v>24</v>
      </c>
      <c r="V171" s="239">
        <f>IF(U171="","",IF($I$8="A",(RANK(U171,U$11:U$363)+COUNTIF(U$11:U171,U171)-1),(RANK(U171,U$11:U$363,1)+COUNTIF(U$11:U171,U171)-1)))</f>
        <v>17</v>
      </c>
      <c r="W171" s="240"/>
      <c r="X171" s="61" t="str">
        <f>IF(L171="","",VLOOKUP($L171,classifications!$C:$J,6,FALSE))</f>
        <v xml:space="preserve">Mainly Rural (rural including hub towns &gt;=80%) </v>
      </c>
      <c r="Y171" s="49">
        <f t="shared" si="56"/>
        <v>24</v>
      </c>
      <c r="Z171" s="57">
        <f>IF(Y171="","",IF(I$8="A",(RANK(Y171,Y$11:Y$363,1)+COUNTIF(Y$11:Y171,Y171)-1),(RANK(Y171,Y$11:Y$363)+COUNTIF(Y$11:Y171,Y171)-1)))</f>
        <v>40</v>
      </c>
      <c r="AA171" s="245" t="str">
        <f>IF(L171="","",VLOOKUP($L171,classifications!C:I,7,FALSE))</f>
        <v>Predominantly Rural</v>
      </c>
      <c r="AB171" s="239">
        <f t="shared" si="61"/>
        <v>24</v>
      </c>
      <c r="AC171" s="239">
        <f>IF(AB171="","",IF($I$8="A",(RANK(AB171,AB$11:AB$363)+COUNTIF(AB$11:AB171,AB171)-1),(RANK(AB171,AB$11:AB$363,1)+COUNTIF(AB$11:AB171,AB171)-1)))</f>
        <v>11</v>
      </c>
      <c r="AD171" s="239"/>
      <c r="AE171" s="51" t="str">
        <f t="shared" si="73"/>
        <v/>
      </c>
      <c r="AG171" s="143"/>
      <c r="AH171" s="52"/>
      <c r="AI171" s="61" t="str">
        <f>IF(L171="","",VLOOKUP($L171,classifications!$C:$J,8,FALSE))</f>
        <v>Dorset</v>
      </c>
      <c r="AJ171" s="62" t="str">
        <f t="shared" si="57"/>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South West</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22</v>
      </c>
      <c r="G172" s="105"/>
      <c r="H172" s="60">
        <f t="shared" si="52"/>
        <v>22</v>
      </c>
      <c r="I172" s="112">
        <f>IF(H172="","",IF($I$8="A",(RANK(H172,H$11:H$363,1)+COUNTIF(H$11:H172,H172)-1),(RANK(H172,H$11:H$363)+COUNTIF(H$11:H172,H172)-1)))</f>
        <v>138</v>
      </c>
      <c r="J172" s="58"/>
      <c r="K172" s="51">
        <f t="shared" si="66"/>
        <v>162</v>
      </c>
      <c r="L172" s="59" t="str">
        <f t="shared" si="53"/>
        <v>Sevenoaks</v>
      </c>
      <c r="M172" s="153">
        <f t="shared" si="58"/>
        <v>24</v>
      </c>
      <c r="N172" s="148">
        <f t="shared" si="59"/>
        <v>24</v>
      </c>
      <c r="O172" s="131" t="str">
        <f t="shared" si="54"/>
        <v/>
      </c>
      <c r="P172" s="131" t="str">
        <f t="shared" si="67"/>
        <v/>
      </c>
      <c r="Q172" s="131" t="str">
        <f t="shared" si="68"/>
        <v/>
      </c>
      <c r="R172" s="127">
        <f t="shared" si="69"/>
        <v>24</v>
      </c>
      <c r="S172" s="60" t="str">
        <f t="shared" si="60"/>
        <v/>
      </c>
      <c r="T172" s="231" t="str">
        <f>IF(L172="","",VLOOKUP(L172,classifications!C:K,9,FALSE))</f>
        <v>Sparse</v>
      </c>
      <c r="U172" s="238">
        <f t="shared" si="55"/>
        <v>24</v>
      </c>
      <c r="V172" s="239">
        <f>IF(U172="","",IF($I$8="A",(RANK(U172,U$11:U$363)+COUNTIF(U$11:U172,U172)-1),(RANK(U172,U$11:U$363,1)+COUNTIF(U$11:U172,U172)-1)))</f>
        <v>18</v>
      </c>
      <c r="W172" s="240"/>
      <c r="X172" s="61" t="str">
        <f>IF(L172="","",VLOOKUP($L172,classifications!$C:$J,6,FALSE))</f>
        <v xml:space="preserve">Largely Rural (rural including hub towns 50-79%) </v>
      </c>
      <c r="Y172" s="49" t="str">
        <f t="shared" si="56"/>
        <v/>
      </c>
      <c r="Z172" s="57" t="str">
        <f>IF(Y172="","",IF(I$8="A",(RANK(Y172,Y$11:Y$363,1)+COUNTIF(Y$11:Y172,Y172)-1),(RANK(Y172,Y$11:Y$363)+COUNTIF(Y$11:Y172,Y172)-1)))</f>
        <v/>
      </c>
      <c r="AA172" s="245" t="str">
        <f>IF(L172="","",VLOOKUP($L172,classifications!C:I,7,FALSE))</f>
        <v>Predominantly Rural</v>
      </c>
      <c r="AB172" s="239">
        <f t="shared" si="61"/>
        <v>24</v>
      </c>
      <c r="AC172" s="239">
        <f>IF(AB172="","",IF($I$8="A",(RANK(AB172,AB$11:AB$363)+COUNTIF(AB$11:AB172,AB172)-1),(RANK(AB172,AB$11:AB$363,1)+COUNTIF(AB$11:AB172,AB172)-1)))</f>
        <v>12</v>
      </c>
      <c r="AD172" s="239"/>
      <c r="AE172" s="51" t="str">
        <f t="shared" si="73"/>
        <v/>
      </c>
      <c r="AG172" s="143"/>
      <c r="AH172" s="52"/>
      <c r="AI172" s="61" t="str">
        <f>IF(L172="","",VLOOKUP($L172,classifications!$C:$J,8,FALSE))</f>
        <v>Kent</v>
      </c>
      <c r="AJ172" s="62" t="str">
        <f t="shared" si="57"/>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South East</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22</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20</v>
      </c>
      <c r="G173" s="105"/>
      <c r="H173" s="60" t="str">
        <f t="shared" si="52"/>
        <v/>
      </c>
      <c r="I173" s="112" t="str">
        <f>IF(H173="","",IF($I$8="A",(RANK(H173,H$11:H$363,1)+COUNTIF(H$11:H173,H173)-1),(RANK(H173,H$11:H$363)+COUNTIF(H$11:H173,H173)-1)))</f>
        <v/>
      </c>
      <c r="J173" s="58"/>
      <c r="K173" s="51">
        <f t="shared" si="66"/>
        <v>163</v>
      </c>
      <c r="L173" s="59" t="str">
        <f t="shared" si="53"/>
        <v>St Albans</v>
      </c>
      <c r="M173" s="153">
        <f t="shared" si="58"/>
        <v>24</v>
      </c>
      <c r="N173" s="148">
        <f t="shared" si="59"/>
        <v>24</v>
      </c>
      <c r="O173" s="131" t="str">
        <f t="shared" si="54"/>
        <v/>
      </c>
      <c r="P173" s="131" t="str">
        <f t="shared" si="67"/>
        <v/>
      </c>
      <c r="Q173" s="131" t="str">
        <f t="shared" si="68"/>
        <v/>
      </c>
      <c r="R173" s="127">
        <f t="shared" si="69"/>
        <v>24</v>
      </c>
      <c r="S173" s="60" t="str">
        <f t="shared" si="60"/>
        <v/>
      </c>
      <c r="T173" s="231">
        <f>IF(L173="","",VLOOKUP(L173,classifications!C:K,9,FALSE))</f>
        <v>0</v>
      </c>
      <c r="U173" s="238" t="str">
        <f t="shared" si="55"/>
        <v/>
      </c>
      <c r="V173" s="239" t="str">
        <f>IF(U173="","",IF($I$8="A",(RANK(U173,U$11:U$363)+COUNTIF(U$11:U173,U173)-1),(RANK(U173,U$11:U$363,1)+COUNTIF(U$11:U173,U173)-1)))</f>
        <v/>
      </c>
      <c r="W173" s="240"/>
      <c r="X173" s="61" t="str">
        <f>IF(L173="","",VLOOKUP($L173,classifications!$C:$J,6,FALSE))</f>
        <v>Urban with City and Town</v>
      </c>
      <c r="Y173" s="49" t="str">
        <f t="shared" si="56"/>
        <v/>
      </c>
      <c r="Z173" s="57" t="str">
        <f>IF(Y173="","",IF(I$8="A",(RANK(Y173,Y$11:Y$363,1)+COUNTIF(Y$11:Y173,Y173)-1),(RANK(Y173,Y$11:Y$363)+COUNTIF(Y$11:Y173,Y173)-1)))</f>
        <v/>
      </c>
      <c r="AA173" s="245" t="str">
        <f>IF(L173="","",VLOOKUP($L173,classifications!C:I,7,FALSE))</f>
        <v>Predominantly Urban</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Hertfordshire</v>
      </c>
      <c r="AJ173" s="62" t="str">
        <f t="shared" si="57"/>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East of England</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20</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24</v>
      </c>
      <c r="G174" s="105"/>
      <c r="H174" s="60" t="str">
        <f t="shared" si="52"/>
        <v/>
      </c>
      <c r="I174" s="112" t="str">
        <f>IF(H174="","",IF($I$8="A",(RANK(H174,H$11:H$363,1)+COUNTIF(H$11:H174,H174)-1),(RANK(H174,H$11:H$363)+COUNTIF(H$11:H174,H174)-1)))</f>
        <v/>
      </c>
      <c r="J174" s="58"/>
      <c r="K174" s="51">
        <f t="shared" si="66"/>
        <v>164</v>
      </c>
      <c r="L174" s="59" t="str">
        <f t="shared" si="53"/>
        <v>Stevenage</v>
      </c>
      <c r="M174" s="153">
        <f t="shared" si="58"/>
        <v>24</v>
      </c>
      <c r="N174" s="148">
        <f t="shared" si="59"/>
        <v>24</v>
      </c>
      <c r="O174" s="131" t="str">
        <f t="shared" si="54"/>
        <v/>
      </c>
      <c r="P174" s="131" t="str">
        <f t="shared" si="67"/>
        <v/>
      </c>
      <c r="Q174" s="131" t="str">
        <f t="shared" si="68"/>
        <v/>
      </c>
      <c r="R174" s="127">
        <f t="shared" si="69"/>
        <v>24</v>
      </c>
      <c r="S174" s="60" t="str">
        <f t="shared" si="60"/>
        <v/>
      </c>
      <c r="T174" s="231">
        <f>IF(L174="","",VLOOKUP(L174,classifications!C:K,9,FALSE))</f>
        <v>0</v>
      </c>
      <c r="U174" s="238" t="str">
        <f t="shared" si="55"/>
        <v/>
      </c>
      <c r="V174" s="239" t="str">
        <f>IF(U174="","",IF($I$8="A",(RANK(U174,U$11:U$363)+COUNTIF(U$11:U174,U174)-1),(RANK(U174,U$11:U$363,1)+COUNTIF(U$11:U174,U174)-1)))</f>
        <v/>
      </c>
      <c r="W174" s="240"/>
      <c r="X174" s="61" t="str">
        <f>IF(L174="","",VLOOKUP($L174,classifications!$C:$J,6,FALSE))</f>
        <v>Urban with City and Town</v>
      </c>
      <c r="Y174" s="49" t="str">
        <f t="shared" si="56"/>
        <v/>
      </c>
      <c r="Z174" s="57" t="str">
        <f>IF(Y174="","",IF(I$8="A",(RANK(Y174,Y$11:Y$363,1)+COUNTIF(Y$11:Y174,Y174)-1),(RANK(Y174,Y$11:Y$363)+COUNTIF(Y$11:Y174,Y174)-1)))</f>
        <v/>
      </c>
      <c r="AA174" s="245" t="str">
        <f>IF(L174="","",VLOOKUP($L174,classifications!C:I,7,FALSE))</f>
        <v>Predominantly Urban</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Hertfordshire</v>
      </c>
      <c r="AJ174" s="62" t="str">
        <f t="shared" si="57"/>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East of England</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24</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Bromsgrove</v>
      </c>
      <c r="M175" s="153">
        <f t="shared" si="58"/>
        <v>25</v>
      </c>
      <c r="N175" s="148">
        <f t="shared" si="59"/>
        <v>25</v>
      </c>
      <c r="O175" s="131" t="str">
        <f t="shared" si="54"/>
        <v/>
      </c>
      <c r="P175" s="131" t="str">
        <f t="shared" si="67"/>
        <v/>
      </c>
      <c r="Q175" s="131" t="str">
        <f t="shared" si="68"/>
        <v/>
      </c>
      <c r="R175" s="127">
        <f t="shared" si="69"/>
        <v>25</v>
      </c>
      <c r="S175" s="60" t="str">
        <f t="shared" si="60"/>
        <v/>
      </c>
      <c r="T175" s="231">
        <f>IF(L175="","",VLOOKUP(L175,classifications!C:K,9,FALSE))</f>
        <v>0</v>
      </c>
      <c r="U175" s="238" t="str">
        <f t="shared" si="55"/>
        <v/>
      </c>
      <c r="V175" s="239" t="str">
        <f>IF(U175="","",IF($I$8="A",(RANK(U175,U$11:U$363)+COUNTIF(U$11:U175,U175)-1),(RANK(U175,U$11:U$363,1)+COUNTIF(U$11:U175,U175)-1)))</f>
        <v/>
      </c>
      <c r="W175" s="240"/>
      <c r="X175" s="61" t="str">
        <f>IF(L175="","",VLOOKUP($L175,classifications!$C:$J,6,FALSE))</f>
        <v>Urban with City and Town</v>
      </c>
      <c r="Y175" s="49" t="str">
        <f t="shared" si="56"/>
        <v/>
      </c>
      <c r="Z175" s="57" t="str">
        <f>IF(Y175="","",IF(I$8="A",(RANK(Y175,Y$11:Y$363,1)+COUNTIF(Y$11:Y175,Y175)-1),(RANK(Y175,Y$11:Y$363)+COUNTIF(Y$11:Y175,Y175)-1)))</f>
        <v/>
      </c>
      <c r="AA175" s="245" t="str">
        <f>IF(L175="","",VLOOKUP($L175,classifications!C:I,7,FALSE))</f>
        <v>Predominantly Urban</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Worcestershire</v>
      </c>
      <c r="AJ175" s="62" t="str">
        <f t="shared" si="57"/>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West Midlands</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15</v>
      </c>
      <c r="G176" s="105"/>
      <c r="H176" s="60">
        <f t="shared" si="52"/>
        <v>15</v>
      </c>
      <c r="I176" s="112">
        <f>IF(H176="","",IF($I$8="A",(RANK(H176,H$11:H$363,1)+COUNTIF(H$11:H176,H176)-1),(RANK(H176,H$11:H$363)+COUNTIF(H$11:H176,H176)-1)))</f>
        <v>43</v>
      </c>
      <c r="J176" s="58"/>
      <c r="K176" s="51">
        <f t="shared" si="66"/>
        <v>166</v>
      </c>
      <c r="L176" s="59" t="str">
        <f t="shared" si="53"/>
        <v>Carlisle</v>
      </c>
      <c r="M176" s="153">
        <f t="shared" si="58"/>
        <v>25</v>
      </c>
      <c r="N176" s="148">
        <f t="shared" si="59"/>
        <v>25</v>
      </c>
      <c r="O176" s="131" t="str">
        <f t="shared" si="54"/>
        <v/>
      </c>
      <c r="P176" s="131" t="str">
        <f t="shared" si="67"/>
        <v/>
      </c>
      <c r="Q176" s="131" t="str">
        <f t="shared" si="68"/>
        <v/>
      </c>
      <c r="R176" s="127">
        <f t="shared" si="69"/>
        <v>25</v>
      </c>
      <c r="S176" s="60" t="str">
        <f t="shared" si="60"/>
        <v/>
      </c>
      <c r="T176" s="231">
        <f>IF(L176="","",VLOOKUP(L176,classifications!C:K,9,FALSE))</f>
        <v>0</v>
      </c>
      <c r="U176" s="238" t="str">
        <f t="shared" si="55"/>
        <v/>
      </c>
      <c r="V176" s="239" t="str">
        <f>IF(U176="","",IF($I$8="A",(RANK(U176,U$11:U$363)+COUNTIF(U$11:U176,U176)-1),(RANK(U176,U$11:U$363,1)+COUNTIF(U$11:U176,U176)-1)))</f>
        <v/>
      </c>
      <c r="W176" s="240"/>
      <c r="X176" s="61" t="str">
        <f>IF(L176="","",VLOOKUP($L176,classifications!$C:$J,6,FALSE))</f>
        <v>Urban with Significant Rural (rural including hub towns 26-49%)</v>
      </c>
      <c r="Y176" s="49" t="str">
        <f t="shared" si="56"/>
        <v/>
      </c>
      <c r="Z176" s="57" t="str">
        <f>IF(Y176="","",IF(I$8="A",(RANK(Y176,Y$11:Y$363,1)+COUNTIF(Y$11:Y176,Y176)-1),(RANK(Y176,Y$11:Y$363)+COUNTIF(Y$11:Y176,Y176)-1)))</f>
        <v/>
      </c>
      <c r="AA176" s="245" t="str">
        <f>IF(L176="","",VLOOKUP($L176,classifications!C:I,7,FALSE))</f>
        <v>Significant Rural</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Cumbria</v>
      </c>
      <c r="AJ176" s="62">
        <f t="shared" si="57"/>
        <v>25</v>
      </c>
      <c r="AK176" s="57">
        <f>IF(AJ176="","",IF(I$8="A",(RANK(AJ176,AJ$11:AJ$363,1)+COUNTIF(AJ$11:AJ176,AJ176)-1),(RANK(AJ176,AJ$11:AJ$363)+COUNTIF(AJ$11:AJ176,AJ176)-1)))</f>
        <v>4</v>
      </c>
      <c r="AL176" s="52" t="str">
        <f t="shared" si="70"/>
        <v/>
      </c>
      <c r="AM176" s="31" t="str">
        <f t="shared" si="72"/>
        <v/>
      </c>
      <c r="AN176" s="31" t="str">
        <f t="shared" si="62"/>
        <v/>
      </c>
      <c r="AP176" s="61" t="str">
        <f>IF(L176="","",VLOOKUP($L176,classifications!$C:$E,3,FALSE))</f>
        <v>North West</v>
      </c>
      <c r="AQ176" s="62">
        <f t="shared" si="63"/>
        <v>25</v>
      </c>
      <c r="AR176" s="57">
        <f>IF(AQ176="","",IF(I$8="A",(RANK(AQ176,AQ$11:AQ$363,1)+COUNTIF(AQ$11:AQ176,AQ176)-1),(RANK(AQ176,AQ$11:AQ$363)+COUNTIF(AQ$11:AQ176,AQ176)-1)))</f>
        <v>12</v>
      </c>
      <c r="AS176" s="52" t="str">
        <f t="shared" si="64"/>
        <v/>
      </c>
      <c r="AT176" s="57" t="str">
        <f t="shared" si="65"/>
        <v/>
      </c>
      <c r="AU176" s="62" t="str">
        <f t="shared" si="71"/>
        <v/>
      </c>
      <c r="AX176" s="44">
        <f>HLOOKUP($AX$9&amp;$AX$10,Data!$A$1:$ZZ$2000,(MATCH($C176,Data!$A$1:$A$2000,0)),FALSE)</f>
        <v>15</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16</v>
      </c>
      <c r="G177" s="105"/>
      <c r="H177" s="60" t="str">
        <f t="shared" si="52"/>
        <v/>
      </c>
      <c r="I177" s="112" t="str">
        <f>IF(H177="","",IF($I$8="A",(RANK(H177,H$11:H$363,1)+COUNTIF(H$11:H177,H177)-1),(RANK(H177,H$11:H$363)+COUNTIF(H$11:H177,H177)-1)))</f>
        <v/>
      </c>
      <c r="J177" s="58"/>
      <c r="K177" s="51">
        <f t="shared" si="66"/>
        <v>167</v>
      </c>
      <c r="L177" s="59" t="str">
        <f t="shared" si="53"/>
        <v>Castle Point</v>
      </c>
      <c r="M177" s="153">
        <f t="shared" si="58"/>
        <v>25</v>
      </c>
      <c r="N177" s="148">
        <f t="shared" si="59"/>
        <v>25</v>
      </c>
      <c r="O177" s="131" t="str">
        <f t="shared" si="54"/>
        <v/>
      </c>
      <c r="P177" s="131" t="str">
        <f t="shared" si="67"/>
        <v/>
      </c>
      <c r="Q177" s="131" t="str">
        <f t="shared" si="68"/>
        <v/>
      </c>
      <c r="R177" s="127">
        <f t="shared" si="69"/>
        <v>25</v>
      </c>
      <c r="S177" s="60" t="str">
        <f t="shared" si="60"/>
        <v/>
      </c>
      <c r="T177" s="231">
        <f>IF(L177="","",VLOOKUP(L177,classifications!C:K,9,FALSE))</f>
        <v>0</v>
      </c>
      <c r="U177" s="238" t="str">
        <f t="shared" si="55"/>
        <v/>
      </c>
      <c r="V177" s="239" t="str">
        <f>IF(U177="","",IF($I$8="A",(RANK(U177,U$11:U$363)+COUNTIF(U$11:U177,U177)-1),(RANK(U177,U$11:U$363,1)+COUNTIF(U$11:U177,U177)-1)))</f>
        <v/>
      </c>
      <c r="W177" s="240"/>
      <c r="X177" s="61" t="str">
        <f>IF(L177="","",VLOOKUP($L177,classifications!$C:$J,6,FALSE))</f>
        <v>Urban with City and Town</v>
      </c>
      <c r="Y177" s="49" t="str">
        <f t="shared" si="56"/>
        <v/>
      </c>
      <c r="Z177" s="57" t="str">
        <f>IF(Y177="","",IF(I$8="A",(RANK(Y177,Y$11:Y$363,1)+COUNTIF(Y$11:Y177,Y177)-1),(RANK(Y177,Y$11:Y$363)+COUNTIF(Y$11:Y177,Y177)-1)))</f>
        <v/>
      </c>
      <c r="AA177" s="245" t="str">
        <f>IF(L177="","",VLOOKUP($L177,classifications!C:I,7,FALSE))</f>
        <v>Predominantly Urban</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Essex</v>
      </c>
      <c r="AJ177" s="62" t="str">
        <f t="shared" si="57"/>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East of England</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16</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26</v>
      </c>
      <c r="G178" s="105"/>
      <c r="H178" s="60">
        <f t="shared" si="52"/>
        <v>26</v>
      </c>
      <c r="I178" s="112">
        <f>IF(H178="","",IF($I$8="A",(RANK(H178,H$11:H$363,1)+COUNTIF(H$11:H178,H178)-1),(RANK(H178,H$11:H$363)+COUNTIF(H$11:H178,H178)-1)))</f>
        <v>178</v>
      </c>
      <c r="J178" s="58"/>
      <c r="K178" s="51">
        <f t="shared" si="66"/>
        <v>168</v>
      </c>
      <c r="L178" s="59" t="str">
        <f t="shared" si="53"/>
        <v>Charnwood</v>
      </c>
      <c r="M178" s="153">
        <f t="shared" si="58"/>
        <v>25</v>
      </c>
      <c r="N178" s="148">
        <f t="shared" si="59"/>
        <v>25</v>
      </c>
      <c r="O178" s="131" t="str">
        <f t="shared" si="54"/>
        <v/>
      </c>
      <c r="P178" s="131" t="str">
        <f t="shared" si="67"/>
        <v/>
      </c>
      <c r="Q178" s="131" t="str">
        <f t="shared" si="68"/>
        <v/>
      </c>
      <c r="R178" s="127">
        <f t="shared" si="69"/>
        <v>25</v>
      </c>
      <c r="S178" s="60" t="str">
        <f t="shared" si="60"/>
        <v/>
      </c>
      <c r="T178" s="231">
        <f>IF(L178="","",VLOOKUP(L178,classifications!C:K,9,FALSE))</f>
        <v>0</v>
      </c>
      <c r="U178" s="238" t="str">
        <f t="shared" si="55"/>
        <v/>
      </c>
      <c r="V178" s="239" t="str">
        <f>IF(U178="","",IF($I$8="A",(RANK(U178,U$11:U$363)+COUNTIF(U$11:U178,U178)-1),(RANK(U178,U$11:U$363,1)+COUNTIF(U$11:U178,U178)-1)))</f>
        <v/>
      </c>
      <c r="W178" s="240"/>
      <c r="X178" s="61" t="str">
        <f>IF(L178="","",VLOOKUP($L178,classifications!$C:$J,6,FALSE))</f>
        <v>Urban with City and Town</v>
      </c>
      <c r="Y178" s="49" t="str">
        <f t="shared" si="56"/>
        <v/>
      </c>
      <c r="Z178" s="57" t="str">
        <f>IF(Y178="","",IF(I$8="A",(RANK(Y178,Y$11:Y$363,1)+COUNTIF(Y$11:Y178,Y178)-1),(RANK(Y178,Y$11:Y$363)+COUNTIF(Y$11:Y178,Y178)-1)))</f>
        <v/>
      </c>
      <c r="AA178" s="245" t="str">
        <f>IF(L178="","",VLOOKUP($L178,classifications!C:I,7,FALSE))</f>
        <v>Predominantly Urban</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Leicestershire</v>
      </c>
      <c r="AJ178" s="62" t="str">
        <f t="shared" si="57"/>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East Midlands</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26</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22</v>
      </c>
      <c r="G179" s="105"/>
      <c r="H179" s="60">
        <f t="shared" si="52"/>
        <v>22</v>
      </c>
      <c r="I179" s="112">
        <f>IF(H179="","",IF($I$8="A",(RANK(H179,H$11:H$363,1)+COUNTIF(H$11:H179,H179)-1),(RANK(H179,H$11:H$363)+COUNTIF(H$11:H179,H179)-1)))</f>
        <v>139</v>
      </c>
      <c r="J179" s="58"/>
      <c r="K179" s="51">
        <f t="shared" si="66"/>
        <v>169</v>
      </c>
      <c r="L179" s="59" t="str">
        <f t="shared" si="53"/>
        <v>Chesterfield</v>
      </c>
      <c r="M179" s="153">
        <f t="shared" si="58"/>
        <v>25</v>
      </c>
      <c r="N179" s="148">
        <f t="shared" si="59"/>
        <v>25</v>
      </c>
      <c r="O179" s="131" t="str">
        <f t="shared" si="54"/>
        <v/>
      </c>
      <c r="P179" s="131" t="str">
        <f t="shared" si="67"/>
        <v/>
      </c>
      <c r="Q179" s="131" t="str">
        <f t="shared" si="68"/>
        <v/>
      </c>
      <c r="R179" s="127">
        <f t="shared" si="69"/>
        <v>25</v>
      </c>
      <c r="S179" s="60" t="str">
        <f t="shared" si="60"/>
        <v/>
      </c>
      <c r="T179" s="231">
        <f>IF(L179="","",VLOOKUP(L179,classifications!C:K,9,FALSE))</f>
        <v>0</v>
      </c>
      <c r="U179" s="238" t="str">
        <f t="shared" si="55"/>
        <v/>
      </c>
      <c r="V179" s="239" t="str">
        <f>IF(U179="","",IF($I$8="A",(RANK(U179,U$11:U$363)+COUNTIF(U$11:U179,U179)-1),(RANK(U179,U$11:U$363,1)+COUNTIF(U$11:U179,U179)-1)))</f>
        <v/>
      </c>
      <c r="W179" s="240"/>
      <c r="X179" s="61" t="str">
        <f>IF(L179="","",VLOOKUP($L179,classifications!$C:$J,6,FALSE))</f>
        <v>Urban with City and Town</v>
      </c>
      <c r="Y179" s="49" t="str">
        <f t="shared" si="56"/>
        <v/>
      </c>
      <c r="Z179" s="57" t="str">
        <f>IF(Y179="","",IF(I$8="A",(RANK(Y179,Y$11:Y$363,1)+COUNTIF(Y$11:Y179,Y179)-1),(RANK(Y179,Y$11:Y$363)+COUNTIF(Y$11:Y179,Y179)-1)))</f>
        <v/>
      </c>
      <c r="AA179" s="245" t="str">
        <f>IF(L179="","",VLOOKUP($L179,classifications!C:I,7,FALSE))</f>
        <v>Predominantly Urban</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Derbyshire</v>
      </c>
      <c r="AJ179" s="62" t="str">
        <f t="shared" si="57"/>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East Midlands</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22</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Colchester</v>
      </c>
      <c r="M180" s="153">
        <f t="shared" si="58"/>
        <v>25</v>
      </c>
      <c r="N180" s="148">
        <f t="shared" si="59"/>
        <v>25</v>
      </c>
      <c r="O180" s="131" t="str">
        <f t="shared" si="54"/>
        <v/>
      </c>
      <c r="P180" s="131" t="str">
        <f t="shared" si="67"/>
        <v/>
      </c>
      <c r="Q180" s="131" t="str">
        <f t="shared" si="68"/>
        <v/>
      </c>
      <c r="R180" s="127">
        <f t="shared" si="69"/>
        <v>25</v>
      </c>
      <c r="S180" s="60" t="str">
        <f t="shared" si="60"/>
        <v/>
      </c>
      <c r="T180" s="231">
        <f>IF(L180="","",VLOOKUP(L180,classifications!C:K,9,FALSE))</f>
        <v>0</v>
      </c>
      <c r="U180" s="238" t="str">
        <f t="shared" si="55"/>
        <v/>
      </c>
      <c r="V180" s="239" t="str">
        <f>IF(U180="","",IF($I$8="A",(RANK(U180,U$11:U$363)+COUNTIF(U$11:U180,U180)-1),(RANK(U180,U$11:U$363,1)+COUNTIF(U$11:U180,U180)-1)))</f>
        <v/>
      </c>
      <c r="W180" s="240"/>
      <c r="X180" s="61" t="str">
        <f>IF(L180="","",VLOOKUP($L180,classifications!$C:$J,6,FALSE))</f>
        <v>Urban with Significant Rural (rural including hub towns 26-49%)</v>
      </c>
      <c r="Y180" s="49" t="str">
        <f t="shared" si="56"/>
        <v/>
      </c>
      <c r="Z180" s="57" t="str">
        <f>IF(Y180="","",IF(I$8="A",(RANK(Y180,Y$11:Y$363,1)+COUNTIF(Y$11:Y180,Y180)-1),(RANK(Y180,Y$11:Y$363)+COUNTIF(Y$11:Y180,Y180)-1)))</f>
        <v/>
      </c>
      <c r="AA180" s="245" t="str">
        <f>IF(L180="","",VLOOKUP($L180,classifications!C:I,7,FALSE))</f>
        <v>Significant Rural</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Essex</v>
      </c>
      <c r="AJ180" s="62" t="str">
        <f t="shared" si="57"/>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East of England</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23</v>
      </c>
      <c r="G181" s="105"/>
      <c r="H181" s="60" t="str">
        <f t="shared" si="52"/>
        <v/>
      </c>
      <c r="I181" s="112" t="str">
        <f>IF(H181="","",IF($I$8="A",(RANK(H181,H$11:H$363,1)+COUNTIF(H$11:H181,H181)-1),(RANK(H181,H$11:H$363)+COUNTIF(H$11:H181,H181)-1)))</f>
        <v/>
      </c>
      <c r="J181" s="58"/>
      <c r="K181" s="51">
        <f t="shared" si="66"/>
        <v>171</v>
      </c>
      <c r="L181" s="59" t="str">
        <f t="shared" si="53"/>
        <v>Dartford</v>
      </c>
      <c r="M181" s="153">
        <f t="shared" si="58"/>
        <v>25</v>
      </c>
      <c r="N181" s="148">
        <f t="shared" si="59"/>
        <v>25</v>
      </c>
      <c r="O181" s="131" t="str">
        <f t="shared" si="54"/>
        <v/>
      </c>
      <c r="P181" s="131" t="str">
        <f t="shared" si="67"/>
        <v/>
      </c>
      <c r="Q181" s="131" t="str">
        <f t="shared" si="68"/>
        <v/>
      </c>
      <c r="R181" s="127">
        <f t="shared" si="69"/>
        <v>25</v>
      </c>
      <c r="S181" s="60" t="str">
        <f t="shared" si="60"/>
        <v/>
      </c>
      <c r="T181" s="231">
        <f>IF(L181="","",VLOOKUP(L181,classifications!C:K,9,FALSE))</f>
        <v>0</v>
      </c>
      <c r="U181" s="238" t="str">
        <f t="shared" si="55"/>
        <v/>
      </c>
      <c r="V181" s="239" t="str">
        <f>IF(U181="","",IF($I$8="A",(RANK(U181,U$11:U$363)+COUNTIF(U$11:U181,U181)-1),(RANK(U181,U$11:U$363,1)+COUNTIF(U$11:U181,U181)-1)))</f>
        <v/>
      </c>
      <c r="W181" s="240"/>
      <c r="X181" s="61" t="str">
        <f>IF(L181="","",VLOOKUP($L181,classifications!$C:$J,6,FALSE))</f>
        <v>Urban with Major Conurbation</v>
      </c>
      <c r="Y181" s="49" t="str">
        <f t="shared" si="56"/>
        <v/>
      </c>
      <c r="Z181" s="57" t="str">
        <f>IF(Y181="","",IF(I$8="A",(RANK(Y181,Y$11:Y$363,1)+COUNTIF(Y$11:Y181,Y181)-1),(RANK(Y181,Y$11:Y$363)+COUNTIF(Y$11:Y181,Y181)-1)))</f>
        <v/>
      </c>
      <c r="AA181" s="245" t="str">
        <f>IF(L181="","",VLOOKUP($L181,classifications!C:I,7,FALSE))</f>
        <v>Predominantly Urban</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Kent</v>
      </c>
      <c r="AJ181" s="62" t="str">
        <f t="shared" si="57"/>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South East</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23</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23</v>
      </c>
      <c r="G182" s="105"/>
      <c r="H182" s="60" t="str">
        <f t="shared" si="52"/>
        <v/>
      </c>
      <c r="I182" s="112" t="str">
        <f>IF(H182="","",IF($I$8="A",(RANK(H182,H$11:H$363,1)+COUNTIF(H$11:H182,H182)-1),(RANK(H182,H$11:H$363)+COUNTIF(H$11:H182,H182)-1)))</f>
        <v/>
      </c>
      <c r="J182" s="58"/>
      <c r="K182" s="51">
        <f t="shared" si="66"/>
        <v>172</v>
      </c>
      <c r="L182" s="59" t="str">
        <f t="shared" si="53"/>
        <v>Richmondshire</v>
      </c>
      <c r="M182" s="153">
        <f t="shared" si="58"/>
        <v>25</v>
      </c>
      <c r="N182" s="148">
        <f t="shared" si="59"/>
        <v>25</v>
      </c>
      <c r="O182" s="131" t="str">
        <f t="shared" si="54"/>
        <v/>
      </c>
      <c r="P182" s="131" t="str">
        <f t="shared" si="67"/>
        <v/>
      </c>
      <c r="Q182" s="131" t="str">
        <f t="shared" si="68"/>
        <v/>
      </c>
      <c r="R182" s="127">
        <f t="shared" si="69"/>
        <v>25</v>
      </c>
      <c r="S182" s="60" t="str">
        <f t="shared" si="60"/>
        <v/>
      </c>
      <c r="T182" s="231" t="str">
        <f>IF(L182="","",VLOOKUP(L182,classifications!C:K,9,FALSE))</f>
        <v>Sparse</v>
      </c>
      <c r="U182" s="238">
        <f t="shared" si="55"/>
        <v>25</v>
      </c>
      <c r="V182" s="239">
        <f>IF(U182="","",IF($I$8="A",(RANK(U182,U$11:U$363)+COUNTIF(U$11:U182,U182)-1),(RANK(U182,U$11:U$363,1)+COUNTIF(U$11:U182,U182)-1)))</f>
        <v>14</v>
      </c>
      <c r="W182" s="240"/>
      <c r="X182" s="61" t="str">
        <f>IF(L182="","",VLOOKUP($L182,classifications!$C:$J,6,FALSE))</f>
        <v xml:space="preserve">Mainly Rural (rural including hub towns &gt;=80%) </v>
      </c>
      <c r="Y182" s="49">
        <f t="shared" si="56"/>
        <v>25</v>
      </c>
      <c r="Z182" s="57">
        <f>IF(Y182="","",IF(I$8="A",(RANK(Y182,Y$11:Y$363,1)+COUNTIF(Y$11:Y182,Y182)-1),(RANK(Y182,Y$11:Y$363)+COUNTIF(Y$11:Y182,Y182)-1)))</f>
        <v>41</v>
      </c>
      <c r="AA182" s="245" t="str">
        <f>IF(L182="","",VLOOKUP($L182,classifications!C:I,7,FALSE))</f>
        <v>Predominantly Rural</v>
      </c>
      <c r="AB182" s="239">
        <f t="shared" si="61"/>
        <v>25</v>
      </c>
      <c r="AC182" s="239">
        <f>IF(AB182="","",IF($I$8="A",(RANK(AB182,AB$11:AB$363)+COUNTIF(AB$11:AB182,AB182)-1),(RANK(AB182,AB$11:AB$363,1)+COUNTIF(AB$11:AB182,AB182)-1)))</f>
        <v>8</v>
      </c>
      <c r="AD182" s="239"/>
      <c r="AE182" s="51" t="str">
        <f t="shared" si="73"/>
        <v/>
      </c>
      <c r="AG182" s="143"/>
      <c r="AH182" s="52"/>
      <c r="AI182" s="61" t="str">
        <f>IF(L182="","",VLOOKUP($L182,classifications!$C:$J,8,FALSE))</f>
        <v>North Yorkshire</v>
      </c>
      <c r="AJ182" s="62" t="str">
        <f t="shared" si="57"/>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Yorkshire &amp; Humberside</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23</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15</v>
      </c>
      <c r="G183" s="105"/>
      <c r="H183" s="60">
        <f t="shared" si="52"/>
        <v>15</v>
      </c>
      <c r="I183" s="112">
        <f>IF(H183="","",IF($I$8="A",(RANK(H183,H$11:H$363,1)+COUNTIF(H$11:H183,H183)-1),(RANK(H183,H$11:H$363)+COUNTIF(H$11:H183,H183)-1)))</f>
        <v>44</v>
      </c>
      <c r="J183" s="58"/>
      <c r="K183" s="51">
        <f t="shared" si="66"/>
        <v>173</v>
      </c>
      <c r="L183" s="59" t="str">
        <f t="shared" si="53"/>
        <v>Spelthorne</v>
      </c>
      <c r="M183" s="153">
        <f t="shared" si="58"/>
        <v>25</v>
      </c>
      <c r="N183" s="148">
        <f t="shared" si="59"/>
        <v>25</v>
      </c>
      <c r="O183" s="131" t="str">
        <f t="shared" si="54"/>
        <v/>
      </c>
      <c r="P183" s="131" t="str">
        <f t="shared" si="67"/>
        <v/>
      </c>
      <c r="Q183" s="131" t="str">
        <f t="shared" si="68"/>
        <v/>
      </c>
      <c r="R183" s="127">
        <f t="shared" si="69"/>
        <v>25</v>
      </c>
      <c r="S183" s="60" t="str">
        <f t="shared" si="60"/>
        <v/>
      </c>
      <c r="T183" s="231">
        <f>IF(L183="","",VLOOKUP(L183,classifications!C:K,9,FALSE))</f>
        <v>0</v>
      </c>
      <c r="U183" s="238" t="str">
        <f t="shared" si="55"/>
        <v/>
      </c>
      <c r="V183" s="239" t="str">
        <f>IF(U183="","",IF($I$8="A",(RANK(U183,U$11:U$363)+COUNTIF(U$11:U183,U183)-1),(RANK(U183,U$11:U$363,1)+COUNTIF(U$11:U183,U183)-1)))</f>
        <v/>
      </c>
      <c r="W183" s="240"/>
      <c r="X183" s="61" t="str">
        <f>IF(L183="","",VLOOKUP($L183,classifications!$C:$J,6,FALSE))</f>
        <v>Urban with Major Conurbation</v>
      </c>
      <c r="Y183" s="49" t="str">
        <f t="shared" si="56"/>
        <v/>
      </c>
      <c r="Z183" s="57" t="str">
        <f>IF(Y183="","",IF(I$8="A",(RANK(Y183,Y$11:Y$363,1)+COUNTIF(Y$11:Y183,Y183)-1),(RANK(Y183,Y$11:Y$363)+COUNTIF(Y$11:Y183,Y183)-1)))</f>
        <v/>
      </c>
      <c r="AA183" s="245" t="str">
        <f>IF(L183="","",VLOOKUP($L183,classifications!C:I,7,FALSE))</f>
        <v>Predominantly Urban</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Surrey</v>
      </c>
      <c r="AJ183" s="62" t="str">
        <f t="shared" si="57"/>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South East</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15</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11</v>
      </c>
      <c r="G184" s="105"/>
      <c r="H184" s="60">
        <f t="shared" si="52"/>
        <v>11</v>
      </c>
      <c r="I184" s="112">
        <f>IF(H184="","",IF($I$8="A",(RANK(H184,H$11:H$363,1)+COUNTIF(H$11:H184,H184)-1),(RANK(H184,H$11:H$363)+COUNTIF(H$11:H184,H184)-1)))</f>
        <v>12</v>
      </c>
      <c r="J184" s="58"/>
      <c r="K184" s="51">
        <f t="shared" si="66"/>
        <v>174</v>
      </c>
      <c r="L184" s="59" t="str">
        <f t="shared" si="53"/>
        <v>Wealden</v>
      </c>
      <c r="M184" s="153">
        <f t="shared" si="58"/>
        <v>25</v>
      </c>
      <c r="N184" s="148">
        <f t="shared" si="59"/>
        <v>25</v>
      </c>
      <c r="O184" s="131" t="str">
        <f t="shared" si="54"/>
        <v/>
      </c>
      <c r="P184" s="131" t="str">
        <f t="shared" si="67"/>
        <v/>
      </c>
      <c r="Q184" s="131" t="str">
        <f t="shared" si="68"/>
        <v/>
      </c>
      <c r="R184" s="127">
        <f t="shared" si="69"/>
        <v>25</v>
      </c>
      <c r="S184" s="60" t="str">
        <f t="shared" si="60"/>
        <v/>
      </c>
      <c r="T184" s="231" t="str">
        <f>IF(L184="","",VLOOKUP(L184,classifications!C:K,9,FALSE))</f>
        <v>Sparse</v>
      </c>
      <c r="U184" s="238">
        <f t="shared" si="55"/>
        <v>25</v>
      </c>
      <c r="V184" s="239">
        <f>IF(U184="","",IF($I$8="A",(RANK(U184,U$11:U$363)+COUNTIF(U$11:U184,U184)-1),(RANK(U184,U$11:U$363,1)+COUNTIF(U$11:U184,U184)-1)))</f>
        <v>15</v>
      </c>
      <c r="W184" s="240"/>
      <c r="X184" s="61" t="str">
        <f>IF(L184="","",VLOOKUP($L184,classifications!$C:$J,6,FALSE))</f>
        <v xml:space="preserve">Mainly Rural (rural including hub towns &gt;=80%) </v>
      </c>
      <c r="Y184" s="49">
        <f t="shared" si="56"/>
        <v>25</v>
      </c>
      <c r="Z184" s="57">
        <f>IF(Y184="","",IF(I$8="A",(RANK(Y184,Y$11:Y$363,1)+COUNTIF(Y$11:Y184,Y184)-1),(RANK(Y184,Y$11:Y$363)+COUNTIF(Y$11:Y184,Y184)-1)))</f>
        <v>42</v>
      </c>
      <c r="AA184" s="245" t="str">
        <f>IF(L184="","",VLOOKUP($L184,classifications!C:I,7,FALSE))</f>
        <v>Predominantly Rural</v>
      </c>
      <c r="AB184" s="239">
        <f t="shared" si="61"/>
        <v>25</v>
      </c>
      <c r="AC184" s="239">
        <f>IF(AB184="","",IF($I$8="A",(RANK(AB184,AB$11:AB$363)+COUNTIF(AB$11:AB184,AB184)-1),(RANK(AB184,AB$11:AB$363,1)+COUNTIF(AB$11:AB184,AB184)-1)))</f>
        <v>9</v>
      </c>
      <c r="AD184" s="239"/>
      <c r="AE184" s="51" t="str">
        <f t="shared" si="73"/>
        <v/>
      </c>
      <c r="AG184" s="143"/>
      <c r="AH184" s="52"/>
      <c r="AI184" s="61" t="str">
        <f>IF(L184="","",VLOOKUP($L184,classifications!$C:$J,8,FALSE))</f>
        <v>East Sussex</v>
      </c>
      <c r="AJ184" s="62" t="str">
        <f t="shared" si="57"/>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South East</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11</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23</v>
      </c>
      <c r="G185" s="105"/>
      <c r="H185" s="60">
        <f t="shared" si="52"/>
        <v>23</v>
      </c>
      <c r="I185" s="112">
        <f>IF(H185="","",IF($I$8="A",(RANK(H185,H$11:H$363,1)+COUNTIF(H$11:H185,H185)-1),(RANK(H185,H$11:H$363)+COUNTIF(H$11:H185,H185)-1)))</f>
        <v>150</v>
      </c>
      <c r="J185" s="58"/>
      <c r="K185" s="51">
        <f t="shared" si="66"/>
        <v>175</v>
      </c>
      <c r="L185" s="59" t="str">
        <f t="shared" si="53"/>
        <v>Broadland</v>
      </c>
      <c r="M185" s="153">
        <f t="shared" si="58"/>
        <v>26</v>
      </c>
      <c r="N185" s="148">
        <f t="shared" si="59"/>
        <v>26</v>
      </c>
      <c r="O185" s="131" t="str">
        <f t="shared" si="54"/>
        <v/>
      </c>
      <c r="P185" s="131" t="str">
        <f t="shared" si="67"/>
        <v/>
      </c>
      <c r="Q185" s="131" t="str">
        <f t="shared" si="68"/>
        <v/>
      </c>
      <c r="R185" s="127">
        <f t="shared" si="69"/>
        <v>26</v>
      </c>
      <c r="S185" s="60" t="str">
        <f t="shared" si="60"/>
        <v/>
      </c>
      <c r="T185" s="231" t="str">
        <f>IF(L185="","",VLOOKUP(L185,classifications!C:K,9,FALSE))</f>
        <v>Sparse</v>
      </c>
      <c r="U185" s="238">
        <f t="shared" si="55"/>
        <v>26</v>
      </c>
      <c r="V185" s="239">
        <f>IF(U185="","",IF($I$8="A",(RANK(U185,U$11:U$363)+COUNTIF(U$11:U185,U185)-1),(RANK(U185,U$11:U$363,1)+COUNTIF(U$11:U185,U185)-1)))</f>
        <v>10</v>
      </c>
      <c r="W185" s="240"/>
      <c r="X185" s="61" t="str">
        <f>IF(L185="","",VLOOKUP($L185,classifications!$C:$J,6,FALSE))</f>
        <v>Urban with Significant Rural (rural including hub towns 26-49%)</v>
      </c>
      <c r="Y185" s="49" t="str">
        <f t="shared" si="56"/>
        <v/>
      </c>
      <c r="Z185" s="57" t="str">
        <f>IF(Y185="","",IF(I$8="A",(RANK(Y185,Y$11:Y$363,1)+COUNTIF(Y$11:Y185,Y185)-1),(RANK(Y185,Y$11:Y$363)+COUNTIF(Y$11:Y185,Y185)-1)))</f>
        <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Norfolk</v>
      </c>
      <c r="AJ185" s="62" t="str">
        <f t="shared" si="57"/>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East of England</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23</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27</v>
      </c>
      <c r="G186" s="105"/>
      <c r="H186" s="60" t="str">
        <f t="shared" si="52"/>
        <v/>
      </c>
      <c r="I186" s="112" t="str">
        <f>IF(H186="","",IF($I$8="A",(RANK(H186,H$11:H$363,1)+COUNTIF(H$11:H186,H186)-1),(RANK(H186,H$11:H$363)+COUNTIF(H$11:H186,H186)-1)))</f>
        <v/>
      </c>
      <c r="J186" s="58"/>
      <c r="K186" s="51">
        <f t="shared" si="66"/>
        <v>176</v>
      </c>
      <c r="L186" s="59" t="str">
        <f t="shared" si="53"/>
        <v>Daventry</v>
      </c>
      <c r="M186" s="153">
        <f t="shared" si="58"/>
        <v>26</v>
      </c>
      <c r="N186" s="148">
        <f t="shared" si="59"/>
        <v>26</v>
      </c>
      <c r="O186" s="131" t="str">
        <f t="shared" si="54"/>
        <v/>
      </c>
      <c r="P186" s="131" t="str">
        <f t="shared" si="67"/>
        <v/>
      </c>
      <c r="Q186" s="131" t="str">
        <f t="shared" si="68"/>
        <v/>
      </c>
      <c r="R186" s="127">
        <f t="shared" si="69"/>
        <v>26</v>
      </c>
      <c r="S186" s="60" t="str">
        <f t="shared" si="60"/>
        <v/>
      </c>
      <c r="T186" s="231" t="str">
        <f>IF(L186="","",VLOOKUP(L186,classifications!C:K,9,FALSE))</f>
        <v>Sparse</v>
      </c>
      <c r="U186" s="238">
        <f t="shared" si="55"/>
        <v>26</v>
      </c>
      <c r="V186" s="239">
        <f>IF(U186="","",IF($I$8="A",(RANK(U186,U$11:U$363)+COUNTIF(U$11:U186,U186)-1),(RANK(U186,U$11:U$363,1)+COUNTIF(U$11:U186,U186)-1)))</f>
        <v>11</v>
      </c>
      <c r="W186" s="240"/>
      <c r="X186" s="61" t="str">
        <f>IF(L186="","",VLOOKUP($L186,classifications!$C:$J,6,FALSE))</f>
        <v xml:space="preserve">Mainly Rural (rural including hub towns &gt;=80%) </v>
      </c>
      <c r="Y186" s="49">
        <f t="shared" si="56"/>
        <v>26</v>
      </c>
      <c r="Z186" s="57">
        <f>IF(Y186="","",IF(I$8="A",(RANK(Y186,Y$11:Y$363,1)+COUNTIF(Y$11:Y186,Y186)-1),(RANK(Y186,Y$11:Y$363)+COUNTIF(Y$11:Y186,Y186)-1)))</f>
        <v>43</v>
      </c>
      <c r="AA186" s="245" t="str">
        <f>IF(L186="","",VLOOKUP($L186,classifications!C:I,7,FALSE))</f>
        <v>Predominantly Rural</v>
      </c>
      <c r="AB186" s="239">
        <f t="shared" si="61"/>
        <v>26</v>
      </c>
      <c r="AC186" s="239">
        <f>IF(AB186="","",IF($I$8="A",(RANK(AB186,AB$11:AB$363)+COUNTIF(AB$11:AB186,AB186)-1),(RANK(AB186,AB$11:AB$363,1)+COUNTIF(AB$11:AB186,AB186)-1)))</f>
        <v>6</v>
      </c>
      <c r="AD186" s="239"/>
      <c r="AE186" s="51" t="str">
        <f t="shared" si="73"/>
        <v/>
      </c>
      <c r="AG186" s="143"/>
      <c r="AH186" s="52"/>
      <c r="AI186" s="61" t="str">
        <f>IF(L186="","",VLOOKUP($L186,classifications!$C:$J,8,FALSE))</f>
        <v>Northamptonshire</v>
      </c>
      <c r="AJ186" s="62" t="str">
        <f t="shared" si="57"/>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East Midlands</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27</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24</v>
      </c>
      <c r="G187" s="105"/>
      <c r="H187" s="60">
        <f t="shared" si="52"/>
        <v>24</v>
      </c>
      <c r="I187" s="112">
        <f>IF(H187="","",IF($I$8="A",(RANK(H187,H$11:H$363,1)+COUNTIF(H$11:H187,H187)-1),(RANK(H187,H$11:H$363)+COUNTIF(H$11:H187,H187)-1)))</f>
        <v>160</v>
      </c>
      <c r="J187" s="58"/>
      <c r="K187" s="51">
        <f t="shared" si="66"/>
        <v>177</v>
      </c>
      <c r="L187" s="59" t="str">
        <f t="shared" si="53"/>
        <v>Eastbourne</v>
      </c>
      <c r="M187" s="153">
        <f t="shared" si="58"/>
        <v>26</v>
      </c>
      <c r="N187" s="148">
        <f t="shared" si="59"/>
        <v>26</v>
      </c>
      <c r="O187" s="131" t="str">
        <f t="shared" si="54"/>
        <v/>
      </c>
      <c r="P187" s="131" t="str">
        <f t="shared" si="67"/>
        <v/>
      </c>
      <c r="Q187" s="131" t="str">
        <f t="shared" si="68"/>
        <v/>
      </c>
      <c r="R187" s="127">
        <f t="shared" si="69"/>
        <v>26</v>
      </c>
      <c r="S187" s="60" t="str">
        <f t="shared" si="60"/>
        <v/>
      </c>
      <c r="T187" s="231">
        <f>IF(L187="","",VLOOKUP(L187,classifications!C:K,9,FALSE))</f>
        <v>0</v>
      </c>
      <c r="U187" s="238" t="str">
        <f t="shared" si="55"/>
        <v/>
      </c>
      <c r="V187" s="239" t="str">
        <f>IF(U187="","",IF($I$8="A",(RANK(U187,U$11:U$363)+COUNTIF(U$11:U187,U187)-1),(RANK(U187,U$11:U$363,1)+COUNTIF(U$11:U187,U187)-1)))</f>
        <v/>
      </c>
      <c r="W187" s="240"/>
      <c r="X187" s="61" t="str">
        <f>IF(L187="","",VLOOKUP($L187,classifications!$C:$J,6,FALSE))</f>
        <v>Urban with City and Town</v>
      </c>
      <c r="Y187" s="49" t="str">
        <f t="shared" si="56"/>
        <v/>
      </c>
      <c r="Z187" s="57" t="str">
        <f>IF(Y187="","",IF(I$8="A",(RANK(Y187,Y$11:Y$363,1)+COUNTIF(Y$11:Y187,Y187)-1),(RANK(Y187,Y$11:Y$363)+COUNTIF(Y$11:Y187,Y187)-1)))</f>
        <v/>
      </c>
      <c r="AA187" s="245" t="str">
        <f>IF(L187="","",VLOOKUP($L187,classifications!C:I,7,FALSE))</f>
        <v>Predominantly Urban</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East Sussex</v>
      </c>
      <c r="AJ187" s="62" t="str">
        <f t="shared" si="57"/>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South East</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24</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15</v>
      </c>
      <c r="G188" s="105"/>
      <c r="H188" s="60">
        <f t="shared" si="52"/>
        <v>15</v>
      </c>
      <c r="I188" s="112">
        <f>IF(H188="","",IF($I$8="A",(RANK(H188,H$11:H$363,1)+COUNTIF(H$11:H188,H188)-1),(RANK(H188,H$11:H$363)+COUNTIF(H$11:H188,H188)-1)))</f>
        <v>45</v>
      </c>
      <c r="J188" s="58"/>
      <c r="K188" s="51">
        <f t="shared" si="66"/>
        <v>178</v>
      </c>
      <c r="L188" s="59" t="str">
        <f t="shared" si="53"/>
        <v>Lichfield</v>
      </c>
      <c r="M188" s="153">
        <f t="shared" si="58"/>
        <v>26</v>
      </c>
      <c r="N188" s="148">
        <f t="shared" si="59"/>
        <v>26</v>
      </c>
      <c r="O188" s="131" t="str">
        <f t="shared" si="54"/>
        <v/>
      </c>
      <c r="P188" s="131" t="str">
        <f t="shared" si="67"/>
        <v/>
      </c>
      <c r="Q188" s="131" t="str">
        <f t="shared" si="68"/>
        <v/>
      </c>
      <c r="R188" s="127">
        <f t="shared" si="69"/>
        <v>26</v>
      </c>
      <c r="S188" s="60" t="str">
        <f t="shared" si="60"/>
        <v/>
      </c>
      <c r="T188" s="231" t="str">
        <f>IF(L188="","",VLOOKUP(L188,classifications!C:K,9,FALSE))</f>
        <v>Sparse</v>
      </c>
      <c r="U188" s="238">
        <f t="shared" si="55"/>
        <v>26</v>
      </c>
      <c r="V188" s="239">
        <f>IF(U188="","",IF($I$8="A",(RANK(U188,U$11:U$363)+COUNTIF(U$11:U188,U188)-1),(RANK(U188,U$11:U$363,1)+COUNTIF(U$11:U188,U188)-1)))</f>
        <v>12</v>
      </c>
      <c r="W188" s="240"/>
      <c r="X188" s="61" t="str">
        <f>IF(L188="","",VLOOKUP($L188,classifications!$C:$J,6,FALSE))</f>
        <v>Urban with Significant Rural (rural including hub towns 26-49%)</v>
      </c>
      <c r="Y188" s="49" t="str">
        <f t="shared" si="56"/>
        <v/>
      </c>
      <c r="Z188" s="57" t="str">
        <f>IF(Y188="","",IF(I$8="A",(RANK(Y188,Y$11:Y$363,1)+COUNTIF(Y$11:Y188,Y188)-1),(RANK(Y188,Y$11:Y$363)+COUNTIF(Y$11:Y188,Y188)-1)))</f>
        <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Staffordshire</v>
      </c>
      <c r="AJ188" s="62" t="str">
        <f t="shared" si="57"/>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West Midlands</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15</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20</v>
      </c>
      <c r="G189" s="105"/>
      <c r="H189" s="60">
        <f t="shared" si="52"/>
        <v>20</v>
      </c>
      <c r="I189" s="112">
        <f>IF(H189="","",IF($I$8="A",(RANK(H189,H$11:H$363,1)+COUNTIF(H$11:H189,H189)-1),(RANK(H189,H$11:H$363)+COUNTIF(H$11:H189,H189)-1)))</f>
        <v>112</v>
      </c>
      <c r="J189" s="58"/>
      <c r="K189" s="51">
        <f t="shared" si="66"/>
        <v>179</v>
      </c>
      <c r="L189" s="59" t="str">
        <f t="shared" si="53"/>
        <v>Norwich</v>
      </c>
      <c r="M189" s="153">
        <f t="shared" si="58"/>
        <v>26</v>
      </c>
      <c r="N189" s="148">
        <f t="shared" si="59"/>
        <v>26</v>
      </c>
      <c r="O189" s="131" t="str">
        <f t="shared" si="54"/>
        <v/>
      </c>
      <c r="P189" s="131" t="str">
        <f t="shared" si="67"/>
        <v/>
      </c>
      <c r="Q189" s="131" t="str">
        <f t="shared" si="68"/>
        <v/>
      </c>
      <c r="R189" s="127">
        <f t="shared" si="69"/>
        <v>26</v>
      </c>
      <c r="S189" s="60" t="str">
        <f t="shared" si="60"/>
        <v/>
      </c>
      <c r="T189" s="231">
        <f>IF(L189="","",VLOOKUP(L189,classifications!C:K,9,FALSE))</f>
        <v>0</v>
      </c>
      <c r="U189" s="238" t="str">
        <f t="shared" si="55"/>
        <v/>
      </c>
      <c r="V189" s="239" t="str">
        <f>IF(U189="","",IF($I$8="A",(RANK(U189,U$11:U$363)+COUNTIF(U$11:U189,U189)-1),(RANK(U189,U$11:U$363,1)+COUNTIF(U$11:U189,U189)-1)))</f>
        <v/>
      </c>
      <c r="W189" s="240"/>
      <c r="X189" s="61" t="str">
        <f>IF(L189="","",VLOOKUP($L189,classifications!$C:$J,6,FALSE))</f>
        <v>Urban with City and Town</v>
      </c>
      <c r="Y189" s="49" t="str">
        <f t="shared" si="56"/>
        <v/>
      </c>
      <c r="Z189" s="57" t="str">
        <f>IF(Y189="","",IF(I$8="A",(RANK(Y189,Y$11:Y$363,1)+COUNTIF(Y$11:Y189,Y189)-1),(RANK(Y189,Y$11:Y$363)+COUNTIF(Y$11:Y189,Y189)-1)))</f>
        <v/>
      </c>
      <c r="AA189" s="245" t="str">
        <f>IF(L189="","",VLOOKUP($L189,classifications!C:I,7,FALSE))</f>
        <v>Predominantly Urban</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Norfolk</v>
      </c>
      <c r="AJ189" s="62" t="str">
        <f t="shared" si="57"/>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East of England</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20</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30</v>
      </c>
      <c r="G190" s="105"/>
      <c r="H190" s="60" t="str">
        <f t="shared" si="52"/>
        <v/>
      </c>
      <c r="I190" s="112" t="str">
        <f>IF(H190="","",IF($I$8="A",(RANK(H190,H$11:H$363,1)+COUNTIF(H$11:H190,H190)-1),(RANK(H190,H$11:H$363)+COUNTIF(H$11:H190,H190)-1)))</f>
        <v/>
      </c>
      <c r="J190" s="58"/>
      <c r="K190" s="51">
        <f t="shared" si="66"/>
        <v>180</v>
      </c>
      <c r="L190" s="59" t="str">
        <f t="shared" si="53"/>
        <v>South Lakeland</v>
      </c>
      <c r="M190" s="153">
        <f t="shared" si="58"/>
        <v>26</v>
      </c>
      <c r="N190" s="148">
        <f t="shared" si="59"/>
        <v>26</v>
      </c>
      <c r="O190" s="131" t="str">
        <f t="shared" si="54"/>
        <v/>
      </c>
      <c r="P190" s="131" t="str">
        <f t="shared" si="67"/>
        <v/>
      </c>
      <c r="Q190" s="131" t="str">
        <f t="shared" si="68"/>
        <v/>
      </c>
      <c r="R190" s="127">
        <f t="shared" si="69"/>
        <v>26</v>
      </c>
      <c r="S190" s="60" t="str">
        <f t="shared" si="60"/>
        <v/>
      </c>
      <c r="T190" s="231" t="str">
        <f>IF(L190="","",VLOOKUP(L190,classifications!C:K,9,FALSE))</f>
        <v>Sparse</v>
      </c>
      <c r="U190" s="238">
        <f t="shared" si="55"/>
        <v>26</v>
      </c>
      <c r="V190" s="239">
        <f>IF(U190="","",IF($I$8="A",(RANK(U190,U$11:U$363)+COUNTIF(U$11:U190,U190)-1),(RANK(U190,U$11:U$363,1)+COUNTIF(U$11:U190,U190)-1)))</f>
        <v>13</v>
      </c>
      <c r="W190" s="240"/>
      <c r="X190" s="61" t="str">
        <f>IF(L190="","",VLOOKUP($L190,classifications!$C:$J,6,FALSE))</f>
        <v xml:space="preserve">Mainly Rural (rural including hub towns &gt;=80%) </v>
      </c>
      <c r="Y190" s="49">
        <f t="shared" si="56"/>
        <v>26</v>
      </c>
      <c r="Z190" s="57">
        <f>IF(Y190="","",IF(I$8="A",(RANK(Y190,Y$11:Y$363,1)+COUNTIF(Y$11:Y190,Y190)-1),(RANK(Y190,Y$11:Y$363)+COUNTIF(Y$11:Y190,Y190)-1)))</f>
        <v>44</v>
      </c>
      <c r="AA190" s="245" t="str">
        <f>IF(L190="","",VLOOKUP($L190,classifications!C:I,7,FALSE))</f>
        <v>Predominantly Rural</v>
      </c>
      <c r="AB190" s="239">
        <f t="shared" si="61"/>
        <v>26</v>
      </c>
      <c r="AC190" s="239">
        <f>IF(AB190="","",IF($I$8="A",(RANK(AB190,AB$11:AB$363)+COUNTIF(AB$11:AB190,AB190)-1),(RANK(AB190,AB$11:AB$363,1)+COUNTIF(AB$11:AB190,AB190)-1)))</f>
        <v>7</v>
      </c>
      <c r="AD190" s="239"/>
      <c r="AE190" s="51" t="str">
        <f t="shared" si="73"/>
        <v/>
      </c>
      <c r="AG190" s="143"/>
      <c r="AH190" s="52"/>
      <c r="AI190" s="61" t="str">
        <f>IF(L190="","",VLOOKUP($L190,classifications!$C:$J,8,FALSE))</f>
        <v>Cumbria</v>
      </c>
      <c r="AJ190" s="62">
        <f t="shared" si="57"/>
        <v>26</v>
      </c>
      <c r="AK190" s="57">
        <f>IF(AJ190="","",IF(I$8="A",(RANK(AJ190,AJ$11:AJ$363,1)+COUNTIF(AJ$11:AJ190,AJ190)-1),(RANK(AJ190,AJ$11:AJ$363)+COUNTIF(AJ$11:AJ190,AJ190)-1)))</f>
        <v>5</v>
      </c>
      <c r="AL190" s="52" t="str">
        <f t="shared" si="70"/>
        <v/>
      </c>
      <c r="AM190" s="31" t="str">
        <f t="shared" si="72"/>
        <v/>
      </c>
      <c r="AN190" s="31" t="str">
        <f t="shared" si="62"/>
        <v/>
      </c>
      <c r="AP190" s="61" t="str">
        <f>IF(L190="","",VLOOKUP($L190,classifications!$C:$E,3,FALSE))</f>
        <v>North West</v>
      </c>
      <c r="AQ190" s="62">
        <f t="shared" si="63"/>
        <v>26</v>
      </c>
      <c r="AR190" s="57">
        <f>IF(AQ190="","",IF(I$8="A",(RANK(AQ190,AQ$11:AQ$363,1)+COUNTIF(AQ$11:AQ190,AQ190)-1),(RANK(AQ190,AQ$11:AQ$363)+COUNTIF(AQ$11:AQ190,AQ190)-1)))</f>
        <v>13</v>
      </c>
      <c r="AS190" s="52" t="str">
        <f t="shared" si="64"/>
        <v/>
      </c>
      <c r="AT190" s="57" t="str">
        <f t="shared" si="65"/>
        <v/>
      </c>
      <c r="AU190" s="62" t="str">
        <f t="shared" si="71"/>
        <v/>
      </c>
      <c r="AX190" s="44">
        <f>HLOOKUP($AX$9&amp;$AX$10,Data!$A$1:$ZZ$2000,(MATCH($C190,Data!$A$1:$A$2000,0)),FALSE)</f>
        <v>30</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15</v>
      </c>
      <c r="G191" s="105"/>
      <c r="H191" s="60">
        <f t="shared" si="52"/>
        <v>15</v>
      </c>
      <c r="I191" s="112">
        <f>IF(H191="","",IF($I$8="A",(RANK(H191,H$11:H$363,1)+COUNTIF(H$11:H191,H191)-1),(RANK(H191,H$11:H$363)+COUNTIF(H$11:H191,H191)-1)))</f>
        <v>46</v>
      </c>
      <c r="J191" s="58"/>
      <c r="K191" s="51">
        <f t="shared" si="66"/>
        <v>181</v>
      </c>
      <c r="L191" s="59" t="str">
        <f t="shared" si="53"/>
        <v>South Ribble</v>
      </c>
      <c r="M191" s="153">
        <f t="shared" si="58"/>
        <v>26</v>
      </c>
      <c r="N191" s="148">
        <f t="shared" si="59"/>
        <v>26</v>
      </c>
      <c r="O191" s="131" t="str">
        <f t="shared" si="54"/>
        <v/>
      </c>
      <c r="P191" s="131" t="str">
        <f t="shared" si="67"/>
        <v/>
      </c>
      <c r="Q191" s="131" t="str">
        <f t="shared" si="68"/>
        <v/>
      </c>
      <c r="R191" s="127">
        <f t="shared" si="69"/>
        <v>26</v>
      </c>
      <c r="S191" s="60" t="str">
        <f t="shared" si="60"/>
        <v/>
      </c>
      <c r="T191" s="231">
        <f>IF(L191="","",VLOOKUP(L191,classifications!C:K,9,FALSE))</f>
        <v>0</v>
      </c>
      <c r="U191" s="238" t="str">
        <f t="shared" si="55"/>
        <v/>
      </c>
      <c r="V191" s="239" t="str">
        <f>IF(U191="","",IF($I$8="A",(RANK(U191,U$11:U$363)+COUNTIF(U$11:U191,U191)-1),(RANK(U191,U$11:U$363,1)+COUNTIF(U$11:U191,U191)-1)))</f>
        <v/>
      </c>
      <c r="W191" s="240"/>
      <c r="X191" s="61" t="str">
        <f>IF(L191="","",VLOOKUP($L191,classifications!$C:$J,6,FALSE))</f>
        <v>Urban with City and Town</v>
      </c>
      <c r="Y191" s="49" t="str">
        <f t="shared" si="56"/>
        <v/>
      </c>
      <c r="Z191" s="57" t="str">
        <f>IF(Y191="","",IF(I$8="A",(RANK(Y191,Y$11:Y$363,1)+COUNTIF(Y$11:Y191,Y191)-1),(RANK(Y191,Y$11:Y$363)+COUNTIF(Y$11:Y191,Y191)-1)))</f>
        <v/>
      </c>
      <c r="AA191" s="245" t="str">
        <f>IF(L191="","",VLOOKUP($L191,classifications!C:I,7,FALSE))</f>
        <v>Predominantly Urban</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Lancashire</v>
      </c>
      <c r="AJ191" s="62" t="str">
        <f t="shared" si="57"/>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North West</v>
      </c>
      <c r="AQ191" s="62">
        <f t="shared" si="63"/>
        <v>26</v>
      </c>
      <c r="AR191" s="57">
        <f>IF(AQ191="","",IF(I$8="A",(RANK(AQ191,AQ$11:AQ$363,1)+COUNTIF(AQ$11:AQ191,AQ191)-1),(RANK(AQ191,AQ$11:AQ$363)+COUNTIF(AQ$11:AQ191,AQ191)-1)))</f>
        <v>14</v>
      </c>
      <c r="AS191" s="52" t="str">
        <f t="shared" si="64"/>
        <v/>
      </c>
      <c r="AT191" s="57" t="str">
        <f t="shared" si="65"/>
        <v/>
      </c>
      <c r="AU191" s="62" t="str">
        <f t="shared" si="71"/>
        <v/>
      </c>
      <c r="AX191" s="44">
        <f>HLOOKUP($AX$9&amp;$AX$10,Data!$A$1:$ZZ$2000,(MATCH($C191,Data!$A$1:$A$2000,0)),FALSE)</f>
        <v>15</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23</v>
      </c>
      <c r="G192" s="105"/>
      <c r="H192" s="60">
        <f t="shared" si="52"/>
        <v>23</v>
      </c>
      <c r="I192" s="112">
        <f>IF(H192="","",IF($I$8="A",(RANK(H192,H$11:H$363,1)+COUNTIF(H$11:H192,H192)-1),(RANK(H192,H$11:H$363)+COUNTIF(H$11:H192,H192)-1)))</f>
        <v>151</v>
      </c>
      <c r="J192" s="58"/>
      <c r="K192" s="51">
        <f t="shared" si="66"/>
        <v>182</v>
      </c>
      <c r="L192" s="59" t="str">
        <f t="shared" si="53"/>
        <v>Dacorum</v>
      </c>
      <c r="M192" s="153">
        <f t="shared" si="58"/>
        <v>27</v>
      </c>
      <c r="N192" s="148">
        <f t="shared" si="59"/>
        <v>27</v>
      </c>
      <c r="O192" s="131" t="str">
        <f t="shared" si="54"/>
        <v/>
      </c>
      <c r="P192" s="131" t="str">
        <f t="shared" si="67"/>
        <v/>
      </c>
      <c r="Q192" s="131" t="str">
        <f t="shared" si="68"/>
        <v/>
      </c>
      <c r="R192" s="127">
        <f t="shared" si="69"/>
        <v>27</v>
      </c>
      <c r="S192" s="60" t="str">
        <f t="shared" si="60"/>
        <v/>
      </c>
      <c r="T192" s="231">
        <f>IF(L192="","",VLOOKUP(L192,classifications!C:K,9,FALSE))</f>
        <v>0</v>
      </c>
      <c r="U192" s="238" t="str">
        <f t="shared" si="55"/>
        <v/>
      </c>
      <c r="V192" s="239" t="str">
        <f>IF(U192="","",IF($I$8="A",(RANK(U192,U$11:U$363)+COUNTIF(U$11:U192,U192)-1),(RANK(U192,U$11:U$363,1)+COUNTIF(U$11:U192,U192)-1)))</f>
        <v/>
      </c>
      <c r="W192" s="240"/>
      <c r="X192" s="61" t="str">
        <f>IF(L192="","",VLOOKUP($L192,classifications!$C:$J,6,FALSE))</f>
        <v>Urban with Significant Rural (rural including hub towns 26-49%)</v>
      </c>
      <c r="Y192" s="49" t="str">
        <f t="shared" si="56"/>
        <v/>
      </c>
      <c r="Z192" s="57" t="str">
        <f>IF(Y192="","",IF(I$8="A",(RANK(Y192,Y$11:Y$363,1)+COUNTIF(Y$11:Y192,Y192)-1),(RANK(Y192,Y$11:Y$363)+COUNTIF(Y$11:Y192,Y192)-1)))</f>
        <v/>
      </c>
      <c r="AA192" s="245" t="str">
        <f>IF(L192="","",VLOOKUP($L192,classifications!C:I,7,FALSE))</f>
        <v>Significant Rural</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Hertfordshire</v>
      </c>
      <c r="AJ192" s="62" t="str">
        <f t="shared" si="57"/>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East of England</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23</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20</v>
      </c>
      <c r="G193" s="105"/>
      <c r="H193" s="60">
        <f t="shared" si="52"/>
        <v>20</v>
      </c>
      <c r="I193" s="112">
        <f>IF(H193="","",IF($I$8="A",(RANK(H193,H$11:H$363,1)+COUNTIF(H$11:H193,H193)-1),(RANK(H193,H$11:H$363)+COUNTIF(H$11:H193,H193)-1)))</f>
        <v>113</v>
      </c>
      <c r="J193" s="58"/>
      <c r="K193" s="51">
        <f t="shared" si="66"/>
        <v>183</v>
      </c>
      <c r="L193" s="59" t="str">
        <f t="shared" si="53"/>
        <v>Harlow</v>
      </c>
      <c r="M193" s="153">
        <f t="shared" si="58"/>
        <v>27</v>
      </c>
      <c r="N193" s="148">
        <f t="shared" si="59"/>
        <v>27</v>
      </c>
      <c r="O193" s="131" t="str">
        <f t="shared" si="54"/>
        <v/>
      </c>
      <c r="P193" s="131" t="str">
        <f t="shared" si="67"/>
        <v/>
      </c>
      <c r="Q193" s="131" t="str">
        <f t="shared" si="68"/>
        <v/>
      </c>
      <c r="R193" s="127">
        <f t="shared" si="69"/>
        <v>27</v>
      </c>
      <c r="S193" s="60" t="str">
        <f t="shared" si="60"/>
        <v/>
      </c>
      <c r="T193" s="231">
        <f>IF(L193="","",VLOOKUP(L193,classifications!C:K,9,FALSE))</f>
        <v>0</v>
      </c>
      <c r="U193" s="238" t="str">
        <f t="shared" si="55"/>
        <v/>
      </c>
      <c r="V193" s="239" t="str">
        <f>IF(U193="","",IF($I$8="A",(RANK(U193,U$11:U$363)+COUNTIF(U$11:U193,U193)-1),(RANK(U193,U$11:U$363,1)+COUNTIF(U$11:U193,U193)-1)))</f>
        <v/>
      </c>
      <c r="W193" s="240"/>
      <c r="X193" s="61" t="str">
        <f>IF(L193="","",VLOOKUP($L193,classifications!$C:$J,6,FALSE))</f>
        <v>Urban with City and Town</v>
      </c>
      <c r="Y193" s="49" t="str">
        <f t="shared" si="56"/>
        <v/>
      </c>
      <c r="Z193" s="57" t="str">
        <f>IF(Y193="","",IF(I$8="A",(RANK(Y193,Y$11:Y$363,1)+COUNTIF(Y$11:Y193,Y193)-1),(RANK(Y193,Y$11:Y$363)+COUNTIF(Y$11:Y193,Y193)-1)))</f>
        <v/>
      </c>
      <c r="AA193" s="245" t="str">
        <f>IF(L193="","",VLOOKUP($L193,classifications!C:I,7,FALSE))</f>
        <v>Predominantly Urban</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Essex</v>
      </c>
      <c r="AJ193" s="62" t="str">
        <f t="shared" si="57"/>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East of England</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20</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17</v>
      </c>
      <c r="G194" s="105"/>
      <c r="H194" s="60" t="str">
        <f t="shared" si="52"/>
        <v/>
      </c>
      <c r="I194" s="112" t="str">
        <f>IF(H194="","",IF($I$8="A",(RANK(H194,H$11:H$363,1)+COUNTIF(H$11:H194,H194)-1),(RANK(H194,H$11:H$363)+COUNTIF(H$11:H194,H194)-1)))</f>
        <v/>
      </c>
      <c r="J194" s="58"/>
      <c r="K194" s="51">
        <f t="shared" si="66"/>
        <v>184</v>
      </c>
      <c r="L194" s="59" t="str">
        <f t="shared" si="53"/>
        <v>Newcastle-under-Lyme</v>
      </c>
      <c r="M194" s="153">
        <f t="shared" si="58"/>
        <v>27</v>
      </c>
      <c r="N194" s="148">
        <f t="shared" si="59"/>
        <v>27</v>
      </c>
      <c r="O194" s="131" t="str">
        <f t="shared" si="54"/>
        <v/>
      </c>
      <c r="P194" s="131" t="str">
        <f t="shared" si="67"/>
        <v/>
      </c>
      <c r="Q194" s="131" t="str">
        <f t="shared" si="68"/>
        <v/>
      </c>
      <c r="R194" s="127">
        <f t="shared" si="69"/>
        <v>27</v>
      </c>
      <c r="S194" s="60" t="str">
        <f t="shared" si="60"/>
        <v/>
      </c>
      <c r="T194" s="231">
        <f>IF(L194="","",VLOOKUP(L194,classifications!C:K,9,FALSE))</f>
        <v>0</v>
      </c>
      <c r="U194" s="238" t="str">
        <f t="shared" si="55"/>
        <v/>
      </c>
      <c r="V194" s="239" t="str">
        <f>IF(U194="","",IF($I$8="A",(RANK(U194,U$11:U$363)+COUNTIF(U$11:U194,U194)-1),(RANK(U194,U$11:U$363,1)+COUNTIF(U$11:U194,U194)-1)))</f>
        <v/>
      </c>
      <c r="W194" s="240"/>
      <c r="X194" s="61" t="str">
        <f>IF(L194="","",VLOOKUP($L194,classifications!$C:$J,6,FALSE))</f>
        <v>Urban with City and Town</v>
      </c>
      <c r="Y194" s="49" t="str">
        <f t="shared" si="56"/>
        <v/>
      </c>
      <c r="Z194" s="57" t="str">
        <f>IF(Y194="","",IF(I$8="A",(RANK(Y194,Y$11:Y$363,1)+COUNTIF(Y$11:Y194,Y194)-1),(RANK(Y194,Y$11:Y$363)+COUNTIF(Y$11:Y194,Y194)-1)))</f>
        <v/>
      </c>
      <c r="AA194" s="245" t="str">
        <f>IF(L194="","",VLOOKUP($L194,classifications!C:I,7,FALSE))</f>
        <v>Predominantly Urban</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Staffordshire</v>
      </c>
      <c r="AJ194" s="62" t="str">
        <f t="shared" si="57"/>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West Midlands</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17</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15</v>
      </c>
      <c r="G195" s="105"/>
      <c r="H195" s="60" t="str">
        <f t="shared" si="52"/>
        <v/>
      </c>
      <c r="I195" s="112" t="str">
        <f>IF(H195="","",IF($I$8="A",(RANK(H195,H$11:H$363,1)+COUNTIF(H$11:H195,H195)-1),(RANK(H195,H$11:H$363)+COUNTIF(H$11:H195,H195)-1)))</f>
        <v/>
      </c>
      <c r="J195" s="58"/>
      <c r="K195" s="51">
        <f t="shared" si="66"/>
        <v>185</v>
      </c>
      <c r="L195" s="59" t="str">
        <f t="shared" si="53"/>
        <v>Tandridge</v>
      </c>
      <c r="M195" s="153">
        <f t="shared" si="58"/>
        <v>27</v>
      </c>
      <c r="N195" s="148">
        <f t="shared" si="59"/>
        <v>27</v>
      </c>
      <c r="O195" s="131" t="str">
        <f t="shared" si="54"/>
        <v/>
      </c>
      <c r="P195" s="131" t="str">
        <f t="shared" si="67"/>
        <v/>
      </c>
      <c r="Q195" s="131" t="str">
        <f t="shared" si="68"/>
        <v/>
      </c>
      <c r="R195" s="127">
        <f t="shared" si="69"/>
        <v>27</v>
      </c>
      <c r="S195" s="60" t="str">
        <f t="shared" si="60"/>
        <v/>
      </c>
      <c r="T195" s="231" t="str">
        <f>IF(L195="","",VLOOKUP(L195,classifications!C:K,9,FALSE))</f>
        <v>Sparse</v>
      </c>
      <c r="U195" s="238">
        <f t="shared" si="55"/>
        <v>27</v>
      </c>
      <c r="V195" s="239">
        <f>IF(U195="","",IF($I$8="A",(RANK(U195,U$11:U$363)+COUNTIF(U$11:U195,U195)-1),(RANK(U195,U$11:U$363,1)+COUNTIF(U$11:U195,U195)-1)))</f>
        <v>9</v>
      </c>
      <c r="W195" s="240"/>
      <c r="X195" s="61" t="str">
        <f>IF(L195="","",VLOOKUP($L195,classifications!$C:$J,6,FALSE))</f>
        <v>Urban with Significant Rural (rural including hub towns 26-49%)</v>
      </c>
      <c r="Y195" s="49" t="str">
        <f t="shared" si="56"/>
        <v/>
      </c>
      <c r="Z195" s="57" t="str">
        <f>IF(Y195="","",IF(I$8="A",(RANK(Y195,Y$11:Y$363,1)+COUNTIF(Y$11:Y195,Y195)-1),(RANK(Y195,Y$11:Y$363)+COUNTIF(Y$11:Y195,Y195)-1)))</f>
        <v/>
      </c>
      <c r="AA195" s="245" t="str">
        <f>IF(L195="","",VLOOKUP($L195,classifications!C:I,7,FALSE))</f>
        <v>Significant Rural</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Surrey</v>
      </c>
      <c r="AJ195" s="62" t="str">
        <f t="shared" si="57"/>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South East</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15</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16</v>
      </c>
      <c r="G196" s="105"/>
      <c r="H196" s="60">
        <f t="shared" si="52"/>
        <v>16</v>
      </c>
      <c r="I196" s="112">
        <f>IF(H196="","",IF($I$8="A",(RANK(H196,H$11:H$363,1)+COUNTIF(H$11:H196,H196)-1),(RANK(H196,H$11:H$363)+COUNTIF(H$11:H196,H196)-1)))</f>
        <v>60</v>
      </c>
      <c r="J196" s="58"/>
      <c r="K196" s="51">
        <f t="shared" si="66"/>
        <v>186</v>
      </c>
      <c r="L196" s="59" t="str">
        <f t="shared" si="53"/>
        <v>Warwick</v>
      </c>
      <c r="M196" s="153">
        <f t="shared" si="58"/>
        <v>27</v>
      </c>
      <c r="N196" s="148">
        <f t="shared" si="59"/>
        <v>27</v>
      </c>
      <c r="O196" s="131" t="str">
        <f t="shared" si="54"/>
        <v/>
      </c>
      <c r="P196" s="131" t="str">
        <f t="shared" si="67"/>
        <v/>
      </c>
      <c r="Q196" s="131" t="str">
        <f t="shared" si="68"/>
        <v/>
      </c>
      <c r="R196" s="127">
        <f t="shared" si="69"/>
        <v>27</v>
      </c>
      <c r="S196" s="60" t="str">
        <f t="shared" si="60"/>
        <v/>
      </c>
      <c r="T196" s="231">
        <f>IF(L196="","",VLOOKUP(L196,classifications!C:K,9,FALSE))</f>
        <v>0</v>
      </c>
      <c r="U196" s="238" t="str">
        <f t="shared" si="55"/>
        <v/>
      </c>
      <c r="V196" s="239" t="str">
        <f>IF(U196="","",IF($I$8="A",(RANK(U196,U$11:U$363)+COUNTIF(U$11:U196,U196)-1),(RANK(U196,U$11:U$363,1)+COUNTIF(U$11:U196,U196)-1)))</f>
        <v/>
      </c>
      <c r="W196" s="240"/>
      <c r="X196" s="61" t="str">
        <f>IF(L196="","",VLOOKUP($L196,classifications!$C:$J,6,FALSE))</f>
        <v>Urban with City and Town</v>
      </c>
      <c r="Y196" s="49" t="str">
        <f t="shared" si="56"/>
        <v/>
      </c>
      <c r="Z196" s="57" t="str">
        <f>IF(Y196="","",IF(I$8="A",(RANK(Y196,Y$11:Y$363,1)+COUNTIF(Y$11:Y196,Y196)-1),(RANK(Y196,Y$11:Y$363)+COUNTIF(Y$11:Y196,Y196)-1)))</f>
        <v/>
      </c>
      <c r="AA196" s="245" t="str">
        <f>IF(L196="","",VLOOKUP($L196,classifications!C:I,7,FALSE))</f>
        <v>Predominantly Urban</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Warwickshire</v>
      </c>
      <c r="AJ196" s="62" t="str">
        <f t="shared" si="57"/>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West Midlands</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16</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15</v>
      </c>
      <c r="G197" s="105"/>
      <c r="H197" s="60">
        <f t="shared" si="52"/>
        <v>15</v>
      </c>
      <c r="I197" s="112">
        <f>IF(H197="","",IF($I$8="A",(RANK(H197,H$11:H$363,1)+COUNTIF(H$11:H197,H197)-1),(RANK(H197,H$11:H$363)+COUNTIF(H$11:H197,H197)-1)))</f>
        <v>47</v>
      </c>
      <c r="J197" s="58"/>
      <c r="K197" s="51">
        <f t="shared" si="66"/>
        <v>187</v>
      </c>
      <c r="L197" s="59" t="str">
        <f t="shared" si="53"/>
        <v>Copeland</v>
      </c>
      <c r="M197" s="153">
        <f t="shared" si="58"/>
        <v>28</v>
      </c>
      <c r="N197" s="148">
        <f t="shared" si="59"/>
        <v>28</v>
      </c>
      <c r="O197" s="131" t="str">
        <f t="shared" si="54"/>
        <v/>
      </c>
      <c r="P197" s="131" t="str">
        <f t="shared" si="67"/>
        <v/>
      </c>
      <c r="Q197" s="131" t="str">
        <f t="shared" si="68"/>
        <v/>
      </c>
      <c r="R197" s="127">
        <f t="shared" si="69"/>
        <v>28</v>
      </c>
      <c r="S197" s="60" t="str">
        <f t="shared" si="60"/>
        <v/>
      </c>
      <c r="T197" s="231">
        <f>IF(L197="","",VLOOKUP(L197,classifications!C:K,9,FALSE))</f>
        <v>0</v>
      </c>
      <c r="U197" s="238" t="str">
        <f t="shared" si="55"/>
        <v/>
      </c>
      <c r="V197" s="239" t="str">
        <f>IF(U197="","",IF($I$8="A",(RANK(U197,U$11:U$363)+COUNTIF(U$11:U197,U197)-1),(RANK(U197,U$11:U$363,1)+COUNTIF(U$11:U197,U197)-1)))</f>
        <v/>
      </c>
      <c r="W197" s="240"/>
      <c r="X197" s="61" t="str">
        <f>IF(L197="","",VLOOKUP($L197,classifications!$C:$J,6,FALSE))</f>
        <v xml:space="preserve">Mainly Rural (rural including hub towns &gt;=80%) </v>
      </c>
      <c r="Y197" s="49">
        <f t="shared" si="56"/>
        <v>28</v>
      </c>
      <c r="Z197" s="57">
        <f>IF(Y197="","",IF(I$8="A",(RANK(Y197,Y$11:Y$363,1)+COUNTIF(Y$11:Y197,Y197)-1),(RANK(Y197,Y$11:Y$363)+COUNTIF(Y$11:Y197,Y197)-1)))</f>
        <v>45</v>
      </c>
      <c r="AA197" s="245" t="str">
        <f>IF(L197="","",VLOOKUP($L197,classifications!C:I,7,FALSE))</f>
        <v>Predominantly Rural</v>
      </c>
      <c r="AB197" s="239">
        <f t="shared" si="61"/>
        <v>28</v>
      </c>
      <c r="AC197" s="239">
        <f>IF(AB197="","",IF($I$8="A",(RANK(AB197,AB$11:AB$363)+COUNTIF(AB$11:AB197,AB197)-1),(RANK(AB197,AB$11:AB$363,1)+COUNTIF(AB$11:AB197,AB197)-1)))</f>
        <v>5</v>
      </c>
      <c r="AD197" s="239"/>
      <c r="AE197" s="51" t="str">
        <f t="shared" si="73"/>
        <v/>
      </c>
      <c r="AG197" s="143"/>
      <c r="AH197" s="52"/>
      <c r="AI197" s="61" t="str">
        <f>IF(L197="","",VLOOKUP($L197,classifications!$C:$J,8,FALSE))</f>
        <v>Cumbria</v>
      </c>
      <c r="AJ197" s="62">
        <f t="shared" si="57"/>
        <v>28</v>
      </c>
      <c r="AK197" s="57">
        <f>IF(AJ197="","",IF(I$8="A",(RANK(AJ197,AJ$11:AJ$363,1)+COUNTIF(AJ$11:AJ197,AJ197)-1),(RANK(AJ197,AJ$11:AJ$363)+COUNTIF(AJ$11:AJ197,AJ197)-1)))</f>
        <v>6</v>
      </c>
      <c r="AL197" s="52" t="str">
        <f t="shared" si="70"/>
        <v/>
      </c>
      <c r="AM197" s="31" t="str">
        <f t="shared" si="72"/>
        <v/>
      </c>
      <c r="AN197" s="31" t="str">
        <f t="shared" si="62"/>
        <v/>
      </c>
      <c r="AP197" s="61" t="str">
        <f>IF(L197="","",VLOOKUP($L197,classifications!$C:$E,3,FALSE))</f>
        <v>North West</v>
      </c>
      <c r="AQ197" s="62">
        <f t="shared" si="63"/>
        <v>28</v>
      </c>
      <c r="AR197" s="57">
        <f>IF(AQ197="","",IF(I$8="A",(RANK(AQ197,AQ$11:AQ$363,1)+COUNTIF(AQ$11:AQ197,AQ197)-1),(RANK(AQ197,AQ$11:AQ$363)+COUNTIF(AQ$11:AQ197,AQ197)-1)))</f>
        <v>15</v>
      </c>
      <c r="AS197" s="52" t="str">
        <f t="shared" si="64"/>
        <v/>
      </c>
      <c r="AT197" s="57" t="str">
        <f t="shared" si="65"/>
        <v/>
      </c>
      <c r="AU197" s="62" t="str">
        <f t="shared" si="71"/>
        <v/>
      </c>
      <c r="AX197" s="44">
        <f>HLOOKUP($AX$9&amp;$AX$10,Data!$A$1:$ZZ$2000,(MATCH($C197,Data!$A$1:$A$2000,0)),FALSE)</f>
        <v>15</v>
      </c>
      <c r="AY197" s="156"/>
      <c r="AZ197" s="44"/>
    </row>
    <row r="198" spans="1:52">
      <c r="A198" s="84" t="str">
        <f>$D$1&amp;188</f>
        <v>SD188</v>
      </c>
      <c r="B198" s="85">
        <f>IF(ISERROR(VLOOKUP(A198,classifications!A:C,3,FALSE)),0,VLOOKUP(A198,classifications!A:C,3,FALSE))</f>
        <v>0</v>
      </c>
      <c r="C198" s="31" t="s">
        <v>347</v>
      </c>
      <c r="D198" s="49" t="str">
        <f>VLOOKUP($C198,classifications!$C:$J,4,FALSE)</f>
        <v>SD</v>
      </c>
      <c r="E198" s="49" t="str">
        <f>VLOOKUP(C198,classifications!C:K,9,FALSE)</f>
        <v>Sparse</v>
      </c>
      <c r="F198" s="59">
        <f t="shared" si="51"/>
        <v>32</v>
      </c>
      <c r="G198" s="105"/>
      <c r="H198" s="60">
        <f t="shared" si="52"/>
        <v>32</v>
      </c>
      <c r="I198" s="112">
        <f>IF(H198="","",IF($I$8="A",(RANK(H198,H$11:H$363,1)+COUNTIF(H$11:H198,H198)-1),(RANK(H198,H$11:H$363)+COUNTIF(H$11:H198,H198)-1)))</f>
        <v>196</v>
      </c>
      <c r="J198" s="58"/>
      <c r="K198" s="51">
        <f t="shared" si="66"/>
        <v>188</v>
      </c>
      <c r="L198" s="59" t="str">
        <f t="shared" si="53"/>
        <v>East Hertfordshire</v>
      </c>
      <c r="M198" s="153">
        <f t="shared" si="58"/>
        <v>28</v>
      </c>
      <c r="N198" s="148">
        <f t="shared" si="59"/>
        <v>28</v>
      </c>
      <c r="O198" s="131" t="str">
        <f t="shared" si="54"/>
        <v/>
      </c>
      <c r="P198" s="131" t="str">
        <f t="shared" si="67"/>
        <v/>
      </c>
      <c r="Q198" s="131" t="str">
        <f t="shared" si="68"/>
        <v/>
      </c>
      <c r="R198" s="127">
        <f t="shared" si="69"/>
        <v>28</v>
      </c>
      <c r="S198" s="60" t="str">
        <f t="shared" si="60"/>
        <v/>
      </c>
      <c r="T198" s="231" t="str">
        <f>IF(L198="","",VLOOKUP(L198,classifications!C:K,9,FALSE))</f>
        <v>Sparse</v>
      </c>
      <c r="U198" s="238">
        <f t="shared" si="55"/>
        <v>28</v>
      </c>
      <c r="V198" s="239">
        <f>IF(U198="","",IF($I$8="A",(RANK(U198,U$11:U$363)+COUNTIF(U$11:U198,U198)-1),(RANK(U198,U$11:U$363,1)+COUNTIF(U$11:U198,U198)-1)))</f>
        <v>8</v>
      </c>
      <c r="W198" s="240"/>
      <c r="X198" s="61" t="str">
        <f>IF(L198="","",VLOOKUP($L198,classifications!$C:$J,6,FALSE))</f>
        <v>Urban with Significant Rural (rural including hub towns 26-49%)</v>
      </c>
      <c r="Y198" s="49" t="str">
        <f t="shared" si="56"/>
        <v/>
      </c>
      <c r="Z198" s="57" t="str">
        <f>IF(Y198="","",IF(I$8="A",(RANK(Y198,Y$11:Y$363,1)+COUNTIF(Y$11:Y198,Y198)-1),(RANK(Y198,Y$11:Y$363)+COUNTIF(Y$11:Y198,Y198)-1)))</f>
        <v/>
      </c>
      <c r="AA198" s="245" t="str">
        <f>IF(L198="","",VLOOKUP($L198,classifications!C:I,7,FALSE))</f>
        <v>Significant Rural</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Hertfordshire</v>
      </c>
      <c r="AJ198" s="62" t="str">
        <f t="shared" si="57"/>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East of England</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32</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26</v>
      </c>
      <c r="G199" s="105"/>
      <c r="H199" s="60" t="str">
        <f t="shared" si="52"/>
        <v/>
      </c>
      <c r="I199" s="112" t="str">
        <f>IF(H199="","",IF($I$8="A",(RANK(H199,H$11:H$363,1)+COUNTIF(H$11:H199,H199)-1),(RANK(H199,H$11:H$363)+COUNTIF(H$11:H199,H199)-1)))</f>
        <v/>
      </c>
      <c r="J199" s="58"/>
      <c r="K199" s="51">
        <f t="shared" si="66"/>
        <v>189</v>
      </c>
      <c r="L199" s="59" t="str">
        <f t="shared" si="53"/>
        <v>East Staffordshire</v>
      </c>
      <c r="M199" s="153">
        <f t="shared" si="58"/>
        <v>28</v>
      </c>
      <c r="N199" s="148">
        <f t="shared" si="59"/>
        <v>28</v>
      </c>
      <c r="O199" s="131" t="str">
        <f t="shared" si="54"/>
        <v/>
      </c>
      <c r="P199" s="131" t="str">
        <f t="shared" si="67"/>
        <v/>
      </c>
      <c r="Q199" s="131" t="str">
        <f t="shared" si="68"/>
        <v/>
      </c>
      <c r="R199" s="127">
        <f t="shared" si="69"/>
        <v>28</v>
      </c>
      <c r="S199" s="60" t="str">
        <f t="shared" si="60"/>
        <v/>
      </c>
      <c r="T199" s="231">
        <f>IF(L199="","",VLOOKUP(L199,classifications!C:K,9,FALSE))</f>
        <v>0</v>
      </c>
      <c r="U199" s="238" t="str">
        <f t="shared" si="55"/>
        <v/>
      </c>
      <c r="V199" s="239" t="str">
        <f>IF(U199="","",IF($I$8="A",(RANK(U199,U$11:U$363)+COUNTIF(U$11:U199,U199)-1),(RANK(U199,U$11:U$363,1)+COUNTIF(U$11:U199,U199)-1)))</f>
        <v/>
      </c>
      <c r="W199" s="240"/>
      <c r="X199" s="61" t="str">
        <f>IF(L199="","",VLOOKUP($L199,classifications!$C:$J,6,FALSE))</f>
        <v>Urban with Significant Rural (rural including hub towns 26-49%)</v>
      </c>
      <c r="Y199" s="49" t="str">
        <f t="shared" si="56"/>
        <v/>
      </c>
      <c r="Z199" s="57" t="str">
        <f>IF(Y199="","",IF(I$8="A",(RANK(Y199,Y$11:Y$363,1)+COUNTIF(Y$11:Y199,Y199)-1),(RANK(Y199,Y$11:Y$363)+COUNTIF(Y$11:Y199,Y199)-1)))</f>
        <v/>
      </c>
      <c r="AA199" s="245" t="str">
        <f>IF(L199="","",VLOOKUP($L199,classifications!C:I,7,FALSE))</f>
        <v>Significant Rural</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Staffordshire</v>
      </c>
      <c r="AJ199" s="62" t="str">
        <f t="shared" si="57"/>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West Midlands</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26</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27</v>
      </c>
      <c r="G200" s="105"/>
      <c r="H200" s="60">
        <f t="shared" si="52"/>
        <v>27</v>
      </c>
      <c r="I200" s="112">
        <f>IF(H200="","",IF($I$8="A",(RANK(H200,H$11:H$363,1)+COUNTIF(H$11:H200,H200)-1),(RANK(H200,H$11:H$363)+COUNTIF(H$11:H200,H200)-1)))</f>
        <v>184</v>
      </c>
      <c r="J200" s="58"/>
      <c r="K200" s="51">
        <f t="shared" si="66"/>
        <v>190</v>
      </c>
      <c r="L200" s="59" t="str">
        <f t="shared" si="53"/>
        <v>Northampton</v>
      </c>
      <c r="M200" s="153">
        <f t="shared" si="58"/>
        <v>29</v>
      </c>
      <c r="N200" s="148">
        <f t="shared" si="59"/>
        <v>29</v>
      </c>
      <c r="O200" s="131" t="str">
        <f t="shared" si="54"/>
        <v/>
      </c>
      <c r="P200" s="131" t="str">
        <f t="shared" si="67"/>
        <v/>
      </c>
      <c r="Q200" s="131" t="str">
        <f t="shared" si="68"/>
        <v/>
      </c>
      <c r="R200" s="127">
        <f t="shared" si="69"/>
        <v>29</v>
      </c>
      <c r="S200" s="60" t="str">
        <f t="shared" si="60"/>
        <v/>
      </c>
      <c r="T200" s="231">
        <f>IF(L200="","",VLOOKUP(L200,classifications!C:K,9,FALSE))</f>
        <v>0</v>
      </c>
      <c r="U200" s="238" t="str">
        <f t="shared" si="55"/>
        <v/>
      </c>
      <c r="V200" s="239" t="str">
        <f>IF(U200="","",IF($I$8="A",(RANK(U200,U$11:U$363)+COUNTIF(U$11:U200,U200)-1),(RANK(U200,U$11:U$363,1)+COUNTIF(U$11:U200,U200)-1)))</f>
        <v/>
      </c>
      <c r="W200" s="240"/>
      <c r="X200" s="61" t="str">
        <f>IF(L200="","",VLOOKUP($L200,classifications!$C:$J,6,FALSE))</f>
        <v>Urban with City and Town</v>
      </c>
      <c r="Y200" s="49" t="str">
        <f t="shared" si="56"/>
        <v/>
      </c>
      <c r="Z200" s="57" t="str">
        <f>IF(Y200="","",IF(I$8="A",(RANK(Y200,Y$11:Y$363,1)+COUNTIF(Y$11:Y200,Y200)-1),(RANK(Y200,Y$11:Y$363)+COUNTIF(Y$11:Y200,Y200)-1)))</f>
        <v/>
      </c>
      <c r="AA200" s="245" t="str">
        <f>IF(L200="","",VLOOKUP($L200,classifications!C:I,7,FALSE))</f>
        <v>Predominantly Urban</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Northamptonshire</v>
      </c>
      <c r="AJ200" s="62" t="str">
        <f t="shared" si="57"/>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East Midlands</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27</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24</v>
      </c>
      <c r="G201" s="105"/>
      <c r="H201" s="60" t="str">
        <f t="shared" si="52"/>
        <v/>
      </c>
      <c r="I201" s="112" t="str">
        <f>IF(H201="","",IF($I$8="A",(RANK(H201,H$11:H$363,1)+COUNTIF(H$11:H201,H201)-1),(RANK(H201,H$11:H$363)+COUNTIF(H$11:H201,H201)-1)))</f>
        <v/>
      </c>
      <c r="J201" s="58"/>
      <c r="K201" s="51">
        <f t="shared" si="66"/>
        <v>191</v>
      </c>
      <c r="L201" s="59" t="str">
        <f t="shared" si="53"/>
        <v>Rossendale</v>
      </c>
      <c r="M201" s="153">
        <f t="shared" si="58"/>
        <v>29</v>
      </c>
      <c r="N201" s="148">
        <f t="shared" si="59"/>
        <v>29</v>
      </c>
      <c r="O201" s="131" t="str">
        <f t="shared" si="54"/>
        <v/>
      </c>
      <c r="P201" s="131" t="str">
        <f t="shared" si="67"/>
        <v/>
      </c>
      <c r="Q201" s="131" t="str">
        <f t="shared" si="68"/>
        <v/>
      </c>
      <c r="R201" s="127">
        <f t="shared" si="69"/>
        <v>29</v>
      </c>
      <c r="S201" s="60" t="str">
        <f t="shared" si="60"/>
        <v/>
      </c>
      <c r="T201" s="231">
        <f>IF(L201="","",VLOOKUP(L201,classifications!C:K,9,FALSE))</f>
        <v>0</v>
      </c>
      <c r="U201" s="238" t="str">
        <f t="shared" si="55"/>
        <v/>
      </c>
      <c r="V201" s="239" t="str">
        <f>IF(U201="","",IF($I$8="A",(RANK(U201,U$11:U$363)+COUNTIF(U$11:U201,U201)-1),(RANK(U201,U$11:U$363,1)+COUNTIF(U$11:U201,U201)-1)))</f>
        <v/>
      </c>
      <c r="W201" s="240"/>
      <c r="X201" s="61" t="str">
        <f>IF(L201="","",VLOOKUP($L201,classifications!$C:$J,6,FALSE))</f>
        <v>Urban with City and Town</v>
      </c>
      <c r="Y201" s="49" t="str">
        <f t="shared" si="56"/>
        <v/>
      </c>
      <c r="Z201" s="57" t="str">
        <f>IF(Y201="","",IF(I$8="A",(RANK(Y201,Y$11:Y$363,1)+COUNTIF(Y$11:Y201,Y201)-1),(RANK(Y201,Y$11:Y$363)+COUNTIF(Y$11:Y201,Y201)-1)))</f>
        <v/>
      </c>
      <c r="AA201" s="245" t="str">
        <f>IF(L201="","",VLOOKUP($L201,classifications!C:I,7,FALSE))</f>
        <v>Predominantly Urban</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Lancashire</v>
      </c>
      <c r="AJ201" s="62" t="str">
        <f t="shared" si="57"/>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North West</v>
      </c>
      <c r="AQ201" s="62">
        <f t="shared" si="63"/>
        <v>29</v>
      </c>
      <c r="AR201" s="57">
        <f>IF(AQ201="","",IF(I$8="A",(RANK(AQ201,AQ$11:AQ$363,1)+COUNTIF(AQ$11:AQ201,AQ201)-1),(RANK(AQ201,AQ$11:AQ$363)+COUNTIF(AQ$11:AQ201,AQ201)-1)))</f>
        <v>16</v>
      </c>
      <c r="AS201" s="52" t="str">
        <f t="shared" si="64"/>
        <v/>
      </c>
      <c r="AT201" s="57" t="str">
        <f t="shared" si="65"/>
        <v/>
      </c>
      <c r="AU201" s="62" t="str">
        <f t="shared" si="71"/>
        <v/>
      </c>
      <c r="AX201" s="44">
        <f>HLOOKUP($AX$9&amp;$AX$10,Data!$A$1:$ZZ$2000,(MATCH($C201,Data!$A$1:$A$2000,0)),FALSE)</f>
        <v>24</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f t="shared" si="66"/>
        <v>192</v>
      </c>
      <c r="L202" s="59" t="str">
        <f t="shared" si="53"/>
        <v>Waveney</v>
      </c>
      <c r="M202" s="153">
        <f t="shared" si="58"/>
        <v>29</v>
      </c>
      <c r="N202" s="148">
        <f t="shared" si="59"/>
        <v>29</v>
      </c>
      <c r="O202" s="131" t="str">
        <f t="shared" si="54"/>
        <v/>
      </c>
      <c r="P202" s="131" t="str">
        <f t="shared" si="67"/>
        <v/>
      </c>
      <c r="Q202" s="131" t="str">
        <f t="shared" si="68"/>
        <v/>
      </c>
      <c r="R202" s="127">
        <f t="shared" si="69"/>
        <v>29</v>
      </c>
      <c r="S202" s="60" t="str">
        <f t="shared" si="60"/>
        <v/>
      </c>
      <c r="T202" s="231" t="str">
        <f>IF(L202="","",VLOOKUP(L202,classifications!C:K,9,FALSE))</f>
        <v>Sparse</v>
      </c>
      <c r="U202" s="238">
        <f t="shared" si="55"/>
        <v>29</v>
      </c>
      <c r="V202" s="239">
        <f>IF(U202="","",IF($I$8="A",(RANK(U202,U$11:U$363)+COUNTIF(U$11:U202,U202)-1),(RANK(U202,U$11:U$363,1)+COUNTIF(U$11:U202,U202)-1)))</f>
        <v>7</v>
      </c>
      <c r="W202" s="240"/>
      <c r="X202" s="61" t="str">
        <f>IF(L202="","",VLOOKUP($L202,classifications!$C:$J,6,FALSE))</f>
        <v>Urban with Significant Rural (rural including hub towns 26-49%)</v>
      </c>
      <c r="Y202" s="49" t="str">
        <f t="shared" si="56"/>
        <v/>
      </c>
      <c r="Z202" s="57" t="str">
        <f>IF(Y202="","",IF(I$8="A",(RANK(Y202,Y$11:Y$363,1)+COUNTIF(Y$11:Y202,Y202)-1),(RANK(Y202,Y$11:Y$363)+COUNTIF(Y$11:Y202,Y202)-1)))</f>
        <v/>
      </c>
      <c r="AA202" s="245" t="str">
        <f>IF(L202="","",VLOOKUP($L202,classifications!C:I,7,FALSE))</f>
        <v>Significant Rural</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Suffolk</v>
      </c>
      <c r="AJ202" s="62" t="str">
        <f t="shared" si="57"/>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East of England</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12</v>
      </c>
      <c r="G203" s="105"/>
      <c r="H203" s="60">
        <f t="shared" ref="H203:H266" si="75">IF(D203=$D$1,HLOOKUP($D$6,$AX$10:$ZZ$363,ROW()-9,FALSE),"")</f>
        <v>12</v>
      </c>
      <c r="I203" s="112">
        <f>IF(H203="","",IF($I$8="A",(RANK(H203,H$11:H$363,1)+COUNTIF(H$11:H203,H203)-1),(RANK(H203,H$11:H$363)+COUNTIF(H$11:H203,H203)-1)))</f>
        <v>18</v>
      </c>
      <c r="J203" s="58"/>
      <c r="K203" s="51">
        <f t="shared" si="66"/>
        <v>193</v>
      </c>
      <c r="L203" s="59" t="str">
        <f t="shared" ref="L203:L266" si="76">IF(K203="","",INDEX(C$11:C$363,MATCH(K203,I$11:I$363,0)))</f>
        <v>West Lancashire</v>
      </c>
      <c r="M203" s="153">
        <f t="shared" si="58"/>
        <v>29</v>
      </c>
      <c r="N203" s="148">
        <f t="shared" si="59"/>
        <v>29</v>
      </c>
      <c r="O203" s="131" t="str">
        <f t="shared" ref="O203:O266" si="77">IF(I$8="A",IF(N203&gt;=$P$7,IF(N203&lt;=$O$10,N203,""),""),IF(N203&lt;=$P$7,IF(N203&gt;=$O$10,N203,""),""))</f>
        <v/>
      </c>
      <c r="P203" s="131" t="str">
        <f t="shared" si="67"/>
        <v/>
      </c>
      <c r="Q203" s="131" t="str">
        <f t="shared" si="68"/>
        <v/>
      </c>
      <c r="R203" s="127">
        <f t="shared" si="69"/>
        <v>29</v>
      </c>
      <c r="S203" s="60" t="str">
        <f t="shared" si="60"/>
        <v/>
      </c>
      <c r="T203" s="231">
        <f>IF(L203="","",VLOOKUP(L203,classifications!C:K,9,FALSE))</f>
        <v>0</v>
      </c>
      <c r="U203" s="238" t="str">
        <f t="shared" ref="U203:U266" si="78">IF(T203="Sparse",M203,"")</f>
        <v/>
      </c>
      <c r="V203" s="239" t="str">
        <f>IF(U203="","",IF($I$8="A",(RANK(U203,U$11:U$363)+COUNTIF(U$11:U203,U203)-1),(RANK(U203,U$11:U$363,1)+COUNTIF(U$11:U203,U203)-1)))</f>
        <v/>
      </c>
      <c r="W203" s="240"/>
      <c r="X203" s="61" t="str">
        <f>IF(L203="","",VLOOKUP($L203,classifications!$C:$J,6,FALSE))</f>
        <v>Urban with Significant Rural (rural including hub towns 26-49%)</v>
      </c>
      <c r="Y203" s="49" t="str">
        <f t="shared" ref="Y203:Y266" si="79">IF($D$1="UA",IF(X203="Largely Rural (rural including hub towns 50-79%) ",M203,IF(X203="Mainly Rural (rural including hub towns &gt;=80%) ",M203,IF(X203="Urban with Significant Rural (rural including hub towns 26-49%)",M203,""))),IF($D$1="SD",IF(X203=$H$3,M203,"")))</f>
        <v/>
      </c>
      <c r="Z203" s="57" t="str">
        <f>IF(Y203="","",IF(I$8="A",(RANK(Y203,Y$11:Y$363,1)+COUNTIF(Y$11:Y203,Y203)-1),(RANK(Y203,Y$11:Y$363)+COUNTIF(Y$11:Y203,Y203)-1)))</f>
        <v/>
      </c>
      <c r="AA203" s="245" t="str">
        <f>IF(L203="","",VLOOKUP($L203,classifications!C:I,7,FALSE))</f>
        <v>Significant Rural</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Lancashire</v>
      </c>
      <c r="AJ203" s="62" t="str">
        <f t="shared" ref="AJ203:AJ266" si="80">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North West</v>
      </c>
      <c r="AQ203" s="62">
        <f t="shared" si="63"/>
        <v>29</v>
      </c>
      <c r="AR203" s="57">
        <f>IF(AQ203="","",IF(I$8="A",(RANK(AQ203,AQ$11:AQ$363,1)+COUNTIF(AQ$11:AQ203,AQ203)-1),(RANK(AQ203,AQ$11:AQ$363)+COUNTIF(AQ$11:AQ203,AQ203)-1)))</f>
        <v>17</v>
      </c>
      <c r="AS203" s="52" t="str">
        <f t="shared" si="64"/>
        <v/>
      </c>
      <c r="AT203" s="57" t="str">
        <f t="shared" si="65"/>
        <v/>
      </c>
      <c r="AU203" s="62" t="str">
        <f t="shared" si="71"/>
        <v/>
      </c>
      <c r="AX203" s="44">
        <f>HLOOKUP($AX$9&amp;$AX$10,Data!$A$1:$ZZ$2000,(MATCH($C203,Data!$A$1:$A$2000,0)),FALSE)</f>
        <v>12</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21</v>
      </c>
      <c r="G204" s="105"/>
      <c r="H204" s="60">
        <f t="shared" si="75"/>
        <v>21</v>
      </c>
      <c r="I204" s="112">
        <f>IF(H204="","",IF($I$8="A",(RANK(H204,H$11:H$363,1)+COUNTIF(H$11:H204,H204)-1),(RANK(H204,H$11:H$363)+COUNTIF(H$11:H204,H204)-1)))</f>
        <v>131</v>
      </c>
      <c r="J204" s="58"/>
      <c r="K204" s="51">
        <f t="shared" si="66"/>
        <v>194</v>
      </c>
      <c r="L204" s="59" t="str">
        <f t="shared" si="76"/>
        <v>Wyre Forest</v>
      </c>
      <c r="M204" s="153">
        <f t="shared" ref="M204:M267" si="81">IF(L204="","",IF(VLOOKUP(L204,C:D,2,FALSE)=$F$3,VLOOKUP(L204,C:H,6,FALSE),""))</f>
        <v>30</v>
      </c>
      <c r="N204" s="148">
        <f t="shared" ref="N204:N267" si="82">IF(L204="","",IF($H$8="%%",M204*100,M204))</f>
        <v>30</v>
      </c>
      <c r="O204" s="131" t="str">
        <f t="shared" si="77"/>
        <v/>
      </c>
      <c r="P204" s="131" t="str">
        <f t="shared" si="67"/>
        <v/>
      </c>
      <c r="Q204" s="131" t="str">
        <f t="shared" si="68"/>
        <v/>
      </c>
      <c r="R204" s="127">
        <f t="shared" si="69"/>
        <v>30</v>
      </c>
      <c r="S204" s="60" t="str">
        <f t="shared" ref="S204:S267" si="83">IF(L204=D$3,"u","")</f>
        <v/>
      </c>
      <c r="T204" s="231" t="str">
        <f>IF(L204="","",VLOOKUP(L204,classifications!C:K,9,FALSE))</f>
        <v>Sparse</v>
      </c>
      <c r="U204" s="238">
        <f t="shared" si="78"/>
        <v>30</v>
      </c>
      <c r="V204" s="239">
        <f>IF(U204="","",IF($I$8="A",(RANK(U204,U$11:U$363)+COUNTIF(U$11:U204,U204)-1),(RANK(U204,U$11:U$363,1)+COUNTIF(U$11:U204,U204)-1)))</f>
        <v>6</v>
      </c>
      <c r="W204" s="240"/>
      <c r="X204" s="61" t="str">
        <f>IF(L204="","",VLOOKUP($L204,classifications!$C:$J,6,FALSE))</f>
        <v>Urban with Significant Rural (rural including hub towns 26-49%)</v>
      </c>
      <c r="Y204" s="49" t="str">
        <f t="shared" si="79"/>
        <v/>
      </c>
      <c r="Z204" s="57" t="str">
        <f>IF(Y204="","",IF(I$8="A",(RANK(Y204,Y$11:Y$363,1)+COUNTIF(Y$11:Y204,Y204)-1),(RANK(Y204,Y$11:Y$363)+COUNTIF(Y$11:Y204,Y204)-1)))</f>
        <v/>
      </c>
      <c r="AA204" s="245" t="str">
        <f>IF(L204="","",VLOOKUP($L204,classifications!C:I,7,FALSE))</f>
        <v>Significant Rural</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Worcestershire</v>
      </c>
      <c r="AJ204" s="62" t="str">
        <f t="shared" si="80"/>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West Midlands</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21</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20</v>
      </c>
      <c r="G205" s="105"/>
      <c r="H205" s="60">
        <f t="shared" si="75"/>
        <v>20</v>
      </c>
      <c r="I205" s="112">
        <f>IF(H205="","",IF($I$8="A",(RANK(H205,H$11:H$363,1)+COUNTIF(H$11:H205,H205)-1),(RANK(H205,H$11:H$363)+COUNTIF(H$11:H205,H205)-1)))</f>
        <v>114</v>
      </c>
      <c r="J205" s="58"/>
      <c r="K205" s="51">
        <f t="shared" ref="K205:K268" si="89">IF(K204="","",IF(K204+1&gt;(COUNT(H$11:H$363)),"",K204+1))</f>
        <v>195</v>
      </c>
      <c r="L205" s="59" t="str">
        <f t="shared" si="76"/>
        <v>Suffolk Coastal</v>
      </c>
      <c r="M205" s="153">
        <f t="shared" si="81"/>
        <v>31</v>
      </c>
      <c r="N205" s="148">
        <f t="shared" si="82"/>
        <v>31</v>
      </c>
      <c r="O205" s="131" t="str">
        <f t="shared" si="77"/>
        <v/>
      </c>
      <c r="P205" s="131" t="str">
        <f t="shared" ref="P205:P268" si="90">IF(I$8="A",IF(N205&gt;$O$10,IF(N205&lt;=$P$10,N205,""),""),IF(N205&lt;$O$10,IF(N205&gt;=$P$10,N205,""),""))</f>
        <v/>
      </c>
      <c r="Q205" s="131" t="str">
        <f t="shared" ref="Q205:Q268" si="91">IF(I$8="A",IF(N205&gt;$P$10,IF(N205&lt;=$Q$10,N205,""),""),IF(N205&lt;$P$10,IF(N205&gt;=$Q$10,N205,""),""))</f>
        <v/>
      </c>
      <c r="R205" s="127">
        <f t="shared" ref="R205:R268" si="92">IF(I$8="A",IF(N205&gt;$Q$10,N205,""),IF(N205&lt;$Q$10,N205,""))</f>
        <v>31</v>
      </c>
      <c r="S205" s="60" t="str">
        <f t="shared" si="83"/>
        <v/>
      </c>
      <c r="T205" s="231" t="str">
        <f>IF(L205="","",VLOOKUP(L205,classifications!C:K,9,FALSE))</f>
        <v>Sparse</v>
      </c>
      <c r="U205" s="238">
        <f t="shared" si="78"/>
        <v>31</v>
      </c>
      <c r="V205" s="239">
        <f>IF(U205="","",IF($I$8="A",(RANK(U205,U$11:U$363)+COUNTIF(U$11:U205,U205)-1),(RANK(U205,U$11:U$363,1)+COUNTIF(U$11:U205,U205)-1)))</f>
        <v>5</v>
      </c>
      <c r="W205" s="240"/>
      <c r="X205" s="61" t="str">
        <f>IF(L205="","",VLOOKUP($L205,classifications!$C:$J,6,FALSE))</f>
        <v xml:space="preserve">Largely Rural (rural including hub towns 50-79%) </v>
      </c>
      <c r="Y205" s="49" t="str">
        <f t="shared" si="79"/>
        <v/>
      </c>
      <c r="Z205" s="57" t="str">
        <f>IF(Y205="","",IF(I$8="A",(RANK(Y205,Y$11:Y$363,1)+COUNTIF(Y$11:Y205,Y205)-1),(RANK(Y205,Y$11:Y$363)+COUNTIF(Y$11:Y205,Y205)-1)))</f>
        <v/>
      </c>
      <c r="AA205" s="245" t="str">
        <f>IF(L205="","",VLOOKUP($L205,classifications!C:I,7,FALSE))</f>
        <v>Predominantly Rural</v>
      </c>
      <c r="AB205" s="239">
        <f t="shared" si="84"/>
        <v>31</v>
      </c>
      <c r="AC205" s="239">
        <f>IF(AB205="","",IF($I$8="A",(RANK(AB205,AB$11:AB$363)+COUNTIF(AB$11:AB205,AB205)-1),(RANK(AB205,AB$11:AB$363,1)+COUNTIF(AB$11:AB205,AB205)-1)))</f>
        <v>4</v>
      </c>
      <c r="AD205" s="239"/>
      <c r="AE205" s="51" t="str">
        <f t="shared" si="73"/>
        <v/>
      </c>
      <c r="AG205" s="143"/>
      <c r="AH205" s="52"/>
      <c r="AI205" s="61" t="str">
        <f>IF(L205="","",VLOOKUP($L205,classifications!$C:$J,8,FALSE))</f>
        <v>Suffolk</v>
      </c>
      <c r="AJ205" s="62" t="str">
        <f t="shared" si="80"/>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East of England</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20</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26</v>
      </c>
      <c r="G206" s="105"/>
      <c r="H206" s="60" t="str">
        <f t="shared" si="75"/>
        <v/>
      </c>
      <c r="I206" s="112" t="str">
        <f>IF(H206="","",IF($I$8="A",(RANK(H206,H$11:H$363,1)+COUNTIF(H$11:H206,H206)-1),(RANK(H206,H$11:H$363)+COUNTIF(H$11:H206,H206)-1)))</f>
        <v/>
      </c>
      <c r="J206" s="58"/>
      <c r="K206" s="51">
        <f t="shared" si="89"/>
        <v>196</v>
      </c>
      <c r="L206" s="59" t="str">
        <f t="shared" si="76"/>
        <v>Newark &amp; Sherwood</v>
      </c>
      <c r="M206" s="153">
        <f t="shared" si="81"/>
        <v>32</v>
      </c>
      <c r="N206" s="148">
        <f t="shared" si="82"/>
        <v>32</v>
      </c>
      <c r="O206" s="131" t="str">
        <f t="shared" si="77"/>
        <v/>
      </c>
      <c r="P206" s="131" t="str">
        <f t="shared" si="90"/>
        <v/>
      </c>
      <c r="Q206" s="131" t="str">
        <f t="shared" si="91"/>
        <v/>
      </c>
      <c r="R206" s="127">
        <f t="shared" si="92"/>
        <v>32</v>
      </c>
      <c r="S206" s="60" t="str">
        <f t="shared" si="83"/>
        <v/>
      </c>
      <c r="T206" s="231" t="str">
        <f>IF(L206="","",VLOOKUP(L206,classifications!C:K,9,FALSE))</f>
        <v>Sparse</v>
      </c>
      <c r="U206" s="238">
        <f t="shared" si="78"/>
        <v>32</v>
      </c>
      <c r="V206" s="239">
        <f>IF(U206="","",IF($I$8="A",(RANK(U206,U$11:U$363)+COUNTIF(U$11:U206,U206)-1),(RANK(U206,U$11:U$363,1)+COUNTIF(U$11:U206,U206)-1)))</f>
        <v>3</v>
      </c>
      <c r="W206" s="240"/>
      <c r="X206" s="61" t="str">
        <f>IF(L206="","",VLOOKUP($L206,classifications!$C:$J,6,FALSE))</f>
        <v xml:space="preserve">Largely Rural (rural including hub towns 50-79%) </v>
      </c>
      <c r="Y206" s="49" t="str">
        <f t="shared" si="79"/>
        <v/>
      </c>
      <c r="Z206" s="57" t="str">
        <f>IF(Y206="","",IF(I$8="A",(RANK(Y206,Y$11:Y$363,1)+COUNTIF(Y$11:Y206,Y206)-1),(RANK(Y206,Y$11:Y$363)+COUNTIF(Y$11:Y206,Y206)-1)))</f>
        <v/>
      </c>
      <c r="AA206" s="245" t="str">
        <f>IF(L206="","",VLOOKUP($L206,classifications!C:I,7,FALSE))</f>
        <v>Predominantly Rural</v>
      </c>
      <c r="AB206" s="239">
        <f t="shared" si="84"/>
        <v>32</v>
      </c>
      <c r="AC206" s="239">
        <f>IF(AB206="","",IF($I$8="A",(RANK(AB206,AB$11:AB$363)+COUNTIF(AB$11:AB206,AB206)-1),(RANK(AB206,AB$11:AB$363,1)+COUNTIF(AB$11:AB206,AB206)-1)))</f>
        <v>2</v>
      </c>
      <c r="AD206" s="239"/>
      <c r="AE206" s="51" t="str">
        <f t="shared" si="73"/>
        <v/>
      </c>
      <c r="AG206" s="143"/>
      <c r="AH206" s="52"/>
      <c r="AI206" s="61" t="str">
        <f>IF(L206="","",VLOOKUP($L206,classifications!$C:$J,8,FALSE))</f>
        <v>Nottinghamshire</v>
      </c>
      <c r="AJ206" s="62" t="str">
        <f t="shared" si="80"/>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East Midlands</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26</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15</v>
      </c>
      <c r="G207" s="105"/>
      <c r="H207" s="60">
        <f t="shared" si="75"/>
        <v>15</v>
      </c>
      <c r="I207" s="112">
        <f>IF(H207="","",IF($I$8="A",(RANK(H207,H$11:H$363,1)+COUNTIF(H$11:H207,H207)-1),(RANK(H207,H$11:H$363)+COUNTIF(H$11:H207,H207)-1)))</f>
        <v>48</v>
      </c>
      <c r="J207" s="58"/>
      <c r="K207" s="51">
        <f t="shared" si="89"/>
        <v>197</v>
      </c>
      <c r="L207" s="59" t="str">
        <f t="shared" si="76"/>
        <v>Rother</v>
      </c>
      <c r="M207" s="153">
        <f t="shared" si="81"/>
        <v>32</v>
      </c>
      <c r="N207" s="148">
        <f t="shared" si="82"/>
        <v>32</v>
      </c>
      <c r="O207" s="131" t="str">
        <f t="shared" si="77"/>
        <v/>
      </c>
      <c r="P207" s="131" t="str">
        <f t="shared" si="90"/>
        <v/>
      </c>
      <c r="Q207" s="131" t="str">
        <f t="shared" si="91"/>
        <v/>
      </c>
      <c r="R207" s="127">
        <f t="shared" si="92"/>
        <v>32</v>
      </c>
      <c r="S207" s="60" t="str">
        <f t="shared" si="83"/>
        <v/>
      </c>
      <c r="T207" s="231" t="str">
        <f>IF(L207="","",VLOOKUP(L207,classifications!C:K,9,FALSE))</f>
        <v>Sparse</v>
      </c>
      <c r="U207" s="238">
        <f t="shared" si="78"/>
        <v>32</v>
      </c>
      <c r="V207" s="239">
        <f>IF(U207="","",IF($I$8="A",(RANK(U207,U$11:U$363)+COUNTIF(U$11:U207,U207)-1),(RANK(U207,U$11:U$363,1)+COUNTIF(U$11:U207,U207)-1)))</f>
        <v>4</v>
      </c>
      <c r="W207" s="240"/>
      <c r="X207" s="61" t="str">
        <f>IF(L207="","",VLOOKUP($L207,classifications!$C:$J,6,FALSE))</f>
        <v xml:space="preserve">Largely Rural (rural including hub towns 50-79%) </v>
      </c>
      <c r="Y207" s="49" t="str">
        <f t="shared" si="79"/>
        <v/>
      </c>
      <c r="Z207" s="57" t="str">
        <f>IF(Y207="","",IF(I$8="A",(RANK(Y207,Y$11:Y$363,1)+COUNTIF(Y$11:Y207,Y207)-1),(RANK(Y207,Y$11:Y$363)+COUNTIF(Y$11:Y207,Y207)-1)))</f>
        <v/>
      </c>
      <c r="AA207" s="245" t="str">
        <f>IF(L207="","",VLOOKUP($L207,classifications!C:I,7,FALSE))</f>
        <v>Predominantly Rural</v>
      </c>
      <c r="AB207" s="239">
        <f t="shared" si="84"/>
        <v>32</v>
      </c>
      <c r="AC207" s="239">
        <f>IF(AB207="","",IF($I$8="A",(RANK(AB207,AB$11:AB$363)+COUNTIF(AB$11:AB207,AB207)-1),(RANK(AB207,AB$11:AB$363,1)+COUNTIF(AB$11:AB207,AB207)-1)))</f>
        <v>3</v>
      </c>
      <c r="AD207" s="239"/>
      <c r="AE207" s="51" t="str">
        <f t="shared" si="73"/>
        <v/>
      </c>
      <c r="AG207" s="143"/>
      <c r="AH207" s="52"/>
      <c r="AI207" s="61" t="str">
        <f>IF(L207="","",VLOOKUP($L207,classifications!$C:$J,8,FALSE))</f>
        <v>East Sussex</v>
      </c>
      <c r="AJ207" s="62" t="str">
        <f t="shared" si="80"/>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South East</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15</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11</v>
      </c>
      <c r="G208" s="105"/>
      <c r="H208" s="60">
        <f t="shared" si="75"/>
        <v>11</v>
      </c>
      <c r="I208" s="112">
        <f>IF(H208="","",IF($I$8="A",(RANK(H208,H$11:H$363,1)+COUNTIF(H$11:H208,H208)-1),(RANK(H208,H$11:H$363)+COUNTIF(H$11:H208,H208)-1)))</f>
        <v>13</v>
      </c>
      <c r="J208" s="58"/>
      <c r="K208" s="51">
        <f t="shared" si="89"/>
        <v>198</v>
      </c>
      <c r="L208" s="59" t="str">
        <f t="shared" si="76"/>
        <v>Chorley</v>
      </c>
      <c r="M208" s="153">
        <f t="shared" si="81"/>
        <v>33</v>
      </c>
      <c r="N208" s="148">
        <f t="shared" si="82"/>
        <v>33</v>
      </c>
      <c r="O208" s="131" t="str">
        <f t="shared" si="77"/>
        <v/>
      </c>
      <c r="P208" s="131" t="str">
        <f t="shared" si="90"/>
        <v/>
      </c>
      <c r="Q208" s="131" t="str">
        <f t="shared" si="91"/>
        <v/>
      </c>
      <c r="R208" s="127">
        <f t="shared" si="92"/>
        <v>33</v>
      </c>
      <c r="S208" s="60" t="str">
        <f t="shared" si="83"/>
        <v/>
      </c>
      <c r="T208" s="231">
        <f>IF(L208="","",VLOOKUP(L208,classifications!C:K,9,FALSE))</f>
        <v>0</v>
      </c>
      <c r="U208" s="238" t="str">
        <f t="shared" si="78"/>
        <v/>
      </c>
      <c r="V208" s="239" t="str">
        <f>IF(U208="","",IF($I$8="A",(RANK(U208,U$11:U$363)+COUNTIF(U$11:U208,U208)-1),(RANK(U208,U$11:U$363,1)+COUNTIF(U$11:U208,U208)-1)))</f>
        <v/>
      </c>
      <c r="W208" s="240"/>
      <c r="X208" s="61" t="str">
        <f>IF(L208="","",VLOOKUP($L208,classifications!$C:$J,6,FALSE))</f>
        <v>Urban with Significant Rural (rural including hub towns 26-49%)</v>
      </c>
      <c r="Y208" s="49" t="str">
        <f t="shared" si="79"/>
        <v/>
      </c>
      <c r="Z208" s="57" t="str">
        <f>IF(Y208="","",IF(I$8="A",(RANK(Y208,Y$11:Y$363,1)+COUNTIF(Y$11:Y208,Y208)-1),(RANK(Y208,Y$11:Y$363)+COUNTIF(Y$11:Y208,Y208)-1)))</f>
        <v/>
      </c>
      <c r="AA208" s="245" t="str">
        <f>IF(L208="","",VLOOKUP($L208,classifications!C:I,7,FALSE))</f>
        <v>Significant Rural</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Lancashire</v>
      </c>
      <c r="AJ208" s="62" t="str">
        <f t="shared" si="80"/>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North West</v>
      </c>
      <c r="AQ208" s="62">
        <f t="shared" si="86"/>
        <v>33</v>
      </c>
      <c r="AR208" s="57">
        <f>IF(AQ208="","",IF(I$8="A",(RANK(AQ208,AQ$11:AQ$363,1)+COUNTIF(AQ$11:AQ208,AQ208)-1),(RANK(AQ208,AQ$11:AQ$363)+COUNTIF(AQ$11:AQ208,AQ208)-1)))</f>
        <v>18</v>
      </c>
      <c r="AS208" s="52" t="str">
        <f t="shared" si="87"/>
        <v/>
      </c>
      <c r="AT208" s="57" t="str">
        <f t="shared" si="88"/>
        <v/>
      </c>
      <c r="AU208" s="62" t="str">
        <f t="shared" si="71"/>
        <v/>
      </c>
      <c r="AX208" s="44">
        <f>HLOOKUP($AX$9&amp;$AX$10,Data!$A$1:$ZZ$2000,(MATCH($C208,Data!$A$1:$A$2000,0)),FALSE)</f>
        <v>11</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32</v>
      </c>
      <c r="G209" s="105"/>
      <c r="H209" s="60" t="str">
        <f t="shared" si="75"/>
        <v/>
      </c>
      <c r="I209" s="112" t="str">
        <f>IF(H209="","",IF($I$8="A",(RANK(H209,H$11:H$363,1)+COUNTIF(H$11:H209,H209)-1),(RANK(H209,H$11:H$363)+COUNTIF(H$11:H209,H209)-1)))</f>
        <v/>
      </c>
      <c r="J209" s="58"/>
      <c r="K209" s="51">
        <f t="shared" si="89"/>
        <v>199</v>
      </c>
      <c r="L209" s="59" t="str">
        <f t="shared" si="76"/>
        <v>Tamworth</v>
      </c>
      <c r="M209" s="153">
        <f t="shared" si="81"/>
        <v>33</v>
      </c>
      <c r="N209" s="148">
        <f t="shared" si="82"/>
        <v>33</v>
      </c>
      <c r="O209" s="131" t="str">
        <f t="shared" si="77"/>
        <v/>
      </c>
      <c r="P209" s="131" t="str">
        <f t="shared" si="90"/>
        <v/>
      </c>
      <c r="Q209" s="131" t="str">
        <f t="shared" si="91"/>
        <v/>
      </c>
      <c r="R209" s="127">
        <f t="shared" si="92"/>
        <v>33</v>
      </c>
      <c r="S209" s="60" t="str">
        <f t="shared" si="83"/>
        <v/>
      </c>
      <c r="T209" s="231">
        <f>IF(L209="","",VLOOKUP(L209,classifications!C:K,9,FALSE))</f>
        <v>0</v>
      </c>
      <c r="U209" s="238" t="str">
        <f t="shared" si="78"/>
        <v/>
      </c>
      <c r="V209" s="239" t="str">
        <f>IF(U209="","",IF($I$8="A",(RANK(U209,U$11:U$363)+COUNTIF(U$11:U209,U209)-1),(RANK(U209,U$11:U$363,1)+COUNTIF(U$11:U209,U209)-1)))</f>
        <v/>
      </c>
      <c r="W209" s="240"/>
      <c r="X209" s="61" t="str">
        <f>IF(L209="","",VLOOKUP($L209,classifications!$C:$J,6,FALSE))</f>
        <v>Urban with City and Town</v>
      </c>
      <c r="Y209" s="49" t="str">
        <f t="shared" si="79"/>
        <v/>
      </c>
      <c r="Z209" s="57" t="str">
        <f>IF(Y209="","",IF(I$8="A",(RANK(Y209,Y$11:Y$363,1)+COUNTIF(Y$11:Y209,Y209)-1),(RANK(Y209,Y$11:Y$363)+COUNTIF(Y$11:Y209,Y209)-1)))</f>
        <v/>
      </c>
      <c r="AA209" s="245" t="str">
        <f>IF(L209="","",VLOOKUP($L209,classifications!C:I,7,FALSE))</f>
        <v>Predominantly Urban</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Staffordshire</v>
      </c>
      <c r="AJ209" s="62" t="str">
        <f t="shared" si="80"/>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West Midlands</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32</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14</v>
      </c>
      <c r="G210" s="105"/>
      <c r="H210" s="60">
        <f t="shared" si="75"/>
        <v>14</v>
      </c>
      <c r="I210" s="112">
        <f>IF(H210="","",IF($I$8="A",(RANK(H210,H$11:H$363,1)+COUNTIF(H$11:H210,H210)-1),(RANK(H210,H$11:H$363)+COUNTIF(H$11:H210,H210)-1)))</f>
        <v>28</v>
      </c>
      <c r="J210" s="58"/>
      <c r="K210" s="51">
        <f t="shared" si="89"/>
        <v>200</v>
      </c>
      <c r="L210" s="59" t="str">
        <f>IF(K210="","",INDEX(C$11:C$363,MATCH(K210,I$11:I$363,0)))</f>
        <v>Derbyshire Dales</v>
      </c>
      <c r="M210" s="153">
        <f t="shared" si="81"/>
        <v>34</v>
      </c>
      <c r="N210" s="148">
        <f t="shared" si="82"/>
        <v>34</v>
      </c>
      <c r="O210" s="131" t="str">
        <f t="shared" si="77"/>
        <v/>
      </c>
      <c r="P210" s="131" t="str">
        <f t="shared" si="90"/>
        <v/>
      </c>
      <c r="Q210" s="131" t="str">
        <f t="shared" si="91"/>
        <v/>
      </c>
      <c r="R210" s="127">
        <f t="shared" si="92"/>
        <v>34</v>
      </c>
      <c r="S210" s="60" t="str">
        <f t="shared" si="83"/>
        <v/>
      </c>
      <c r="T210" s="231" t="str">
        <f>IF(L210="","",VLOOKUP(L210,classifications!C:K,9,FALSE))</f>
        <v>Sparse</v>
      </c>
      <c r="U210" s="238">
        <f t="shared" si="78"/>
        <v>34</v>
      </c>
      <c r="V210" s="239">
        <f>IF(U210="","",IF($I$8="A",(RANK(U210,U$11:U$363)+COUNTIF(U$11:U210,U210)-1),(RANK(U210,U$11:U$363,1)+COUNTIF(U$11:U210,U210)-1)))</f>
        <v>2</v>
      </c>
      <c r="W210" s="240"/>
      <c r="X210" s="61" t="str">
        <f>IF(L210="","",VLOOKUP($L210,classifications!$C:$J,6,FALSE))</f>
        <v xml:space="preserve">Mainly Rural (rural including hub towns &gt;=80%) </v>
      </c>
      <c r="Y210" s="49">
        <f t="shared" si="79"/>
        <v>34</v>
      </c>
      <c r="Z210" s="57">
        <f>IF(Y210="","",IF(I$8="A",(RANK(Y210,Y$11:Y$363,1)+COUNTIF(Y$11:Y210,Y210)-1),(RANK(Y210,Y$11:Y$363)+COUNTIF(Y$11:Y210,Y210)-1)))</f>
        <v>46</v>
      </c>
      <c r="AA210" s="245" t="str">
        <f>IF(L210="","",VLOOKUP($L210,classifications!C:I,7,FALSE))</f>
        <v>Predominantly Rural</v>
      </c>
      <c r="AB210" s="239">
        <f t="shared" si="84"/>
        <v>34</v>
      </c>
      <c r="AC210" s="239">
        <f>IF(AB210="","",IF($I$8="A",(RANK(AB210,AB$11:AB$363)+COUNTIF(AB$11:AB210,AB210)-1),(RANK(AB210,AB$11:AB$363,1)+COUNTIF(AB$11:AB210,AB210)-1)))</f>
        <v>1</v>
      </c>
      <c r="AD210" s="239"/>
      <c r="AE210" s="51" t="str">
        <f t="shared" si="73"/>
        <v/>
      </c>
      <c r="AG210" s="143"/>
      <c r="AH210" s="52"/>
      <c r="AI210" s="61" t="str">
        <f>IF(L210="","",VLOOKUP($L210,classifications!$C:$J,8,FALSE))</f>
        <v>Derbyshire</v>
      </c>
      <c r="AJ210" s="62" t="str">
        <f t="shared" si="80"/>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East Midlands</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14</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21</v>
      </c>
      <c r="G211" s="105"/>
      <c r="H211" s="60" t="str">
        <f t="shared" si="75"/>
        <v/>
      </c>
      <c r="I211" s="112" t="str">
        <f>IF(H211="","",IF($I$8="A",(RANK(H211,H$11:H$363,1)+COUNTIF(H$11:H211,H211)-1),(RANK(H211,H$11:H$363)+COUNTIF(H$11:H211,H211)-1)))</f>
        <v/>
      </c>
      <c r="J211" s="58"/>
      <c r="K211" s="51">
        <f t="shared" si="89"/>
        <v>201</v>
      </c>
      <c r="L211" s="59" t="str">
        <f t="shared" si="76"/>
        <v>South Derbyshire</v>
      </c>
      <c r="M211" s="153">
        <f t="shared" si="81"/>
        <v>49</v>
      </c>
      <c r="N211" s="148">
        <f t="shared" si="82"/>
        <v>49</v>
      </c>
      <c r="O211" s="131" t="str">
        <f t="shared" si="77"/>
        <v/>
      </c>
      <c r="P211" s="131" t="str">
        <f t="shared" si="90"/>
        <v/>
      </c>
      <c r="Q211" s="131" t="str">
        <f t="shared" si="91"/>
        <v/>
      </c>
      <c r="R211" s="127">
        <f t="shared" si="92"/>
        <v>49</v>
      </c>
      <c r="S211" s="60" t="str">
        <f t="shared" si="83"/>
        <v/>
      </c>
      <c r="T211" s="231" t="str">
        <f>IF(L211="","",VLOOKUP(L211,classifications!C:K,9,FALSE))</f>
        <v>Sparse</v>
      </c>
      <c r="U211" s="238">
        <f t="shared" ref="U211:U226" si="95">IF(T211="Sparse",M211,"")</f>
        <v>49</v>
      </c>
      <c r="V211" s="239">
        <f>IF(U211="","",IF($I$8="A",(RANK(U211,U$11:U$363)+COUNTIF(U$11:U211,U211)-1),(RANK(U211,U$11:U$363,1)+COUNTIF(U$11:U211,U211)-1)))</f>
        <v>1</v>
      </c>
      <c r="W211" s="240"/>
      <c r="X211" s="61" t="str">
        <f>IF(L211="","",VLOOKUP($L211,classifications!$C:$J,6,FALSE))</f>
        <v>Urban with Significant Rural (rural including hub towns 26-49%)</v>
      </c>
      <c r="Y211" s="49" t="str">
        <f t="shared" si="79"/>
        <v/>
      </c>
      <c r="Z211" s="57" t="str">
        <f>IF(Y211="","",IF(I$8="A",(RANK(Y211,Y$11:Y$363,1)+COUNTIF(Y$11:Y211,Y211)-1),(RANK(Y211,Y$11:Y$363)+COUNTIF(Y$11:Y211,Y211)-1)))</f>
        <v/>
      </c>
      <c r="AA211" s="245" t="str">
        <f>IF(L211="","",VLOOKUP($L211,classifications!C:I,7,FALSE))</f>
        <v>Significant Rural</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Derbyshire</v>
      </c>
      <c r="AJ211" s="62" t="str">
        <f t="shared" si="80"/>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East Midlands</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21</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27</v>
      </c>
      <c r="G212" s="105"/>
      <c r="H212" s="60" t="str">
        <f t="shared" si="75"/>
        <v/>
      </c>
      <c r="I212" s="112" t="str">
        <f>IF(H212="","",IF($I$8="A",(RANK(H212,H$11:H$363,1)+COUNTIF(H$11:H212,H212)-1),(RANK(H212,H$11:H$363)+COUNTIF(H$11:H212,H212)-1)))</f>
        <v/>
      </c>
      <c r="J212" s="58"/>
      <c r="K212" s="51" t="str">
        <f t="shared" si="89"/>
        <v/>
      </c>
      <c r="L212" s="59" t="str">
        <f t="shared" si="76"/>
        <v/>
      </c>
      <c r="M212" s="153" t="str">
        <f t="shared" si="81"/>
        <v/>
      </c>
      <c r="N212" s="148" t="str">
        <f t="shared" si="82"/>
        <v/>
      </c>
      <c r="O212" s="131" t="str">
        <f t="shared" si="77"/>
        <v/>
      </c>
      <c r="P212" s="131" t="str">
        <f t="shared" si="90"/>
        <v/>
      </c>
      <c r="Q212" s="131" t="str">
        <f t="shared" si="91"/>
        <v/>
      </c>
      <c r="R212" s="127" t="str">
        <f t="shared" si="92"/>
        <v/>
      </c>
      <c r="S212" s="60" t="str">
        <f t="shared" si="83"/>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79"/>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80"/>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27</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23</v>
      </c>
      <c r="G213" s="105"/>
      <c r="H213" s="60">
        <f t="shared" si="75"/>
        <v>23</v>
      </c>
      <c r="I213" s="112">
        <f>IF(H213="","",IF($I$8="A",(RANK(H213,H$11:H$363,1)+COUNTIF(H$11:H213,H213)-1),(RANK(H213,H$11:H$363)+COUNTIF(H$11:H213,H213)-1)))</f>
        <v>152</v>
      </c>
      <c r="J213" s="58"/>
      <c r="K213" s="51" t="str">
        <f t="shared" si="89"/>
        <v/>
      </c>
      <c r="L213" s="59" t="str">
        <f t="shared" si="76"/>
        <v/>
      </c>
      <c r="M213" s="153" t="str">
        <f t="shared" si="81"/>
        <v/>
      </c>
      <c r="N213" s="148" t="str">
        <f t="shared" si="82"/>
        <v/>
      </c>
      <c r="O213" s="131" t="str">
        <f t="shared" si="77"/>
        <v/>
      </c>
      <c r="P213" s="131" t="str">
        <f t="shared" si="90"/>
        <v/>
      </c>
      <c r="Q213" s="131" t="str">
        <f t="shared" si="91"/>
        <v/>
      </c>
      <c r="R213" s="127" t="str">
        <f t="shared" si="92"/>
        <v/>
      </c>
      <c r="S213" s="60" t="str">
        <f t="shared" si="83"/>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79"/>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80"/>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23</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16</v>
      </c>
      <c r="G214" s="105"/>
      <c r="H214" s="60">
        <f t="shared" si="75"/>
        <v>16</v>
      </c>
      <c r="I214" s="112">
        <f>IF(H214="","",IF($I$8="A",(RANK(H214,H$11:H$363,1)+COUNTIF(H$11:H214,H214)-1),(RANK(H214,H$11:H$363)+COUNTIF(H$11:H214,H214)-1)))</f>
        <v>61</v>
      </c>
      <c r="J214" s="58"/>
      <c r="K214" s="51" t="str">
        <f t="shared" si="89"/>
        <v/>
      </c>
      <c r="L214" s="59" t="str">
        <f t="shared" si="76"/>
        <v/>
      </c>
      <c r="M214" s="153" t="str">
        <f t="shared" si="81"/>
        <v/>
      </c>
      <c r="N214" s="148" t="str">
        <f t="shared" si="82"/>
        <v/>
      </c>
      <c r="O214" s="131" t="str">
        <f t="shared" si="77"/>
        <v/>
      </c>
      <c r="P214" s="131" t="str">
        <f t="shared" si="90"/>
        <v/>
      </c>
      <c r="Q214" s="131" t="str">
        <f t="shared" si="91"/>
        <v/>
      </c>
      <c r="R214" s="127" t="str">
        <f t="shared" si="92"/>
        <v/>
      </c>
      <c r="S214" s="60" t="str">
        <f t="shared" si="83"/>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79"/>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80"/>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16</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1"/>
        <v/>
      </c>
      <c r="N215" s="148" t="str">
        <f t="shared" si="82"/>
        <v/>
      </c>
      <c r="O215" s="131" t="str">
        <f t="shared" si="77"/>
        <v/>
      </c>
      <c r="P215" s="131" t="str">
        <f t="shared" si="90"/>
        <v/>
      </c>
      <c r="Q215" s="131" t="str">
        <f t="shared" si="91"/>
        <v/>
      </c>
      <c r="R215" s="127" t="str">
        <f t="shared" si="92"/>
        <v/>
      </c>
      <c r="S215" s="60" t="str">
        <f t="shared" si="83"/>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79"/>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80"/>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29</v>
      </c>
      <c r="G216" s="105"/>
      <c r="H216" s="60">
        <f t="shared" si="75"/>
        <v>29</v>
      </c>
      <c r="I216" s="112">
        <f>IF(H216="","",IF($I$8="A",(RANK(H216,H$11:H$363,1)+COUNTIF(H$11:H216,H216)-1),(RANK(H216,H$11:H$363)+COUNTIF(H$11:H216,H216)-1)))</f>
        <v>190</v>
      </c>
      <c r="J216" s="58"/>
      <c r="K216" s="51" t="str">
        <f t="shared" si="89"/>
        <v/>
      </c>
      <c r="L216" s="59" t="str">
        <f t="shared" si="76"/>
        <v/>
      </c>
      <c r="M216" s="153" t="str">
        <f t="shared" si="81"/>
        <v/>
      </c>
      <c r="N216" s="148" t="str">
        <f t="shared" si="82"/>
        <v/>
      </c>
      <c r="O216" s="131" t="str">
        <f t="shared" si="77"/>
        <v/>
      </c>
      <c r="P216" s="131" t="str">
        <f t="shared" si="90"/>
        <v/>
      </c>
      <c r="Q216" s="131" t="str">
        <f t="shared" si="91"/>
        <v/>
      </c>
      <c r="R216" s="127" t="str">
        <f t="shared" si="92"/>
        <v/>
      </c>
      <c r="S216" s="60" t="str">
        <f t="shared" si="83"/>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79"/>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80"/>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29</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1"/>
        <v/>
      </c>
      <c r="N217" s="148" t="str">
        <f t="shared" si="82"/>
        <v/>
      </c>
      <c r="O217" s="131" t="str">
        <f t="shared" si="77"/>
        <v/>
      </c>
      <c r="P217" s="131" t="str">
        <f t="shared" si="90"/>
        <v/>
      </c>
      <c r="Q217" s="131" t="str">
        <f t="shared" si="91"/>
        <v/>
      </c>
      <c r="R217" s="127" t="str">
        <f t="shared" si="92"/>
        <v/>
      </c>
      <c r="S217" s="60" t="str">
        <f t="shared" si="83"/>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79"/>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80"/>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15</v>
      </c>
      <c r="G218" s="105"/>
      <c r="H218" s="60" t="str">
        <f t="shared" si="75"/>
        <v/>
      </c>
      <c r="I218" s="112" t="str">
        <f>IF(H218="","",IF($I$8="A",(RANK(H218,H$11:H$363,1)+COUNTIF(H$11:H218,H218)-1),(RANK(H218,H$11:H$363)+COUNTIF(H$11:H218,H218)-1)))</f>
        <v/>
      </c>
      <c r="J218" s="58"/>
      <c r="K218" s="51" t="str">
        <f t="shared" si="89"/>
        <v/>
      </c>
      <c r="L218" s="59" t="str">
        <f t="shared" si="76"/>
        <v/>
      </c>
      <c r="M218" s="153" t="str">
        <f t="shared" si="81"/>
        <v/>
      </c>
      <c r="N218" s="148" t="str">
        <f t="shared" si="82"/>
        <v/>
      </c>
      <c r="O218" s="131" t="str">
        <f t="shared" si="77"/>
        <v/>
      </c>
      <c r="P218" s="131" t="str">
        <f t="shared" si="90"/>
        <v/>
      </c>
      <c r="Q218" s="131" t="str">
        <f t="shared" si="91"/>
        <v/>
      </c>
      <c r="R218" s="127" t="str">
        <f t="shared" si="92"/>
        <v/>
      </c>
      <c r="S218" s="60" t="str">
        <f t="shared" si="83"/>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79"/>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80"/>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15</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26</v>
      </c>
      <c r="G219" s="105"/>
      <c r="H219" s="60">
        <f t="shared" si="75"/>
        <v>26</v>
      </c>
      <c r="I219" s="112">
        <f>IF(H219="","",IF($I$8="A",(RANK(H219,H$11:H$363,1)+COUNTIF(H$11:H219,H219)-1),(RANK(H219,H$11:H$363)+COUNTIF(H$11:H219,H219)-1)))</f>
        <v>179</v>
      </c>
      <c r="J219" s="58"/>
      <c r="K219" s="51" t="str">
        <f t="shared" si="89"/>
        <v/>
      </c>
      <c r="L219" s="59" t="str">
        <f t="shared" si="76"/>
        <v/>
      </c>
      <c r="M219" s="153" t="str">
        <f t="shared" si="81"/>
        <v/>
      </c>
      <c r="N219" s="148" t="str">
        <f t="shared" si="82"/>
        <v/>
      </c>
      <c r="O219" s="131" t="str">
        <f t="shared" si="77"/>
        <v/>
      </c>
      <c r="P219" s="131" t="str">
        <f t="shared" si="90"/>
        <v/>
      </c>
      <c r="Q219" s="131" t="str">
        <f t="shared" si="91"/>
        <v/>
      </c>
      <c r="R219" s="127" t="str">
        <f t="shared" si="92"/>
        <v/>
      </c>
      <c r="S219" s="60" t="str">
        <f t="shared" si="83"/>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79"/>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80"/>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26</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1"/>
        <v/>
      </c>
      <c r="N220" s="148" t="str">
        <f t="shared" si="82"/>
        <v/>
      </c>
      <c r="O220" s="131" t="str">
        <f t="shared" si="77"/>
        <v/>
      </c>
      <c r="P220" s="131" t="str">
        <f t="shared" si="90"/>
        <v/>
      </c>
      <c r="Q220" s="131" t="str">
        <f t="shared" si="91"/>
        <v/>
      </c>
      <c r="R220" s="127" t="str">
        <f t="shared" si="92"/>
        <v/>
      </c>
      <c r="S220" s="60" t="str">
        <f t="shared" si="83"/>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79"/>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80"/>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348</v>
      </c>
      <c r="D221" s="49" t="str">
        <f>VLOOKUP($C221,classifications!$C:$J,4,FALSE)</f>
        <v>SD</v>
      </c>
      <c r="E221" s="49">
        <f>VLOOKUP(C221,classifications!C:K,9,FALSE)</f>
        <v>0</v>
      </c>
      <c r="F221" s="59">
        <f t="shared" si="74"/>
        <v>22</v>
      </c>
      <c r="G221" s="105"/>
      <c r="H221" s="60">
        <f t="shared" si="75"/>
        <v>22</v>
      </c>
      <c r="I221" s="112">
        <f>IF(H221="","",IF($I$8="A",(RANK(H221,H$11:H$363,1)+COUNTIF(H$11:H221,H221)-1),(RANK(H221,H$11:H$363)+COUNTIF(H$11:H221,H221)-1)))</f>
        <v>140</v>
      </c>
      <c r="J221" s="58"/>
      <c r="K221" s="51" t="str">
        <f t="shared" si="89"/>
        <v/>
      </c>
      <c r="L221" s="59" t="str">
        <f t="shared" si="76"/>
        <v/>
      </c>
      <c r="M221" s="153" t="str">
        <f t="shared" si="81"/>
        <v/>
      </c>
      <c r="N221" s="148" t="str">
        <f t="shared" si="82"/>
        <v/>
      </c>
      <c r="O221" s="131" t="str">
        <f t="shared" si="77"/>
        <v/>
      </c>
      <c r="P221" s="131" t="str">
        <f t="shared" si="90"/>
        <v/>
      </c>
      <c r="Q221" s="131" t="str">
        <f t="shared" si="91"/>
        <v/>
      </c>
      <c r="R221" s="127" t="str">
        <f t="shared" si="92"/>
        <v/>
      </c>
      <c r="S221" s="60" t="str">
        <f t="shared" si="83"/>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79"/>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80"/>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22</v>
      </c>
      <c r="AY221" s="156"/>
      <c r="AZ221" s="44"/>
    </row>
    <row r="222" spans="1:52">
      <c r="A222" s="84" t="str">
        <f>$D$1&amp;212</f>
        <v>SD212</v>
      </c>
      <c r="B222" s="85">
        <f>IF(ISERROR(VLOOKUP(A222,classifications!A:C,3,FALSE)),0,VLOOKUP(A222,classifications!A:C,3,FALSE))</f>
        <v>0</v>
      </c>
      <c r="C222" s="31" t="s">
        <v>349</v>
      </c>
      <c r="D222" s="49" t="str">
        <f>VLOOKUP($C222,classifications!$C:$J,4,FALSE)</f>
        <v>SD</v>
      </c>
      <c r="E222" s="49">
        <f>VLOOKUP(C222,classifications!C:K,9,FALSE)</f>
        <v>0</v>
      </c>
      <c r="F222" s="59">
        <f t="shared" si="74"/>
        <v>16</v>
      </c>
      <c r="G222" s="105"/>
      <c r="H222" s="60">
        <f t="shared" si="75"/>
        <v>16</v>
      </c>
      <c r="I222" s="112">
        <f>IF(H222="","",IF($I$8="A",(RANK(H222,H$11:H$363,1)+COUNTIF(H$11:H222,H222)-1),(RANK(H222,H$11:H$363)+COUNTIF(H$11:H222,H222)-1)))</f>
        <v>62</v>
      </c>
      <c r="J222" s="58"/>
      <c r="K222" s="51" t="str">
        <f t="shared" si="89"/>
        <v/>
      </c>
      <c r="L222" s="59" t="str">
        <f t="shared" si="76"/>
        <v/>
      </c>
      <c r="M222" s="153" t="str">
        <f t="shared" si="81"/>
        <v/>
      </c>
      <c r="N222" s="148" t="str">
        <f t="shared" si="82"/>
        <v/>
      </c>
      <c r="O222" s="131" t="str">
        <f t="shared" si="77"/>
        <v/>
      </c>
      <c r="P222" s="131" t="str">
        <f t="shared" si="90"/>
        <v/>
      </c>
      <c r="Q222" s="131" t="str">
        <f t="shared" si="91"/>
        <v/>
      </c>
      <c r="R222" s="127" t="str">
        <f t="shared" si="92"/>
        <v/>
      </c>
      <c r="S222" s="60" t="str">
        <f t="shared" si="83"/>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79"/>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80"/>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16</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39</v>
      </c>
      <c r="G223" s="105"/>
      <c r="H223" s="60" t="str">
        <f t="shared" si="75"/>
        <v/>
      </c>
      <c r="I223" s="112" t="str">
        <f>IF(H223="","",IF($I$8="A",(RANK(H223,H$11:H$363,1)+COUNTIF(H$11:H223,H223)-1),(RANK(H223,H$11:H$363)+COUNTIF(H$11:H223,H223)-1)))</f>
        <v/>
      </c>
      <c r="J223" s="58"/>
      <c r="K223" s="51" t="str">
        <f t="shared" si="89"/>
        <v/>
      </c>
      <c r="L223" s="59" t="str">
        <f t="shared" si="76"/>
        <v/>
      </c>
      <c r="M223" s="153" t="str">
        <f t="shared" si="81"/>
        <v/>
      </c>
      <c r="N223" s="148" t="str">
        <f t="shared" si="82"/>
        <v/>
      </c>
      <c r="O223" s="131" t="str">
        <f t="shared" si="77"/>
        <v/>
      </c>
      <c r="P223" s="131" t="str">
        <f t="shared" si="90"/>
        <v/>
      </c>
      <c r="Q223" s="131" t="str">
        <f t="shared" si="91"/>
        <v/>
      </c>
      <c r="R223" s="127" t="str">
        <f t="shared" si="92"/>
        <v/>
      </c>
      <c r="S223" s="60" t="str">
        <f t="shared" si="83"/>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79"/>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80"/>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39</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12</v>
      </c>
      <c r="G224" s="105"/>
      <c r="H224" s="60">
        <f t="shared" si="75"/>
        <v>12</v>
      </c>
      <c r="I224" s="112">
        <f>IF(H224="","",IF($I$8="A",(RANK(H224,H$11:H$363,1)+COUNTIF(H$11:H224,H224)-1),(RANK(H224,H$11:H$363)+COUNTIF(H$11:H224,H224)-1)))</f>
        <v>19</v>
      </c>
      <c r="J224" s="58"/>
      <c r="K224" s="51" t="str">
        <f t="shared" si="89"/>
        <v/>
      </c>
      <c r="L224" s="59" t="str">
        <f t="shared" si="76"/>
        <v/>
      </c>
      <c r="M224" s="153" t="str">
        <f t="shared" si="81"/>
        <v/>
      </c>
      <c r="N224" s="148" t="str">
        <f t="shared" si="82"/>
        <v/>
      </c>
      <c r="O224" s="131" t="str">
        <f t="shared" si="77"/>
        <v/>
      </c>
      <c r="P224" s="131" t="str">
        <f t="shared" si="90"/>
        <v/>
      </c>
      <c r="Q224" s="131" t="str">
        <f t="shared" si="91"/>
        <v/>
      </c>
      <c r="R224" s="127" t="str">
        <f t="shared" si="92"/>
        <v/>
      </c>
      <c r="S224" s="60" t="str">
        <f t="shared" si="83"/>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79"/>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80"/>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12</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1"/>
        <v/>
      </c>
      <c r="N225" s="148" t="str">
        <f t="shared" si="82"/>
        <v/>
      </c>
      <c r="O225" s="131" t="str">
        <f t="shared" si="77"/>
        <v/>
      </c>
      <c r="P225" s="131" t="str">
        <f t="shared" si="90"/>
        <v/>
      </c>
      <c r="Q225" s="131" t="str">
        <f t="shared" si="91"/>
        <v/>
      </c>
      <c r="R225" s="127" t="str">
        <f t="shared" si="92"/>
        <v/>
      </c>
      <c r="S225" s="60" t="str">
        <f t="shared" si="83"/>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79"/>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80"/>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20</v>
      </c>
      <c r="G226" s="105"/>
      <c r="H226" s="60">
        <f t="shared" si="75"/>
        <v>20</v>
      </c>
      <c r="I226" s="112">
        <f>IF(H226="","",IF($I$8="A",(RANK(H226,H$11:H$363,1)+COUNTIF(H$11:H226,H226)-1),(RANK(H226,H$11:H$363)+COUNTIF(H$11:H226,H226)-1)))</f>
        <v>115</v>
      </c>
      <c r="J226" s="58"/>
      <c r="K226" s="51" t="str">
        <f t="shared" si="89"/>
        <v/>
      </c>
      <c r="L226" s="59" t="str">
        <f t="shared" si="76"/>
        <v/>
      </c>
      <c r="M226" s="153" t="str">
        <f t="shared" si="81"/>
        <v/>
      </c>
      <c r="N226" s="148" t="str">
        <f t="shared" si="82"/>
        <v/>
      </c>
      <c r="O226" s="131" t="str">
        <f t="shared" si="77"/>
        <v/>
      </c>
      <c r="P226" s="131" t="str">
        <f t="shared" si="90"/>
        <v/>
      </c>
      <c r="Q226" s="131" t="str">
        <f t="shared" si="91"/>
        <v/>
      </c>
      <c r="R226" s="127" t="str">
        <f t="shared" si="92"/>
        <v/>
      </c>
      <c r="S226" s="60" t="str">
        <f t="shared" si="83"/>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79"/>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80"/>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20</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23</v>
      </c>
      <c r="G227" s="105"/>
      <c r="H227" s="60" t="str">
        <f t="shared" si="75"/>
        <v/>
      </c>
      <c r="I227" s="112" t="str">
        <f>IF(H227="","",IF($I$8="A",(RANK(H227,H$11:H$363,1)+COUNTIF(H$11:H227,H227)-1),(RANK(H227,H$11:H$363)+COUNTIF(H$11:H227,H227)-1)))</f>
        <v/>
      </c>
      <c r="J227" s="58"/>
      <c r="K227" s="51" t="str">
        <f t="shared" si="89"/>
        <v/>
      </c>
      <c r="L227" s="59" t="str">
        <f t="shared" si="76"/>
        <v/>
      </c>
      <c r="M227" s="153" t="str">
        <f t="shared" si="81"/>
        <v/>
      </c>
      <c r="N227" s="148" t="str">
        <f t="shared" si="82"/>
        <v/>
      </c>
      <c r="O227" s="131" t="str">
        <f t="shared" si="77"/>
        <v/>
      </c>
      <c r="P227" s="131" t="str">
        <f t="shared" si="90"/>
        <v/>
      </c>
      <c r="Q227" s="131" t="str">
        <f t="shared" si="91"/>
        <v/>
      </c>
      <c r="R227" s="127" t="str">
        <f t="shared" si="92"/>
        <v/>
      </c>
      <c r="S227" s="60" t="str">
        <f t="shared" si="83"/>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79"/>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80"/>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23</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19</v>
      </c>
      <c r="G228" s="105"/>
      <c r="H228" s="60" t="str">
        <f t="shared" si="75"/>
        <v/>
      </c>
      <c r="I228" s="112" t="str">
        <f>IF(H228="","",IF($I$8="A",(RANK(H228,H$11:H$363,1)+COUNTIF(H$11:H228,H228)-1),(RANK(H228,H$11:H$363)+COUNTIF(H$11:H228,H228)-1)))</f>
        <v/>
      </c>
      <c r="J228" s="58"/>
      <c r="K228" s="51" t="str">
        <f t="shared" si="89"/>
        <v/>
      </c>
      <c r="L228" s="59" t="str">
        <f t="shared" si="76"/>
        <v/>
      </c>
      <c r="M228" s="153" t="str">
        <f t="shared" si="81"/>
        <v/>
      </c>
      <c r="N228" s="148" t="str">
        <f t="shared" si="82"/>
        <v/>
      </c>
      <c r="O228" s="131" t="str">
        <f t="shared" si="77"/>
        <v/>
      </c>
      <c r="P228" s="131" t="str">
        <f t="shared" si="90"/>
        <v/>
      </c>
      <c r="Q228" s="131" t="str">
        <f t="shared" si="91"/>
        <v/>
      </c>
      <c r="R228" s="127" t="str">
        <f t="shared" si="92"/>
        <v/>
      </c>
      <c r="S228" s="60" t="str">
        <f t="shared" si="83"/>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79"/>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80"/>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19</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18</v>
      </c>
      <c r="G229" s="105"/>
      <c r="H229" s="60" t="str">
        <f t="shared" si="75"/>
        <v/>
      </c>
      <c r="I229" s="112" t="str">
        <f>IF(H229="","",IF($I$8="A",(RANK(H229,H$11:H$363,1)+COUNTIF(H$11:H229,H229)-1),(RANK(H229,H$11:H$363)+COUNTIF(H$11:H229,H229)-1)))</f>
        <v/>
      </c>
      <c r="J229" s="58"/>
      <c r="K229" s="51" t="str">
        <f t="shared" si="89"/>
        <v/>
      </c>
      <c r="L229" s="59" t="str">
        <f t="shared" si="76"/>
        <v/>
      </c>
      <c r="M229" s="153" t="str">
        <f t="shared" si="81"/>
        <v/>
      </c>
      <c r="N229" s="148" t="str">
        <f t="shared" si="82"/>
        <v/>
      </c>
      <c r="O229" s="131" t="str">
        <f t="shared" si="77"/>
        <v/>
      </c>
      <c r="P229" s="131" t="str">
        <f t="shared" si="90"/>
        <v/>
      </c>
      <c r="Q229" s="131" t="str">
        <f t="shared" si="91"/>
        <v/>
      </c>
      <c r="R229" s="127" t="str">
        <f t="shared" si="92"/>
        <v/>
      </c>
      <c r="S229" s="60" t="str">
        <f t="shared" si="83"/>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79"/>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80"/>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18</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30</v>
      </c>
      <c r="G230" s="105"/>
      <c r="H230" s="60" t="str">
        <f t="shared" si="75"/>
        <v/>
      </c>
      <c r="I230" s="112" t="str">
        <f>IF(H230="","",IF($I$8="A",(RANK(H230,H$11:H$363,1)+COUNTIF(H$11:H230,H230)-1),(RANK(H230,H$11:H$363)+COUNTIF(H$11:H230,H230)-1)))</f>
        <v/>
      </c>
      <c r="J230" s="58"/>
      <c r="K230" s="51" t="str">
        <f t="shared" si="89"/>
        <v/>
      </c>
      <c r="L230" s="59" t="str">
        <f t="shared" si="76"/>
        <v/>
      </c>
      <c r="M230" s="153" t="str">
        <f t="shared" si="81"/>
        <v/>
      </c>
      <c r="N230" s="148" t="str">
        <f t="shared" si="82"/>
        <v/>
      </c>
      <c r="O230" s="131" t="str">
        <f t="shared" si="77"/>
        <v/>
      </c>
      <c r="P230" s="131" t="str">
        <f t="shared" si="90"/>
        <v/>
      </c>
      <c r="Q230" s="131" t="str">
        <f t="shared" si="91"/>
        <v/>
      </c>
      <c r="R230" s="127" t="str">
        <f t="shared" si="92"/>
        <v/>
      </c>
      <c r="S230" s="60" t="str">
        <f t="shared" si="83"/>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79"/>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80"/>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30</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14</v>
      </c>
      <c r="G231" s="105"/>
      <c r="H231" s="60">
        <f t="shared" si="75"/>
        <v>14</v>
      </c>
      <c r="I231" s="112">
        <f>IF(H231="","",IF($I$8="A",(RANK(H231,H$11:H$363,1)+COUNTIF(H$11:H231,H231)-1),(RANK(H231,H$11:H$363)+COUNTIF(H$11:H231,H231)-1)))</f>
        <v>29</v>
      </c>
      <c r="J231" s="58"/>
      <c r="K231" s="51" t="str">
        <f t="shared" si="89"/>
        <v/>
      </c>
      <c r="L231" s="59" t="str">
        <f t="shared" si="76"/>
        <v/>
      </c>
      <c r="M231" s="153" t="str">
        <f t="shared" si="81"/>
        <v/>
      </c>
      <c r="N231" s="148" t="str">
        <f t="shared" si="82"/>
        <v/>
      </c>
      <c r="O231" s="131" t="str">
        <f t="shared" si="77"/>
        <v/>
      </c>
      <c r="P231" s="131" t="str">
        <f t="shared" si="90"/>
        <v/>
      </c>
      <c r="Q231" s="131" t="str">
        <f t="shared" si="91"/>
        <v/>
      </c>
      <c r="R231" s="127" t="str">
        <f t="shared" si="92"/>
        <v/>
      </c>
      <c r="S231" s="60" t="str">
        <f t="shared" si="83"/>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79"/>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80"/>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14</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24</v>
      </c>
      <c r="G232" s="105"/>
      <c r="H232" s="60">
        <f t="shared" si="75"/>
        <v>24</v>
      </c>
      <c r="I232" s="112">
        <f>IF(H232="","",IF($I$8="A",(RANK(H232,H$11:H$363,1)+COUNTIF(H$11:H232,H232)-1),(RANK(H232,H$11:H$363)+COUNTIF(H$11:H232,H232)-1)))</f>
        <v>161</v>
      </c>
      <c r="J232" s="58"/>
      <c r="K232" s="51" t="str">
        <f t="shared" si="89"/>
        <v/>
      </c>
      <c r="L232" s="59" t="str">
        <f t="shared" si="76"/>
        <v/>
      </c>
      <c r="M232" s="153" t="str">
        <f t="shared" si="81"/>
        <v/>
      </c>
      <c r="N232" s="148" t="str">
        <f t="shared" si="82"/>
        <v/>
      </c>
      <c r="O232" s="131" t="str">
        <f t="shared" si="77"/>
        <v/>
      </c>
      <c r="P232" s="131" t="str">
        <f t="shared" si="90"/>
        <v/>
      </c>
      <c r="Q232" s="131" t="str">
        <f t="shared" si="91"/>
        <v/>
      </c>
      <c r="R232" s="127" t="str">
        <f t="shared" si="92"/>
        <v/>
      </c>
      <c r="S232" s="60" t="str">
        <f t="shared" si="83"/>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79"/>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80"/>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24</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23</v>
      </c>
      <c r="G233" s="105"/>
      <c r="H233" s="60" t="str">
        <f t="shared" si="75"/>
        <v/>
      </c>
      <c r="I233" s="112" t="str">
        <f>IF(H233="","",IF($I$8="A",(RANK(H233,H$11:H$363,1)+COUNTIF(H$11:H233,H233)-1),(RANK(H233,H$11:H$363)+COUNTIF(H$11:H233,H233)-1)))</f>
        <v/>
      </c>
      <c r="J233" s="58"/>
      <c r="K233" s="51" t="str">
        <f t="shared" si="89"/>
        <v/>
      </c>
      <c r="L233" s="59" t="str">
        <f t="shared" si="76"/>
        <v/>
      </c>
      <c r="M233" s="153" t="str">
        <f t="shared" si="81"/>
        <v/>
      </c>
      <c r="N233" s="148" t="str">
        <f t="shared" si="82"/>
        <v/>
      </c>
      <c r="O233" s="131" t="str">
        <f t="shared" si="77"/>
        <v/>
      </c>
      <c r="P233" s="131" t="str">
        <f t="shared" si="90"/>
        <v/>
      </c>
      <c r="Q233" s="131" t="str">
        <f t="shared" si="91"/>
        <v/>
      </c>
      <c r="R233" s="127" t="str">
        <f t="shared" si="92"/>
        <v/>
      </c>
      <c r="S233" s="60" t="str">
        <f t="shared" si="83"/>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79"/>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80"/>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23</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26</v>
      </c>
      <c r="G234" s="105"/>
      <c r="H234" s="60" t="str">
        <f t="shared" si="75"/>
        <v/>
      </c>
      <c r="I234" s="112" t="str">
        <f>IF(H234="","",IF($I$8="A",(RANK(H234,H$11:H$363,1)+COUNTIF(H$11:H234,H234)-1),(RANK(H234,H$11:H$363)+COUNTIF(H$11:H234,H234)-1)))</f>
        <v/>
      </c>
      <c r="J234" s="58"/>
      <c r="K234" s="51" t="str">
        <f t="shared" si="89"/>
        <v/>
      </c>
      <c r="L234" s="59" t="str">
        <f t="shared" si="76"/>
        <v/>
      </c>
      <c r="M234" s="153" t="str">
        <f t="shared" si="81"/>
        <v/>
      </c>
      <c r="N234" s="148" t="str">
        <f t="shared" si="82"/>
        <v/>
      </c>
      <c r="O234" s="131" t="str">
        <f t="shared" si="77"/>
        <v/>
      </c>
      <c r="P234" s="131" t="str">
        <f t="shared" si="90"/>
        <v/>
      </c>
      <c r="Q234" s="131" t="str">
        <f t="shared" si="91"/>
        <v/>
      </c>
      <c r="R234" s="127" t="str">
        <f t="shared" si="92"/>
        <v/>
      </c>
      <c r="S234" s="60" t="str">
        <f t="shared" si="83"/>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79"/>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80"/>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26</v>
      </c>
      <c r="AY234" s="156"/>
      <c r="AZ234" s="44"/>
    </row>
    <row r="235" spans="1:52">
      <c r="A235" s="84" t="str">
        <f>$D$1&amp;225</f>
        <v>SD225</v>
      </c>
      <c r="B235" s="85">
        <f>IF(ISERROR(VLOOKUP(A235,classifications!A:C,3,FALSE)),0,VLOOKUP(A235,classifications!A:C,3,FALSE))</f>
        <v>0</v>
      </c>
      <c r="C235" s="31" t="s">
        <v>812</v>
      </c>
      <c r="D235" s="49" t="str">
        <f>VLOOKUP($C235,classifications!$C:$J,4,FALSE)</f>
        <v>UA</v>
      </c>
      <c r="E235" s="49">
        <f>VLOOKUP(C235,classifications!C:K,9,FALSE)</f>
        <v>0</v>
      </c>
      <c r="F235" s="59">
        <f t="shared" si="74"/>
        <v>19</v>
      </c>
      <c r="G235" s="105"/>
      <c r="H235" s="60" t="str">
        <f t="shared" si="75"/>
        <v/>
      </c>
      <c r="I235" s="112" t="str">
        <f>IF(H235="","",IF($I$8="A",(RANK(H235,H$11:H$363,1)+COUNTIF(H$11:H235,H235)-1),(RANK(H235,H$11:H$363)+COUNTIF(H$11:H235,H235)-1)))</f>
        <v/>
      </c>
      <c r="J235" s="58"/>
      <c r="K235" s="51" t="str">
        <f t="shared" si="89"/>
        <v/>
      </c>
      <c r="L235" s="59" t="str">
        <f t="shared" si="76"/>
        <v/>
      </c>
      <c r="M235" s="153" t="str">
        <f t="shared" si="81"/>
        <v/>
      </c>
      <c r="N235" s="148" t="str">
        <f t="shared" si="82"/>
        <v/>
      </c>
      <c r="O235" s="131" t="str">
        <f t="shared" si="77"/>
        <v/>
      </c>
      <c r="P235" s="131" t="str">
        <f t="shared" si="90"/>
        <v/>
      </c>
      <c r="Q235" s="131" t="str">
        <f t="shared" si="91"/>
        <v/>
      </c>
      <c r="R235" s="127" t="str">
        <f t="shared" si="92"/>
        <v/>
      </c>
      <c r="S235" s="60" t="str">
        <f t="shared" si="83"/>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79"/>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80"/>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19</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16</v>
      </c>
      <c r="G236" s="105"/>
      <c r="H236" s="60">
        <f t="shared" si="75"/>
        <v>16</v>
      </c>
      <c r="I236" s="112">
        <f>IF(H236="","",IF($I$8="A",(RANK(H236,H$11:H$363,1)+COUNTIF(H$11:H236,H236)-1),(RANK(H236,H$11:H$363)+COUNTIF(H$11:H236,H236)-1)))</f>
        <v>63</v>
      </c>
      <c r="J236" s="58"/>
      <c r="K236" s="51" t="str">
        <f t="shared" si="89"/>
        <v/>
      </c>
      <c r="L236" s="59" t="str">
        <f t="shared" si="76"/>
        <v/>
      </c>
      <c r="M236" s="153" t="str">
        <f t="shared" si="81"/>
        <v/>
      </c>
      <c r="N236" s="148" t="str">
        <f t="shared" si="82"/>
        <v/>
      </c>
      <c r="O236" s="131" t="str">
        <f t="shared" si="77"/>
        <v/>
      </c>
      <c r="P236" s="131" t="str">
        <f t="shared" si="90"/>
        <v/>
      </c>
      <c r="Q236" s="131" t="str">
        <f t="shared" si="91"/>
        <v/>
      </c>
      <c r="R236" s="127" t="str">
        <f t="shared" si="92"/>
        <v/>
      </c>
      <c r="S236" s="60" t="str">
        <f t="shared" si="83"/>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79"/>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80"/>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16</v>
      </c>
      <c r="AY236" s="156"/>
      <c r="AZ236" s="44"/>
    </row>
    <row r="237" spans="1:52">
      <c r="A237" s="84" t="str">
        <f>$D$1&amp;227</f>
        <v>SD227</v>
      </c>
      <c r="B237" s="85">
        <f>IF(ISERROR(VLOOKUP(A237,classifications!A:C,3,FALSE)),0,VLOOKUP(A237,classifications!A:C,3,FALSE))</f>
        <v>0</v>
      </c>
      <c r="C237" s="31" t="s">
        <v>350</v>
      </c>
      <c r="D237" s="49" t="str">
        <f>VLOOKUP($C237,classifications!$C:$J,4,FALSE)</f>
        <v>SD</v>
      </c>
      <c r="E237" s="49">
        <f>VLOOKUP(C237,classifications!C:K,9,FALSE)</f>
        <v>0</v>
      </c>
      <c r="F237" s="59">
        <f t="shared" si="74"/>
        <v>22</v>
      </c>
      <c r="G237" s="105"/>
      <c r="H237" s="60">
        <f t="shared" si="75"/>
        <v>22</v>
      </c>
      <c r="I237" s="112">
        <f>IF(H237="","",IF($I$8="A",(RANK(H237,H$11:H$363,1)+COUNTIF(H$11:H237,H237)-1),(RANK(H237,H$11:H$363)+COUNTIF(H$11:H237,H237)-1)))</f>
        <v>141</v>
      </c>
      <c r="J237" s="58"/>
      <c r="K237" s="51" t="str">
        <f t="shared" si="89"/>
        <v/>
      </c>
      <c r="L237" s="59" t="str">
        <f t="shared" si="76"/>
        <v/>
      </c>
      <c r="M237" s="153" t="str">
        <f t="shared" si="81"/>
        <v/>
      </c>
      <c r="N237" s="148" t="str">
        <f t="shared" si="82"/>
        <v/>
      </c>
      <c r="O237" s="131" t="str">
        <f t="shared" si="77"/>
        <v/>
      </c>
      <c r="P237" s="131" t="str">
        <f t="shared" si="90"/>
        <v/>
      </c>
      <c r="Q237" s="131" t="str">
        <f t="shared" si="91"/>
        <v/>
      </c>
      <c r="R237" s="127" t="str">
        <f t="shared" si="92"/>
        <v/>
      </c>
      <c r="S237" s="60" t="str">
        <f t="shared" si="83"/>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79"/>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80"/>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22</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19</v>
      </c>
      <c r="G238" s="105"/>
      <c r="H238" s="60">
        <f t="shared" si="75"/>
        <v>19</v>
      </c>
      <c r="I238" s="112">
        <f>IF(H238="","",IF($I$8="A",(RANK(H238,H$11:H$363,1)+COUNTIF(H$11:H238,H238)-1),(RANK(H238,H$11:H$363)+COUNTIF(H$11:H238,H238)-1)))</f>
        <v>101</v>
      </c>
      <c r="J238" s="58"/>
      <c r="K238" s="51" t="str">
        <f t="shared" si="89"/>
        <v/>
      </c>
      <c r="L238" s="59" t="str">
        <f t="shared" si="76"/>
        <v/>
      </c>
      <c r="M238" s="153" t="str">
        <f t="shared" si="81"/>
        <v/>
      </c>
      <c r="N238" s="148" t="str">
        <f t="shared" si="82"/>
        <v/>
      </c>
      <c r="O238" s="131" t="str">
        <f t="shared" si="77"/>
        <v/>
      </c>
      <c r="P238" s="131" t="str">
        <f t="shared" si="90"/>
        <v/>
      </c>
      <c r="Q238" s="131" t="str">
        <f t="shared" si="91"/>
        <v/>
      </c>
      <c r="R238" s="127" t="str">
        <f t="shared" si="92"/>
        <v/>
      </c>
      <c r="S238" s="60" t="str">
        <f t="shared" si="83"/>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79"/>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80"/>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19</v>
      </c>
      <c r="AY238" s="156"/>
      <c r="AZ238" s="44"/>
    </row>
    <row r="239" spans="1:52">
      <c r="A239" s="84" t="str">
        <f>$D$1&amp;229</f>
        <v>SD229</v>
      </c>
      <c r="B239" s="85">
        <f>IF(ISERROR(VLOOKUP(A239,classifications!A:C,3,FALSE)),0,VLOOKUP(A239,classifications!A:C,3,FALSE))</f>
        <v>0</v>
      </c>
      <c r="C239" s="31" t="s">
        <v>396</v>
      </c>
      <c r="D239" s="49" t="str">
        <f>VLOOKUP($C239,classifications!$C:$J,4,FALSE)</f>
        <v>L</v>
      </c>
      <c r="E239" s="49">
        <f>VLOOKUP(C239,classifications!C:K,9,FALSE)</f>
        <v>0</v>
      </c>
      <c r="F239" s="59">
        <f t="shared" si="74"/>
        <v>18</v>
      </c>
      <c r="G239" s="105"/>
      <c r="H239" s="60" t="str">
        <f t="shared" si="75"/>
        <v/>
      </c>
      <c r="I239" s="112" t="str">
        <f>IF(H239="","",IF($I$8="A",(RANK(H239,H$11:H$363,1)+COUNTIF(H$11:H239,H239)-1),(RANK(H239,H$11:H$363)+COUNTIF(H$11:H239,H239)-1)))</f>
        <v/>
      </c>
      <c r="J239" s="58"/>
      <c r="K239" s="51" t="str">
        <f t="shared" si="89"/>
        <v/>
      </c>
      <c r="L239" s="59" t="str">
        <f t="shared" si="76"/>
        <v/>
      </c>
      <c r="M239" s="153" t="str">
        <f t="shared" si="81"/>
        <v/>
      </c>
      <c r="N239" s="148" t="str">
        <f t="shared" si="82"/>
        <v/>
      </c>
      <c r="O239" s="131" t="str">
        <f t="shared" si="77"/>
        <v/>
      </c>
      <c r="P239" s="131" t="str">
        <f t="shared" si="90"/>
        <v/>
      </c>
      <c r="Q239" s="131" t="str">
        <f t="shared" si="91"/>
        <v/>
      </c>
      <c r="R239" s="127" t="str">
        <f t="shared" si="92"/>
        <v/>
      </c>
      <c r="S239" s="60" t="str">
        <f t="shared" si="83"/>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79"/>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80"/>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18</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25</v>
      </c>
      <c r="G240" s="105"/>
      <c r="H240" s="60">
        <f t="shared" si="75"/>
        <v>25</v>
      </c>
      <c r="I240" s="112">
        <f>IF(H240="","",IF($I$8="A",(RANK(H240,H$11:H$363,1)+COUNTIF(H$11:H240,H240)-1),(RANK(H240,H$11:H$363)+COUNTIF(H$11:H240,H240)-1)))</f>
        <v>172</v>
      </c>
      <c r="J240" s="58"/>
      <c r="K240" s="51" t="str">
        <f t="shared" si="89"/>
        <v/>
      </c>
      <c r="L240" s="59" t="str">
        <f t="shared" si="76"/>
        <v/>
      </c>
      <c r="M240" s="153" t="str">
        <f t="shared" si="81"/>
        <v/>
      </c>
      <c r="N240" s="148" t="str">
        <f t="shared" si="82"/>
        <v/>
      </c>
      <c r="O240" s="131" t="str">
        <f t="shared" si="77"/>
        <v/>
      </c>
      <c r="P240" s="131" t="str">
        <f t="shared" si="90"/>
        <v/>
      </c>
      <c r="Q240" s="131" t="str">
        <f t="shared" si="91"/>
        <v/>
      </c>
      <c r="R240" s="127" t="str">
        <f t="shared" si="92"/>
        <v/>
      </c>
      <c r="S240" s="60" t="str">
        <f t="shared" si="83"/>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79"/>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80"/>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25</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30</v>
      </c>
      <c r="G241" s="105"/>
      <c r="H241" s="60" t="str">
        <f t="shared" si="75"/>
        <v/>
      </c>
      <c r="I241" s="112" t="str">
        <f>IF(H241="","",IF($I$8="A",(RANK(H241,H$11:H$363,1)+COUNTIF(H$11:H241,H241)-1),(RANK(H241,H$11:H$363)+COUNTIF(H$11:H241,H241)-1)))</f>
        <v/>
      </c>
      <c r="J241" s="58"/>
      <c r="K241" s="51" t="str">
        <f t="shared" si="89"/>
        <v/>
      </c>
      <c r="L241" s="59" t="str">
        <f t="shared" si="76"/>
        <v/>
      </c>
      <c r="M241" s="153" t="str">
        <f t="shared" si="81"/>
        <v/>
      </c>
      <c r="N241" s="148" t="str">
        <f t="shared" si="82"/>
        <v/>
      </c>
      <c r="O241" s="131" t="str">
        <f t="shared" si="77"/>
        <v/>
      </c>
      <c r="P241" s="131" t="str">
        <f t="shared" si="90"/>
        <v/>
      </c>
      <c r="Q241" s="131" t="str">
        <f t="shared" si="91"/>
        <v/>
      </c>
      <c r="R241" s="127" t="str">
        <f t="shared" si="92"/>
        <v/>
      </c>
      <c r="S241" s="60" t="str">
        <f t="shared" si="83"/>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79"/>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80"/>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30</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16</v>
      </c>
      <c r="G242" s="105"/>
      <c r="H242" s="60">
        <f t="shared" si="75"/>
        <v>16</v>
      </c>
      <c r="I242" s="112">
        <f>IF(H242="","",IF($I$8="A",(RANK(H242,H$11:H$363,1)+COUNTIF(H$11:H242,H242)-1),(RANK(H242,H$11:H$363)+COUNTIF(H$11:H242,H242)-1)))</f>
        <v>64</v>
      </c>
      <c r="J242" s="58"/>
      <c r="K242" s="51" t="str">
        <f t="shared" si="89"/>
        <v/>
      </c>
      <c r="L242" s="59" t="str">
        <f t="shared" si="76"/>
        <v/>
      </c>
      <c r="M242" s="153" t="str">
        <f t="shared" si="81"/>
        <v/>
      </c>
      <c r="N242" s="148" t="str">
        <f t="shared" si="82"/>
        <v/>
      </c>
      <c r="O242" s="131" t="str">
        <f t="shared" si="77"/>
        <v/>
      </c>
      <c r="P242" s="131" t="str">
        <f t="shared" si="90"/>
        <v/>
      </c>
      <c r="Q242" s="131" t="str">
        <f t="shared" si="91"/>
        <v/>
      </c>
      <c r="R242" s="127" t="str">
        <f t="shared" si="92"/>
        <v/>
      </c>
      <c r="S242" s="60" t="str">
        <f t="shared" si="83"/>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79"/>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80"/>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16</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29</v>
      </c>
      <c r="G243" s="105"/>
      <c r="H243" s="60">
        <f t="shared" si="75"/>
        <v>29</v>
      </c>
      <c r="I243" s="112">
        <f>IF(H243="","",IF($I$8="A",(RANK(H243,H$11:H$363,1)+COUNTIF(H$11:H243,H243)-1),(RANK(H243,H$11:H$363)+COUNTIF(H$11:H243,H243)-1)))</f>
        <v>191</v>
      </c>
      <c r="J243" s="58"/>
      <c r="K243" s="51" t="str">
        <f t="shared" si="89"/>
        <v/>
      </c>
      <c r="L243" s="59" t="str">
        <f t="shared" si="76"/>
        <v/>
      </c>
      <c r="M243" s="153" t="str">
        <f t="shared" si="81"/>
        <v/>
      </c>
      <c r="N243" s="148" t="str">
        <f t="shared" si="82"/>
        <v/>
      </c>
      <c r="O243" s="131" t="str">
        <f t="shared" si="77"/>
        <v/>
      </c>
      <c r="P243" s="131" t="str">
        <f t="shared" si="90"/>
        <v/>
      </c>
      <c r="Q243" s="131" t="str">
        <f t="shared" si="91"/>
        <v/>
      </c>
      <c r="R243" s="127" t="str">
        <f t="shared" si="92"/>
        <v/>
      </c>
      <c r="S243" s="60" t="str">
        <f t="shared" si="83"/>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79"/>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80"/>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29</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32</v>
      </c>
      <c r="G244" s="105"/>
      <c r="H244" s="60">
        <f t="shared" si="75"/>
        <v>32</v>
      </c>
      <c r="I244" s="112">
        <f>IF(H244="","",IF($I$8="A",(RANK(H244,H$11:H$363,1)+COUNTIF(H$11:H244,H244)-1),(RANK(H244,H$11:H$363)+COUNTIF(H$11:H244,H244)-1)))</f>
        <v>197</v>
      </c>
      <c r="J244" s="58"/>
      <c r="K244" s="51" t="str">
        <f t="shared" si="89"/>
        <v/>
      </c>
      <c r="L244" s="59" t="str">
        <f t="shared" si="76"/>
        <v/>
      </c>
      <c r="M244" s="153" t="str">
        <f t="shared" si="81"/>
        <v/>
      </c>
      <c r="N244" s="148" t="str">
        <f t="shared" si="82"/>
        <v/>
      </c>
      <c r="O244" s="131" t="str">
        <f t="shared" si="77"/>
        <v/>
      </c>
      <c r="P244" s="131" t="str">
        <f t="shared" si="90"/>
        <v/>
      </c>
      <c r="Q244" s="131" t="str">
        <f t="shared" si="91"/>
        <v/>
      </c>
      <c r="R244" s="127" t="str">
        <f t="shared" si="92"/>
        <v/>
      </c>
      <c r="S244" s="60" t="str">
        <f t="shared" si="83"/>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79"/>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80"/>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32</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19</v>
      </c>
      <c r="G245" s="105"/>
      <c r="H245" s="60" t="str">
        <f t="shared" si="75"/>
        <v/>
      </c>
      <c r="I245" s="112" t="str">
        <f>IF(H245="","",IF($I$8="A",(RANK(H245,H$11:H$363,1)+COUNTIF(H$11:H245,H245)-1),(RANK(H245,H$11:H$363)+COUNTIF(H$11:H245,H245)-1)))</f>
        <v/>
      </c>
      <c r="J245" s="58"/>
      <c r="K245" s="51" t="str">
        <f t="shared" si="89"/>
        <v/>
      </c>
      <c r="L245" s="59" t="str">
        <f t="shared" si="76"/>
        <v/>
      </c>
      <c r="M245" s="153" t="str">
        <f t="shared" si="81"/>
        <v/>
      </c>
      <c r="N245" s="148" t="str">
        <f t="shared" si="82"/>
        <v/>
      </c>
      <c r="O245" s="131" t="str">
        <f t="shared" si="77"/>
        <v/>
      </c>
      <c r="P245" s="131" t="str">
        <f t="shared" si="90"/>
        <v/>
      </c>
      <c r="Q245" s="131" t="str">
        <f t="shared" si="91"/>
        <v/>
      </c>
      <c r="R245" s="127" t="str">
        <f t="shared" si="92"/>
        <v/>
      </c>
      <c r="S245" s="60" t="str">
        <f t="shared" si="83"/>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79"/>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80"/>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19</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20</v>
      </c>
      <c r="G246" s="105"/>
      <c r="H246" s="60">
        <f t="shared" si="75"/>
        <v>20</v>
      </c>
      <c r="I246" s="112">
        <f>IF(H246="","",IF($I$8="A",(RANK(H246,H$11:H$363,1)+COUNTIF(H$11:H246,H246)-1),(RANK(H246,H$11:H$363)+COUNTIF(H$11:H246,H246)-1)))</f>
        <v>116</v>
      </c>
      <c r="J246" s="58"/>
      <c r="K246" s="51" t="str">
        <f t="shared" si="89"/>
        <v/>
      </c>
      <c r="L246" s="59" t="str">
        <f t="shared" si="76"/>
        <v/>
      </c>
      <c r="M246" s="153" t="str">
        <f t="shared" si="81"/>
        <v/>
      </c>
      <c r="N246" s="148" t="str">
        <f t="shared" si="82"/>
        <v/>
      </c>
      <c r="O246" s="131" t="str">
        <f t="shared" si="77"/>
        <v/>
      </c>
      <c r="P246" s="131" t="str">
        <f t="shared" si="90"/>
        <v/>
      </c>
      <c r="Q246" s="131" t="str">
        <f t="shared" si="91"/>
        <v/>
      </c>
      <c r="R246" s="127" t="str">
        <f t="shared" si="92"/>
        <v/>
      </c>
      <c r="S246" s="60" t="str">
        <f t="shared" si="83"/>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79"/>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80"/>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20</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16</v>
      </c>
      <c r="G247" s="105"/>
      <c r="H247" s="60">
        <f t="shared" si="75"/>
        <v>16</v>
      </c>
      <c r="I247" s="112">
        <f>IF(H247="","",IF($I$8="A",(RANK(H247,H$11:H$363,1)+COUNTIF(H$11:H247,H247)-1),(RANK(H247,H$11:H$363)+COUNTIF(H$11:H247,H247)-1)))</f>
        <v>65</v>
      </c>
      <c r="J247" s="58"/>
      <c r="K247" s="51" t="str">
        <f t="shared" si="89"/>
        <v/>
      </c>
      <c r="L247" s="59" t="str">
        <f t="shared" si="76"/>
        <v/>
      </c>
      <c r="M247" s="153" t="str">
        <f t="shared" si="81"/>
        <v/>
      </c>
      <c r="N247" s="148" t="str">
        <f t="shared" si="82"/>
        <v/>
      </c>
      <c r="O247" s="131" t="str">
        <f t="shared" si="77"/>
        <v/>
      </c>
      <c r="P247" s="131" t="str">
        <f t="shared" si="90"/>
        <v/>
      </c>
      <c r="Q247" s="131" t="str">
        <f t="shared" si="91"/>
        <v/>
      </c>
      <c r="R247" s="127" t="str">
        <f t="shared" si="92"/>
        <v/>
      </c>
      <c r="S247" s="60" t="str">
        <f t="shared" si="83"/>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79"/>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80"/>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16</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10</v>
      </c>
      <c r="G248" s="105"/>
      <c r="H248" s="60">
        <f t="shared" si="75"/>
        <v>10</v>
      </c>
      <c r="I248" s="112">
        <f>IF(H248="","",IF($I$8="A",(RANK(H248,H$11:H$363,1)+COUNTIF(H$11:H248,H248)-1),(RANK(H248,H$11:H$363)+COUNTIF(H$11:H248,H248)-1)))</f>
        <v>8</v>
      </c>
      <c r="J248" s="58"/>
      <c r="K248" s="51" t="str">
        <f t="shared" si="89"/>
        <v/>
      </c>
      <c r="L248" s="59" t="str">
        <f t="shared" si="76"/>
        <v/>
      </c>
      <c r="M248" s="153" t="str">
        <f t="shared" si="81"/>
        <v/>
      </c>
      <c r="N248" s="148" t="str">
        <f t="shared" si="82"/>
        <v/>
      </c>
      <c r="O248" s="131" t="str">
        <f t="shared" si="77"/>
        <v/>
      </c>
      <c r="P248" s="131" t="str">
        <f t="shared" si="90"/>
        <v/>
      </c>
      <c r="Q248" s="131" t="str">
        <f t="shared" si="91"/>
        <v/>
      </c>
      <c r="R248" s="127" t="str">
        <f t="shared" si="92"/>
        <v/>
      </c>
      <c r="S248" s="60" t="str">
        <f t="shared" si="83"/>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79"/>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80"/>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10</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5</v>
      </c>
      <c r="G249" s="105"/>
      <c r="H249" s="60">
        <f t="shared" si="75"/>
        <v>5</v>
      </c>
      <c r="I249" s="112">
        <f>IF(H249="","",IF($I$8="A",(RANK(H249,H$11:H$363,1)+COUNTIF(H$11:H249,H249)-1),(RANK(H249,H$11:H$363)+COUNTIF(H$11:H249,H249)-1)))</f>
        <v>3</v>
      </c>
      <c r="J249" s="58"/>
      <c r="K249" s="51" t="str">
        <f t="shared" si="89"/>
        <v/>
      </c>
      <c r="L249" s="59" t="str">
        <f t="shared" si="76"/>
        <v/>
      </c>
      <c r="M249" s="153" t="str">
        <f t="shared" si="81"/>
        <v/>
      </c>
      <c r="N249" s="148" t="str">
        <f t="shared" si="82"/>
        <v/>
      </c>
      <c r="O249" s="131" t="str">
        <f t="shared" si="77"/>
        <v/>
      </c>
      <c r="P249" s="131" t="str">
        <f t="shared" si="90"/>
        <v/>
      </c>
      <c r="Q249" s="131" t="str">
        <f t="shared" si="91"/>
        <v/>
      </c>
      <c r="R249" s="127" t="str">
        <f t="shared" si="92"/>
        <v/>
      </c>
      <c r="S249" s="60" t="str">
        <f t="shared" si="83"/>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79"/>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80"/>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5</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22</v>
      </c>
      <c r="G250" s="105"/>
      <c r="H250" s="60" t="str">
        <f t="shared" si="75"/>
        <v/>
      </c>
      <c r="I250" s="112" t="str">
        <f>IF(H250="","",IF($I$8="A",(RANK(H250,H$11:H$363,1)+COUNTIF(H$11:H250,H250)-1),(RANK(H250,H$11:H$363)+COUNTIF(H$11:H250,H250)-1)))</f>
        <v/>
      </c>
      <c r="J250" s="58"/>
      <c r="K250" s="51" t="str">
        <f t="shared" si="89"/>
        <v/>
      </c>
      <c r="L250" s="59" t="str">
        <f t="shared" si="76"/>
        <v/>
      </c>
      <c r="M250" s="153" t="str">
        <f t="shared" si="81"/>
        <v/>
      </c>
      <c r="N250" s="148" t="str">
        <f t="shared" si="82"/>
        <v/>
      </c>
      <c r="O250" s="131" t="str">
        <f t="shared" si="77"/>
        <v/>
      </c>
      <c r="P250" s="131" t="str">
        <f t="shared" si="90"/>
        <v/>
      </c>
      <c r="Q250" s="131" t="str">
        <f t="shared" si="91"/>
        <v/>
      </c>
      <c r="R250" s="127" t="str">
        <f t="shared" si="92"/>
        <v/>
      </c>
      <c r="S250" s="60" t="str">
        <f t="shared" si="83"/>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79"/>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80"/>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22</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23</v>
      </c>
      <c r="G251" s="105"/>
      <c r="H251" s="60">
        <f t="shared" si="75"/>
        <v>23</v>
      </c>
      <c r="I251" s="112">
        <f>IF(H251="","",IF($I$8="A",(RANK(H251,H$11:H$363,1)+COUNTIF(H$11:H251,H251)-1),(RANK(H251,H$11:H$363)+COUNTIF(H$11:H251,H251)-1)))</f>
        <v>153</v>
      </c>
      <c r="J251" s="58"/>
      <c r="K251" s="51" t="str">
        <f t="shared" si="89"/>
        <v/>
      </c>
      <c r="L251" s="59" t="str">
        <f t="shared" si="76"/>
        <v/>
      </c>
      <c r="M251" s="153" t="str">
        <f t="shared" si="81"/>
        <v/>
      </c>
      <c r="N251" s="148" t="str">
        <f t="shared" si="82"/>
        <v/>
      </c>
      <c r="O251" s="131" t="str">
        <f t="shared" si="77"/>
        <v/>
      </c>
      <c r="P251" s="131" t="str">
        <f t="shared" si="90"/>
        <v/>
      </c>
      <c r="Q251" s="131" t="str">
        <f t="shared" si="91"/>
        <v/>
      </c>
      <c r="R251" s="127" t="str">
        <f t="shared" si="92"/>
        <v/>
      </c>
      <c r="S251" s="60" t="str">
        <f t="shared" si="83"/>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79"/>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80"/>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23</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42</v>
      </c>
      <c r="G252" s="105"/>
      <c r="H252" s="60" t="str">
        <f t="shared" si="75"/>
        <v/>
      </c>
      <c r="I252" s="112" t="str">
        <f>IF(H252="","",IF($I$8="A",(RANK(H252,H$11:H$363,1)+COUNTIF(H$11:H252,H252)-1),(RANK(H252,H$11:H$363)+COUNTIF(H$11:H252,H252)-1)))</f>
        <v/>
      </c>
      <c r="J252" s="58"/>
      <c r="K252" s="51" t="str">
        <f t="shared" si="89"/>
        <v/>
      </c>
      <c r="L252" s="59" t="str">
        <f t="shared" si="76"/>
        <v/>
      </c>
      <c r="M252" s="153" t="str">
        <f t="shared" si="81"/>
        <v/>
      </c>
      <c r="N252" s="148" t="str">
        <f t="shared" si="82"/>
        <v/>
      </c>
      <c r="O252" s="131" t="str">
        <f t="shared" si="77"/>
        <v/>
      </c>
      <c r="P252" s="131" t="str">
        <f t="shared" si="90"/>
        <v/>
      </c>
      <c r="Q252" s="131" t="str">
        <f t="shared" si="91"/>
        <v/>
      </c>
      <c r="R252" s="127" t="str">
        <f t="shared" si="92"/>
        <v/>
      </c>
      <c r="S252" s="60" t="str">
        <f t="shared" si="83"/>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79"/>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80"/>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42</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22</v>
      </c>
      <c r="G253" s="105"/>
      <c r="H253" s="60" t="str">
        <f t="shared" si="75"/>
        <v/>
      </c>
      <c r="I253" s="112" t="str">
        <f>IF(H253="","",IF($I$8="A",(RANK(H253,H$11:H$363,1)+COUNTIF(H$11:H253,H253)-1),(RANK(H253,H$11:H$363)+COUNTIF(H$11:H253,H253)-1)))</f>
        <v/>
      </c>
      <c r="J253" s="58"/>
      <c r="K253" s="51" t="str">
        <f t="shared" si="89"/>
        <v/>
      </c>
      <c r="L253" s="59" t="str">
        <f t="shared" si="76"/>
        <v/>
      </c>
      <c r="M253" s="153" t="str">
        <f t="shared" si="81"/>
        <v/>
      </c>
      <c r="N253" s="148" t="str">
        <f t="shared" si="82"/>
        <v/>
      </c>
      <c r="O253" s="131" t="str">
        <f t="shared" si="77"/>
        <v/>
      </c>
      <c r="P253" s="131" t="str">
        <f t="shared" si="90"/>
        <v/>
      </c>
      <c r="Q253" s="131" t="str">
        <f t="shared" si="91"/>
        <v/>
      </c>
      <c r="R253" s="127" t="str">
        <f t="shared" si="92"/>
        <v/>
      </c>
      <c r="S253" s="60" t="str">
        <f t="shared" si="83"/>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79"/>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80"/>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22</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22</v>
      </c>
      <c r="G254" s="105"/>
      <c r="H254" s="60">
        <f t="shared" si="75"/>
        <v>22</v>
      </c>
      <c r="I254" s="112">
        <f>IF(H254="","",IF($I$8="A",(RANK(H254,H$11:H$363,1)+COUNTIF(H$11:H254,H254)-1),(RANK(H254,H$11:H$363)+COUNTIF(H$11:H254,H254)-1)))</f>
        <v>142</v>
      </c>
      <c r="J254" s="58"/>
      <c r="K254" s="51" t="str">
        <f t="shared" si="89"/>
        <v/>
      </c>
      <c r="L254" s="59" t="str">
        <f t="shared" si="76"/>
        <v/>
      </c>
      <c r="M254" s="153" t="str">
        <f t="shared" si="81"/>
        <v/>
      </c>
      <c r="N254" s="148" t="str">
        <f t="shared" si="82"/>
        <v/>
      </c>
      <c r="O254" s="131" t="str">
        <f t="shared" si="77"/>
        <v/>
      </c>
      <c r="P254" s="131" t="str">
        <f t="shared" si="90"/>
        <v/>
      </c>
      <c r="Q254" s="131" t="str">
        <f t="shared" si="91"/>
        <v/>
      </c>
      <c r="R254" s="127" t="str">
        <f t="shared" si="92"/>
        <v/>
      </c>
      <c r="S254" s="60" t="str">
        <f t="shared" si="83"/>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79"/>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80"/>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22</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6</v>
      </c>
      <c r="G255" s="105"/>
      <c r="H255" s="60">
        <f t="shared" si="75"/>
        <v>6</v>
      </c>
      <c r="I255" s="112">
        <f>IF(H255="","",IF($I$8="A",(RANK(H255,H$11:H$363,1)+COUNTIF(H$11:H255,H255)-1),(RANK(H255,H$11:H$363)+COUNTIF(H$11:H255,H255)-1)))</f>
        <v>4</v>
      </c>
      <c r="J255" s="58"/>
      <c r="K255" s="51" t="str">
        <f t="shared" si="89"/>
        <v/>
      </c>
      <c r="L255" s="59" t="str">
        <f t="shared" si="76"/>
        <v/>
      </c>
      <c r="M255" s="153" t="str">
        <f t="shared" si="81"/>
        <v/>
      </c>
      <c r="N255" s="148" t="str">
        <f t="shared" si="82"/>
        <v/>
      </c>
      <c r="O255" s="131" t="str">
        <f t="shared" si="77"/>
        <v/>
      </c>
      <c r="P255" s="131" t="str">
        <f t="shared" si="90"/>
        <v/>
      </c>
      <c r="Q255" s="131" t="str">
        <f t="shared" si="91"/>
        <v/>
      </c>
      <c r="R255" s="127" t="str">
        <f t="shared" si="92"/>
        <v/>
      </c>
      <c r="S255" s="60" t="str">
        <f t="shared" si="83"/>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79"/>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80"/>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6</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25</v>
      </c>
      <c r="G256" s="105"/>
      <c r="H256" s="60" t="str">
        <f t="shared" si="75"/>
        <v/>
      </c>
      <c r="I256" s="112" t="str">
        <f>IF(H256="","",IF($I$8="A",(RANK(H256,H$11:H$363,1)+COUNTIF(H$11:H256,H256)-1),(RANK(H256,H$11:H$363)+COUNTIF(H$11:H256,H256)-1)))</f>
        <v/>
      </c>
      <c r="J256" s="58"/>
      <c r="K256" s="51" t="str">
        <f t="shared" si="89"/>
        <v/>
      </c>
      <c r="L256" s="59" t="str">
        <f t="shared" si="76"/>
        <v/>
      </c>
      <c r="M256" s="153" t="str">
        <f t="shared" si="81"/>
        <v/>
      </c>
      <c r="N256" s="148" t="str">
        <f t="shared" si="82"/>
        <v/>
      </c>
      <c r="O256" s="131" t="str">
        <f t="shared" si="77"/>
        <v/>
      </c>
      <c r="P256" s="131" t="str">
        <f t="shared" si="90"/>
        <v/>
      </c>
      <c r="Q256" s="131" t="str">
        <f t="shared" si="91"/>
        <v/>
      </c>
      <c r="R256" s="127" t="str">
        <f t="shared" si="92"/>
        <v/>
      </c>
      <c r="S256" s="60" t="str">
        <f t="shared" si="83"/>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79"/>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80"/>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25</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23</v>
      </c>
      <c r="G257" s="105"/>
      <c r="H257" s="60">
        <f t="shared" si="75"/>
        <v>23</v>
      </c>
      <c r="I257" s="112">
        <f>IF(H257="","",IF($I$8="A",(RANK(H257,H$11:H$363,1)+COUNTIF(H$11:H257,H257)-1),(RANK(H257,H$11:H$363)+COUNTIF(H$11:H257,H257)-1)))</f>
        <v>154</v>
      </c>
      <c r="J257" s="58"/>
      <c r="K257" s="51" t="str">
        <f t="shared" si="89"/>
        <v/>
      </c>
      <c r="L257" s="59" t="str">
        <f t="shared" si="76"/>
        <v/>
      </c>
      <c r="M257" s="153" t="str">
        <f t="shared" si="81"/>
        <v/>
      </c>
      <c r="N257" s="148" t="str">
        <f t="shared" si="82"/>
        <v/>
      </c>
      <c r="O257" s="131" t="str">
        <f t="shared" si="77"/>
        <v/>
      </c>
      <c r="P257" s="131" t="str">
        <f t="shared" si="90"/>
        <v/>
      </c>
      <c r="Q257" s="131" t="str">
        <f t="shared" si="91"/>
        <v/>
      </c>
      <c r="R257" s="127" t="str">
        <f t="shared" si="92"/>
        <v/>
      </c>
      <c r="S257" s="60" t="str">
        <f t="shared" si="83"/>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79"/>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80"/>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23</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24</v>
      </c>
      <c r="G258" s="105"/>
      <c r="H258" s="60">
        <f t="shared" si="75"/>
        <v>24</v>
      </c>
      <c r="I258" s="112">
        <f>IF(H258="","",IF($I$8="A",(RANK(H258,H$11:H$363,1)+COUNTIF(H$11:H258,H258)-1),(RANK(H258,H$11:H$363)+COUNTIF(H$11:H258,H258)-1)))</f>
        <v>162</v>
      </c>
      <c r="J258" s="58"/>
      <c r="K258" s="51" t="str">
        <f t="shared" si="89"/>
        <v/>
      </c>
      <c r="L258" s="59" t="str">
        <f t="shared" si="76"/>
        <v/>
      </c>
      <c r="M258" s="153" t="str">
        <f t="shared" si="81"/>
        <v/>
      </c>
      <c r="N258" s="148" t="str">
        <f t="shared" si="82"/>
        <v/>
      </c>
      <c r="O258" s="131" t="str">
        <f t="shared" si="77"/>
        <v/>
      </c>
      <c r="P258" s="131" t="str">
        <f t="shared" si="90"/>
        <v/>
      </c>
      <c r="Q258" s="131" t="str">
        <f t="shared" si="91"/>
        <v/>
      </c>
      <c r="R258" s="127" t="str">
        <f t="shared" si="92"/>
        <v/>
      </c>
      <c r="S258" s="60" t="str">
        <f t="shared" si="83"/>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79"/>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80"/>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24</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21</v>
      </c>
      <c r="G259" s="105"/>
      <c r="H259" s="60" t="str">
        <f t="shared" si="75"/>
        <v/>
      </c>
      <c r="I259" s="112" t="str">
        <f>IF(H259="","",IF($I$8="A",(RANK(H259,H$11:H$363,1)+COUNTIF(H$11:H259,H259)-1),(RANK(H259,H$11:H$363)+COUNTIF(H$11:H259,H259)-1)))</f>
        <v/>
      </c>
      <c r="J259" s="58"/>
      <c r="K259" s="51" t="str">
        <f t="shared" si="89"/>
        <v/>
      </c>
      <c r="L259" s="59" t="str">
        <f t="shared" si="76"/>
        <v/>
      </c>
      <c r="M259" s="153" t="str">
        <f t="shared" si="81"/>
        <v/>
      </c>
      <c r="N259" s="148" t="str">
        <f t="shared" si="82"/>
        <v/>
      </c>
      <c r="O259" s="131" t="str">
        <f t="shared" si="77"/>
        <v/>
      </c>
      <c r="P259" s="131" t="str">
        <f t="shared" si="90"/>
        <v/>
      </c>
      <c r="Q259" s="131" t="str">
        <f t="shared" si="91"/>
        <v/>
      </c>
      <c r="R259" s="127" t="str">
        <f t="shared" si="92"/>
        <v/>
      </c>
      <c r="S259" s="60" t="str">
        <f t="shared" si="83"/>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79"/>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80"/>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21</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18</v>
      </c>
      <c r="G260" s="105"/>
      <c r="H260" s="60">
        <f t="shared" si="75"/>
        <v>18</v>
      </c>
      <c r="I260" s="112">
        <f>IF(H260="","",IF($I$8="A",(RANK(H260,H$11:H$363,1)+COUNTIF(H$11:H260,H260)-1),(RANK(H260,H$11:H$363)+COUNTIF(H$11:H260,H260)-1)))</f>
        <v>88</v>
      </c>
      <c r="J260" s="58"/>
      <c r="K260" s="51" t="str">
        <f t="shared" si="89"/>
        <v/>
      </c>
      <c r="L260" s="59" t="str">
        <f t="shared" si="76"/>
        <v/>
      </c>
      <c r="M260" s="153" t="str">
        <f t="shared" si="81"/>
        <v/>
      </c>
      <c r="N260" s="148" t="str">
        <f t="shared" si="82"/>
        <v/>
      </c>
      <c r="O260" s="131" t="str">
        <f t="shared" si="77"/>
        <v/>
      </c>
      <c r="P260" s="131" t="str">
        <f t="shared" si="90"/>
        <v/>
      </c>
      <c r="Q260" s="131" t="str">
        <f t="shared" si="91"/>
        <v/>
      </c>
      <c r="R260" s="127" t="str">
        <f t="shared" si="92"/>
        <v/>
      </c>
      <c r="S260" s="60" t="str">
        <f t="shared" si="83"/>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79"/>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80"/>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18</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25</v>
      </c>
      <c r="G261" s="105"/>
      <c r="H261" s="60" t="str">
        <f t="shared" si="75"/>
        <v/>
      </c>
      <c r="I261" s="112" t="str">
        <f>IF(H261="","",IF($I$8="A",(RANK(H261,H$11:H$363,1)+COUNTIF(H$11:H261,H261)-1),(RANK(H261,H$11:H$363)+COUNTIF(H$11:H261,H261)-1)))</f>
        <v/>
      </c>
      <c r="J261" s="58"/>
      <c r="K261" s="51" t="str">
        <f t="shared" si="89"/>
        <v/>
      </c>
      <c r="L261" s="59" t="str">
        <f t="shared" si="76"/>
        <v/>
      </c>
      <c r="M261" s="153" t="str">
        <f t="shared" si="81"/>
        <v/>
      </c>
      <c r="N261" s="148" t="str">
        <f t="shared" si="82"/>
        <v/>
      </c>
      <c r="O261" s="131" t="str">
        <f t="shared" si="77"/>
        <v/>
      </c>
      <c r="P261" s="131" t="str">
        <f t="shared" si="90"/>
        <v/>
      </c>
      <c r="Q261" s="131" t="str">
        <f t="shared" si="91"/>
        <v/>
      </c>
      <c r="R261" s="127" t="str">
        <f t="shared" si="92"/>
        <v/>
      </c>
      <c r="S261" s="60" t="str">
        <f t="shared" si="83"/>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79"/>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80"/>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25</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16</v>
      </c>
      <c r="G262" s="105"/>
      <c r="H262" s="60" t="str">
        <f t="shared" si="75"/>
        <v/>
      </c>
      <c r="I262" s="112" t="str">
        <f>IF(H262="","",IF($I$8="A",(RANK(H262,H$11:H$363,1)+COUNTIF(H$11:H262,H262)-1),(RANK(H262,H$11:H$363)+COUNTIF(H$11:H262,H262)-1)))</f>
        <v/>
      </c>
      <c r="J262" s="58"/>
      <c r="K262" s="51" t="str">
        <f t="shared" si="89"/>
        <v/>
      </c>
      <c r="L262" s="59" t="str">
        <f t="shared" si="76"/>
        <v/>
      </c>
      <c r="M262" s="153" t="str">
        <f t="shared" si="81"/>
        <v/>
      </c>
      <c r="N262" s="148" t="str">
        <f t="shared" si="82"/>
        <v/>
      </c>
      <c r="O262" s="131" t="str">
        <f t="shared" si="77"/>
        <v/>
      </c>
      <c r="P262" s="131" t="str">
        <f t="shared" si="90"/>
        <v/>
      </c>
      <c r="Q262" s="131" t="str">
        <f t="shared" si="91"/>
        <v/>
      </c>
      <c r="R262" s="127" t="str">
        <f t="shared" si="92"/>
        <v/>
      </c>
      <c r="S262" s="60" t="str">
        <f t="shared" si="83"/>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79"/>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80"/>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16</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20</v>
      </c>
      <c r="G263" s="105"/>
      <c r="H263" s="60" t="str">
        <f t="shared" si="75"/>
        <v/>
      </c>
      <c r="I263" s="112" t="str">
        <f>IF(H263="","",IF($I$8="A",(RANK(H263,H$11:H$363,1)+COUNTIF(H$11:H263,H263)-1),(RANK(H263,H$11:H$363)+COUNTIF(H$11:H263,H263)-1)))</f>
        <v/>
      </c>
      <c r="J263" s="58"/>
      <c r="K263" s="51" t="str">
        <f t="shared" si="89"/>
        <v/>
      </c>
      <c r="L263" s="59" t="str">
        <f t="shared" si="76"/>
        <v/>
      </c>
      <c r="M263" s="153" t="str">
        <f t="shared" si="81"/>
        <v/>
      </c>
      <c r="N263" s="148" t="str">
        <f t="shared" si="82"/>
        <v/>
      </c>
      <c r="O263" s="131" t="str">
        <f t="shared" si="77"/>
        <v/>
      </c>
      <c r="P263" s="131" t="str">
        <f t="shared" si="90"/>
        <v/>
      </c>
      <c r="Q263" s="131" t="str">
        <f t="shared" si="91"/>
        <v/>
      </c>
      <c r="R263" s="127" t="str">
        <f t="shared" si="92"/>
        <v/>
      </c>
      <c r="S263" s="60" t="str">
        <f t="shared" si="83"/>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79"/>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80"/>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20</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1"/>
        <v/>
      </c>
      <c r="N264" s="148" t="str">
        <f t="shared" si="82"/>
        <v/>
      </c>
      <c r="O264" s="131" t="str">
        <f t="shared" si="77"/>
        <v/>
      </c>
      <c r="P264" s="131" t="str">
        <f t="shared" si="90"/>
        <v/>
      </c>
      <c r="Q264" s="131" t="str">
        <f t="shared" si="91"/>
        <v/>
      </c>
      <c r="R264" s="127" t="str">
        <f t="shared" si="92"/>
        <v/>
      </c>
      <c r="S264" s="60" t="str">
        <f t="shared" si="83"/>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79"/>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80"/>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16</v>
      </c>
      <c r="G265" s="105"/>
      <c r="H265" s="60">
        <f t="shared" si="75"/>
        <v>16</v>
      </c>
      <c r="I265" s="112">
        <f>IF(H265="","",IF($I$8="A",(RANK(H265,H$11:H$363,1)+COUNTIF(H$11:H265,H265)-1),(RANK(H265,H$11:H$363)+COUNTIF(H$11:H265,H265)-1)))</f>
        <v>66</v>
      </c>
      <c r="J265" s="58"/>
      <c r="K265" s="51" t="str">
        <f t="shared" si="89"/>
        <v/>
      </c>
      <c r="L265" s="59" t="str">
        <f t="shared" si="76"/>
        <v/>
      </c>
      <c r="M265" s="153" t="str">
        <f t="shared" si="81"/>
        <v/>
      </c>
      <c r="N265" s="148" t="str">
        <f t="shared" si="82"/>
        <v/>
      </c>
      <c r="O265" s="131" t="str">
        <f t="shared" si="77"/>
        <v/>
      </c>
      <c r="P265" s="131" t="str">
        <f t="shared" si="90"/>
        <v/>
      </c>
      <c r="Q265" s="131" t="str">
        <f t="shared" si="91"/>
        <v/>
      </c>
      <c r="R265" s="127" t="str">
        <f t="shared" si="92"/>
        <v/>
      </c>
      <c r="S265" s="60" t="str">
        <f t="shared" si="83"/>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79"/>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80"/>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16</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18</v>
      </c>
      <c r="G266" s="105"/>
      <c r="H266" s="60">
        <f t="shared" si="75"/>
        <v>18</v>
      </c>
      <c r="I266" s="112">
        <f>IF(H266="","",IF($I$8="A",(RANK(H266,H$11:H$363,1)+COUNTIF(H$11:H266,H266)-1),(RANK(H266,H$11:H$363)+COUNTIF(H$11:H266,H266)-1)))</f>
        <v>89</v>
      </c>
      <c r="J266" s="58"/>
      <c r="K266" s="51" t="str">
        <f t="shared" si="89"/>
        <v/>
      </c>
      <c r="L266" s="59" t="str">
        <f t="shared" si="76"/>
        <v/>
      </c>
      <c r="M266" s="153" t="str">
        <f t="shared" si="81"/>
        <v/>
      </c>
      <c r="N266" s="148" t="str">
        <f t="shared" si="82"/>
        <v/>
      </c>
      <c r="O266" s="131" t="str">
        <f t="shared" si="77"/>
        <v/>
      </c>
      <c r="P266" s="131" t="str">
        <f t="shared" si="90"/>
        <v/>
      </c>
      <c r="Q266" s="131" t="str">
        <f t="shared" si="91"/>
        <v/>
      </c>
      <c r="R266" s="127" t="str">
        <f t="shared" si="92"/>
        <v/>
      </c>
      <c r="S266" s="60" t="str">
        <f t="shared" si="83"/>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79"/>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80"/>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18</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49</v>
      </c>
      <c r="G267" s="105"/>
      <c r="H267" s="60">
        <f t="shared" ref="H267:H330" si="99">IF(D267=$D$1,HLOOKUP($D$6,$AX$10:$ZZ$363,ROW()-9,FALSE),"")</f>
        <v>49</v>
      </c>
      <c r="I267" s="112">
        <f>IF(H267="","",IF($I$8="A",(RANK(H267,H$11:H$363,1)+COUNTIF(H$11:H267,H267)-1),(RANK(H267,H$11:H$363)+COUNTIF(H$11:H267,H267)-1)))</f>
        <v>201</v>
      </c>
      <c r="J267" s="58"/>
      <c r="K267" s="51" t="str">
        <f t="shared" si="89"/>
        <v/>
      </c>
      <c r="L267" s="59" t="str">
        <f t="shared" ref="L267:L330" si="100">IF(K267="","",INDEX(C$11:C$363,MATCH(K267,I$11:I$363,0)))</f>
        <v/>
      </c>
      <c r="M267" s="153" t="str">
        <f t="shared" si="81"/>
        <v/>
      </c>
      <c r="N267" s="148" t="str">
        <f t="shared" si="82"/>
        <v/>
      </c>
      <c r="O267" s="131" t="str">
        <f t="shared" ref="O267:O330" si="101">IF(I$8="A",IF(N267&gt;=$P$7,IF(N267&lt;=$O$10,N267,""),""),IF(N267&lt;=$P$7,IF(N267&gt;=$O$10,N267,""),""))</f>
        <v/>
      </c>
      <c r="P267" s="131" t="str">
        <f t="shared" si="90"/>
        <v/>
      </c>
      <c r="Q267" s="131" t="str">
        <f t="shared" si="91"/>
        <v/>
      </c>
      <c r="R267" s="127" t="str">
        <f t="shared" si="92"/>
        <v/>
      </c>
      <c r="S267" s="60" t="str">
        <f t="shared" si="83"/>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ref="Y267:Y330" si="103">IF($D$1="UA",IF(X267="Largely Rural (rural including hub towns 50-79%) ",M267,IF(X267="Mainly Rural (rural including hub towns &gt;=80%) ",M267,IF(X267="Urban with Significant Rural (rural including hub towns 26-49%)",M267,""))),IF($D$1="SD",IF(X267=$H$3,M267,"")))</f>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4">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49</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26</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5">IF(L268="","",IF(VLOOKUP(L268,C:D,2,FALSE)=$F$3,VLOOKUP(L268,C:H,6,FALSE),""))</f>
        <v/>
      </c>
      <c r="N268" s="148" t="str">
        <f t="shared" ref="N268:N331" si="106">IF(L268="","",IF($H$8="%%",M268*100,M268))</f>
        <v/>
      </c>
      <c r="O268" s="131" t="str">
        <f t="shared" si="101"/>
        <v/>
      </c>
      <c r="P268" s="131" t="str">
        <f t="shared" si="90"/>
        <v/>
      </c>
      <c r="Q268" s="131" t="str">
        <f t="shared" si="91"/>
        <v/>
      </c>
      <c r="R268" s="127" t="str">
        <f t="shared" si="92"/>
        <v/>
      </c>
      <c r="S268" s="60" t="str">
        <f t="shared" ref="S268:S331" si="107">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si="103"/>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4"/>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26</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20</v>
      </c>
      <c r="G269" s="105"/>
      <c r="H269" s="60">
        <f t="shared" si="99"/>
        <v>20</v>
      </c>
      <c r="I269" s="112">
        <f>IF(H269="","",IF($I$8="A",(RANK(H269,H$11:H$363,1)+COUNTIF(H$11:H269,H269)-1),(RANK(H269,H$11:H$363)+COUNTIF(H$11:H269,H269)-1)))</f>
        <v>117</v>
      </c>
      <c r="J269" s="58"/>
      <c r="K269" s="51" t="str">
        <f t="shared" ref="K269:K332" si="113">IF(K268="","",IF(K268+1&gt;(COUNT(H$11:H$363)),"",K268+1))</f>
        <v/>
      </c>
      <c r="L269" s="59" t="str">
        <f t="shared" si="100"/>
        <v/>
      </c>
      <c r="M269" s="153" t="str">
        <f t="shared" si="105"/>
        <v/>
      </c>
      <c r="N269" s="148" t="str">
        <f t="shared" si="106"/>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7"/>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3"/>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4"/>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20</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22</v>
      </c>
      <c r="G270" s="105"/>
      <c r="H270" s="60">
        <f t="shared" si="99"/>
        <v>22</v>
      </c>
      <c r="I270" s="112">
        <f>IF(H270="","",IF($I$8="A",(RANK(H270,H$11:H$363,1)+COUNTIF(H$11:H270,H270)-1),(RANK(H270,H$11:H$363)+COUNTIF(H$11:H270,H270)-1)))</f>
        <v>143</v>
      </c>
      <c r="J270" s="58"/>
      <c r="K270" s="51" t="str">
        <f t="shared" si="113"/>
        <v/>
      </c>
      <c r="L270" s="59" t="str">
        <f t="shared" si="100"/>
        <v/>
      </c>
      <c r="M270" s="153" t="str">
        <f t="shared" si="105"/>
        <v/>
      </c>
      <c r="N270" s="148" t="str">
        <f t="shared" si="106"/>
        <v/>
      </c>
      <c r="O270" s="131" t="str">
        <f t="shared" si="101"/>
        <v/>
      </c>
      <c r="P270" s="131" t="str">
        <f t="shared" si="114"/>
        <v/>
      </c>
      <c r="Q270" s="131" t="str">
        <f t="shared" si="115"/>
        <v/>
      </c>
      <c r="R270" s="127" t="str">
        <f t="shared" si="116"/>
        <v/>
      </c>
      <c r="S270" s="60" t="str">
        <f t="shared" si="107"/>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3"/>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4"/>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22</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11</v>
      </c>
      <c r="G271" s="105"/>
      <c r="H271" s="60">
        <f t="shared" si="99"/>
        <v>11</v>
      </c>
      <c r="I271" s="112">
        <f>IF(H271="","",IF($I$8="A",(RANK(H271,H$11:H$363,1)+COUNTIF(H$11:H271,H271)-1),(RANK(H271,H$11:H$363)+COUNTIF(H$11:H271,H271)-1)))</f>
        <v>14</v>
      </c>
      <c r="J271" s="58"/>
      <c r="K271" s="51" t="str">
        <f t="shared" si="113"/>
        <v/>
      </c>
      <c r="L271" s="59" t="str">
        <f t="shared" si="100"/>
        <v/>
      </c>
      <c r="M271" s="153" t="str">
        <f t="shared" si="105"/>
        <v/>
      </c>
      <c r="N271" s="148" t="str">
        <f t="shared" si="106"/>
        <v/>
      </c>
      <c r="O271" s="131" t="str">
        <f t="shared" si="101"/>
        <v/>
      </c>
      <c r="P271" s="131" t="str">
        <f t="shared" si="114"/>
        <v/>
      </c>
      <c r="Q271" s="131" t="str">
        <f t="shared" si="115"/>
        <v/>
      </c>
      <c r="R271" s="127" t="str">
        <f t="shared" si="116"/>
        <v/>
      </c>
      <c r="S271" s="60" t="str">
        <f t="shared" si="107"/>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3"/>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4"/>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11</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26</v>
      </c>
      <c r="G272" s="105"/>
      <c r="H272" s="60">
        <f t="shared" si="99"/>
        <v>26</v>
      </c>
      <c r="I272" s="112">
        <f>IF(H272="","",IF($I$8="A",(RANK(H272,H$11:H$363,1)+COUNTIF(H$11:H272,H272)-1),(RANK(H272,H$11:H$363)+COUNTIF(H$11:H272,H272)-1)))</f>
        <v>180</v>
      </c>
      <c r="J272" s="58"/>
      <c r="K272" s="51" t="str">
        <f t="shared" si="113"/>
        <v/>
      </c>
      <c r="L272" s="59" t="str">
        <f t="shared" si="100"/>
        <v/>
      </c>
      <c r="M272" s="153" t="str">
        <f t="shared" si="105"/>
        <v/>
      </c>
      <c r="N272" s="148" t="str">
        <f t="shared" si="106"/>
        <v/>
      </c>
      <c r="O272" s="131" t="str">
        <f t="shared" si="101"/>
        <v/>
      </c>
      <c r="P272" s="131" t="str">
        <f t="shared" si="114"/>
        <v/>
      </c>
      <c r="Q272" s="131" t="str">
        <f t="shared" si="115"/>
        <v/>
      </c>
      <c r="R272" s="127" t="str">
        <f t="shared" si="116"/>
        <v/>
      </c>
      <c r="S272" s="60" t="str">
        <f t="shared" si="107"/>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3"/>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4"/>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26</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10</v>
      </c>
      <c r="G273" s="105"/>
      <c r="H273" s="60">
        <f t="shared" si="99"/>
        <v>10</v>
      </c>
      <c r="I273" s="112">
        <f>IF(H273="","",IF($I$8="A",(RANK(H273,H$11:H$363,1)+COUNTIF(H$11:H273,H273)-1),(RANK(H273,H$11:H$363)+COUNTIF(H$11:H273,H273)-1)))</f>
        <v>9</v>
      </c>
      <c r="J273" s="58"/>
      <c r="K273" s="51" t="str">
        <f t="shared" si="113"/>
        <v/>
      </c>
      <c r="L273" s="59" t="str">
        <f t="shared" si="100"/>
        <v/>
      </c>
      <c r="M273" s="153" t="str">
        <f t="shared" si="105"/>
        <v/>
      </c>
      <c r="N273" s="148" t="str">
        <f t="shared" si="106"/>
        <v/>
      </c>
      <c r="O273" s="131" t="str">
        <f t="shared" si="101"/>
        <v/>
      </c>
      <c r="P273" s="131" t="str">
        <f t="shared" si="114"/>
        <v/>
      </c>
      <c r="Q273" s="131" t="str">
        <f t="shared" si="115"/>
        <v/>
      </c>
      <c r="R273" s="127" t="str">
        <f t="shared" si="116"/>
        <v/>
      </c>
      <c r="S273" s="60" t="str">
        <f t="shared" si="107"/>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3"/>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4"/>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10</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9</v>
      </c>
      <c r="G274" s="105"/>
      <c r="H274" s="60">
        <f t="shared" si="99"/>
        <v>9</v>
      </c>
      <c r="I274" s="112">
        <f>IF(H274="","",IF($I$8="A",(RANK(H274,H$11:H$363,1)+COUNTIF(H$11:H274,H274)-1),(RANK(H274,H$11:H$363)+COUNTIF(H$11:H274,H274)-1)))</f>
        <v>7</v>
      </c>
      <c r="J274" s="58"/>
      <c r="K274" s="51" t="str">
        <f t="shared" si="113"/>
        <v/>
      </c>
      <c r="L274" s="59" t="str">
        <f t="shared" si="100"/>
        <v/>
      </c>
      <c r="M274" s="153" t="str">
        <f t="shared" si="105"/>
        <v/>
      </c>
      <c r="N274" s="148" t="str">
        <f t="shared" si="106"/>
        <v/>
      </c>
      <c r="O274" s="131" t="str">
        <f t="shared" si="101"/>
        <v/>
      </c>
      <c r="P274" s="131" t="str">
        <f t="shared" si="114"/>
        <v/>
      </c>
      <c r="Q274" s="131" t="str">
        <f t="shared" si="115"/>
        <v/>
      </c>
      <c r="R274" s="127" t="str">
        <f t="shared" si="116"/>
        <v/>
      </c>
      <c r="S274" s="60" t="str">
        <f t="shared" si="107"/>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3"/>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4"/>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9</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16</v>
      </c>
      <c r="G275" s="105"/>
      <c r="H275" s="60">
        <f t="shared" si="99"/>
        <v>16</v>
      </c>
      <c r="I275" s="112">
        <f>IF(H275="","",IF($I$8="A",(RANK(H275,H$11:H$363,1)+COUNTIF(H$11:H275,H275)-1),(RANK(H275,H$11:H$363)+COUNTIF(H$11:H275,H275)-1)))</f>
        <v>67</v>
      </c>
      <c r="J275" s="58"/>
      <c r="K275" s="51" t="str">
        <f t="shared" si="113"/>
        <v/>
      </c>
      <c r="L275" s="59" t="str">
        <f t="shared" si="100"/>
        <v/>
      </c>
      <c r="M275" s="153" t="str">
        <f t="shared" si="105"/>
        <v/>
      </c>
      <c r="N275" s="148" t="str">
        <f t="shared" si="106"/>
        <v/>
      </c>
      <c r="O275" s="131" t="str">
        <f t="shared" si="101"/>
        <v/>
      </c>
      <c r="P275" s="131" t="str">
        <f t="shared" si="114"/>
        <v/>
      </c>
      <c r="Q275" s="131" t="str">
        <f t="shared" si="115"/>
        <v/>
      </c>
      <c r="R275" s="127" t="str">
        <f t="shared" si="116"/>
        <v/>
      </c>
      <c r="S275" s="60" t="str">
        <f t="shared" si="107"/>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3"/>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4"/>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16</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26</v>
      </c>
      <c r="G276" s="105"/>
      <c r="H276" s="60">
        <f t="shared" si="99"/>
        <v>26</v>
      </c>
      <c r="I276" s="112">
        <f>IF(H276="","",IF($I$8="A",(RANK(H276,H$11:H$363,1)+COUNTIF(H$11:H276,H276)-1),(RANK(H276,H$11:H$363)+COUNTIF(H$11:H276,H276)-1)))</f>
        <v>181</v>
      </c>
      <c r="J276" s="58"/>
      <c r="K276" s="51" t="str">
        <f t="shared" si="113"/>
        <v/>
      </c>
      <c r="L276" s="59" t="str">
        <f t="shared" si="100"/>
        <v/>
      </c>
      <c r="M276" s="153" t="str">
        <f t="shared" si="105"/>
        <v/>
      </c>
      <c r="N276" s="148" t="str">
        <f t="shared" si="106"/>
        <v/>
      </c>
      <c r="O276" s="131" t="str">
        <f t="shared" si="101"/>
        <v/>
      </c>
      <c r="P276" s="131" t="str">
        <f t="shared" si="114"/>
        <v/>
      </c>
      <c r="Q276" s="131" t="str">
        <f t="shared" si="115"/>
        <v/>
      </c>
      <c r="R276" s="127" t="str">
        <f t="shared" si="116"/>
        <v/>
      </c>
      <c r="S276" s="60" t="str">
        <f t="shared" si="107"/>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3"/>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4"/>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26</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15</v>
      </c>
      <c r="G277" s="105"/>
      <c r="H277" s="60">
        <f t="shared" si="99"/>
        <v>15</v>
      </c>
      <c r="I277" s="112">
        <f>IF(H277="","",IF($I$8="A",(RANK(H277,H$11:H$363,1)+COUNTIF(H$11:H277,H277)-1),(RANK(H277,H$11:H$363)+COUNTIF(H$11:H277,H277)-1)))</f>
        <v>49</v>
      </c>
      <c r="J277" s="58"/>
      <c r="K277" s="51" t="str">
        <f t="shared" si="113"/>
        <v/>
      </c>
      <c r="L277" s="59" t="str">
        <f t="shared" si="100"/>
        <v/>
      </c>
      <c r="M277" s="153" t="str">
        <f t="shared" si="105"/>
        <v/>
      </c>
      <c r="N277" s="148" t="str">
        <f t="shared" si="106"/>
        <v/>
      </c>
      <c r="O277" s="131" t="str">
        <f t="shared" si="101"/>
        <v/>
      </c>
      <c r="P277" s="131" t="str">
        <f t="shared" si="114"/>
        <v/>
      </c>
      <c r="Q277" s="131" t="str">
        <f t="shared" si="115"/>
        <v/>
      </c>
      <c r="R277" s="127" t="str">
        <f t="shared" si="116"/>
        <v/>
      </c>
      <c r="S277" s="60" t="str">
        <f t="shared" si="107"/>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3"/>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4"/>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15</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14</v>
      </c>
      <c r="G278" s="105"/>
      <c r="H278" s="60">
        <f t="shared" si="99"/>
        <v>14</v>
      </c>
      <c r="I278" s="112">
        <f>IF(H278="","",IF($I$8="A",(RANK(H278,H$11:H$363,1)+COUNTIF(H$11:H278,H278)-1),(RANK(H278,H$11:H$363)+COUNTIF(H$11:H278,H278)-1)))</f>
        <v>30</v>
      </c>
      <c r="J278" s="58"/>
      <c r="K278" s="51" t="str">
        <f t="shared" si="113"/>
        <v/>
      </c>
      <c r="L278" s="59" t="str">
        <f t="shared" si="100"/>
        <v/>
      </c>
      <c r="M278" s="153" t="str">
        <f t="shared" si="105"/>
        <v/>
      </c>
      <c r="N278" s="148" t="str">
        <f t="shared" si="106"/>
        <v/>
      </c>
      <c r="O278" s="131" t="str">
        <f t="shared" si="101"/>
        <v/>
      </c>
      <c r="P278" s="131" t="str">
        <f t="shared" si="114"/>
        <v/>
      </c>
      <c r="Q278" s="131" t="str">
        <f t="shared" si="115"/>
        <v/>
      </c>
      <c r="R278" s="127" t="str">
        <f t="shared" si="116"/>
        <v/>
      </c>
      <c r="S278" s="60" t="str">
        <f t="shared" si="107"/>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3"/>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4"/>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14</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21</v>
      </c>
      <c r="G279" s="105"/>
      <c r="H279" s="60" t="str">
        <f t="shared" si="99"/>
        <v/>
      </c>
      <c r="I279" s="112" t="str">
        <f>IF(H279="","",IF($I$8="A",(RANK(H279,H$11:H$363,1)+COUNTIF(H$11:H279,H279)-1),(RANK(H279,H$11:H$363)+COUNTIF(H$11:H279,H279)-1)))</f>
        <v/>
      </c>
      <c r="J279" s="58"/>
      <c r="K279" s="51" t="str">
        <f t="shared" si="113"/>
        <v/>
      </c>
      <c r="L279" s="59" t="str">
        <f t="shared" si="100"/>
        <v/>
      </c>
      <c r="M279" s="153" t="str">
        <f t="shared" si="105"/>
        <v/>
      </c>
      <c r="N279" s="148" t="str">
        <f t="shared" si="106"/>
        <v/>
      </c>
      <c r="O279" s="131" t="str">
        <f t="shared" si="101"/>
        <v/>
      </c>
      <c r="P279" s="131" t="str">
        <f t="shared" si="114"/>
        <v/>
      </c>
      <c r="Q279" s="131" t="str">
        <f t="shared" si="115"/>
        <v/>
      </c>
      <c r="R279" s="127" t="str">
        <f t="shared" si="116"/>
        <v/>
      </c>
      <c r="S279" s="60" t="str">
        <f t="shared" si="107"/>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3"/>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4"/>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21</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18</v>
      </c>
      <c r="G280" s="105"/>
      <c r="H280" s="60" t="str">
        <f t="shared" si="99"/>
        <v/>
      </c>
      <c r="I280" s="112" t="str">
        <f>IF(H280="","",IF($I$8="A",(RANK(H280,H$11:H$363,1)+COUNTIF(H$11:H280,H280)-1),(RANK(H280,H$11:H$363)+COUNTIF(H$11:H280,H280)-1)))</f>
        <v/>
      </c>
      <c r="J280" s="58"/>
      <c r="K280" s="51" t="str">
        <f t="shared" si="113"/>
        <v/>
      </c>
      <c r="L280" s="59" t="str">
        <f t="shared" si="100"/>
        <v/>
      </c>
      <c r="M280" s="153" t="str">
        <f t="shared" si="105"/>
        <v/>
      </c>
      <c r="N280" s="148" t="str">
        <f t="shared" si="106"/>
        <v/>
      </c>
      <c r="O280" s="131" t="str">
        <f t="shared" si="101"/>
        <v/>
      </c>
      <c r="P280" s="131" t="str">
        <f t="shared" si="114"/>
        <v/>
      </c>
      <c r="Q280" s="131" t="str">
        <f t="shared" si="115"/>
        <v/>
      </c>
      <c r="R280" s="127" t="str">
        <f t="shared" si="116"/>
        <v/>
      </c>
      <c r="S280" s="60" t="str">
        <f t="shared" si="107"/>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3"/>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4"/>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18</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27</v>
      </c>
      <c r="G281" s="105"/>
      <c r="H281" s="60" t="str">
        <f t="shared" si="99"/>
        <v/>
      </c>
      <c r="I281" s="112" t="str">
        <f>IF(H281="","",IF($I$8="A",(RANK(H281,H$11:H$363,1)+COUNTIF(H$11:H281,H281)-1),(RANK(H281,H$11:H$363)+COUNTIF(H$11:H281,H281)-1)))</f>
        <v/>
      </c>
      <c r="J281" s="58"/>
      <c r="K281" s="51" t="str">
        <f t="shared" si="113"/>
        <v/>
      </c>
      <c r="L281" s="59" t="str">
        <f t="shared" si="100"/>
        <v/>
      </c>
      <c r="M281" s="153" t="str">
        <f t="shared" si="105"/>
        <v/>
      </c>
      <c r="N281" s="148" t="str">
        <f t="shared" si="106"/>
        <v/>
      </c>
      <c r="O281" s="131" t="str">
        <f t="shared" si="101"/>
        <v/>
      </c>
      <c r="P281" s="131" t="str">
        <f t="shared" si="114"/>
        <v/>
      </c>
      <c r="Q281" s="131" t="str">
        <f t="shared" si="115"/>
        <v/>
      </c>
      <c r="R281" s="127" t="str">
        <f t="shared" si="116"/>
        <v/>
      </c>
      <c r="S281" s="60" t="str">
        <f t="shared" si="107"/>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3"/>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4"/>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27</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22</v>
      </c>
      <c r="G282" s="105"/>
      <c r="H282" s="60" t="str">
        <f t="shared" si="99"/>
        <v/>
      </c>
      <c r="I282" s="112" t="str">
        <f>IF(H282="","",IF($I$8="A",(RANK(H282,H$11:H$363,1)+COUNTIF(H$11:H282,H282)-1),(RANK(H282,H$11:H$363)+COUNTIF(H$11:H282,H282)-1)))</f>
        <v/>
      </c>
      <c r="J282" s="58"/>
      <c r="K282" s="51" t="str">
        <f t="shared" si="113"/>
        <v/>
      </c>
      <c r="L282" s="59" t="str">
        <f t="shared" si="100"/>
        <v/>
      </c>
      <c r="M282" s="153" t="str">
        <f t="shared" si="105"/>
        <v/>
      </c>
      <c r="N282" s="148" t="str">
        <f t="shared" si="106"/>
        <v/>
      </c>
      <c r="O282" s="131" t="str">
        <f t="shared" si="101"/>
        <v/>
      </c>
      <c r="P282" s="131" t="str">
        <f t="shared" si="114"/>
        <v/>
      </c>
      <c r="Q282" s="131" t="str">
        <f t="shared" si="115"/>
        <v/>
      </c>
      <c r="R282" s="127" t="str">
        <f t="shared" si="116"/>
        <v/>
      </c>
      <c r="S282" s="60" t="str">
        <f t="shared" si="107"/>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3"/>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4"/>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22</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25</v>
      </c>
      <c r="G283" s="105"/>
      <c r="H283" s="60">
        <f t="shared" si="99"/>
        <v>25</v>
      </c>
      <c r="I283" s="112">
        <f>IF(H283="","",IF($I$8="A",(RANK(H283,H$11:H$363,1)+COUNTIF(H$11:H283,H283)-1),(RANK(H283,H$11:H$363)+COUNTIF(H$11:H283,H283)-1)))</f>
        <v>173</v>
      </c>
      <c r="J283" s="58"/>
      <c r="K283" s="51" t="str">
        <f t="shared" si="113"/>
        <v/>
      </c>
      <c r="L283" s="59" t="str">
        <f t="shared" si="100"/>
        <v/>
      </c>
      <c r="M283" s="153" t="str">
        <f t="shared" si="105"/>
        <v/>
      </c>
      <c r="N283" s="148" t="str">
        <f t="shared" si="106"/>
        <v/>
      </c>
      <c r="O283" s="131" t="str">
        <f t="shared" si="101"/>
        <v/>
      </c>
      <c r="P283" s="131" t="str">
        <f t="shared" si="114"/>
        <v/>
      </c>
      <c r="Q283" s="131" t="str">
        <f t="shared" si="115"/>
        <v/>
      </c>
      <c r="R283" s="127" t="str">
        <f t="shared" si="116"/>
        <v/>
      </c>
      <c r="S283" s="60" t="str">
        <f t="shared" si="107"/>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3"/>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4"/>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25</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24</v>
      </c>
      <c r="G284" s="105"/>
      <c r="H284" s="60">
        <f t="shared" si="99"/>
        <v>24</v>
      </c>
      <c r="I284" s="112">
        <f>IF(H284="","",IF($I$8="A",(RANK(H284,H$11:H$363,1)+COUNTIF(H$11:H284,H284)-1),(RANK(H284,H$11:H$363)+COUNTIF(H$11:H284,H284)-1)))</f>
        <v>163</v>
      </c>
      <c r="J284" s="58"/>
      <c r="K284" s="51" t="str">
        <f t="shared" si="113"/>
        <v/>
      </c>
      <c r="L284" s="59" t="str">
        <f t="shared" si="100"/>
        <v/>
      </c>
      <c r="M284" s="153" t="str">
        <f t="shared" si="105"/>
        <v/>
      </c>
      <c r="N284" s="148" t="str">
        <f t="shared" si="106"/>
        <v/>
      </c>
      <c r="O284" s="131" t="str">
        <f t="shared" si="101"/>
        <v/>
      </c>
      <c r="P284" s="131" t="str">
        <f t="shared" si="114"/>
        <v/>
      </c>
      <c r="Q284" s="131" t="str">
        <f t="shared" si="115"/>
        <v/>
      </c>
      <c r="R284" s="127" t="str">
        <f t="shared" si="116"/>
        <v/>
      </c>
      <c r="S284" s="60" t="str">
        <f t="shared" si="107"/>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3"/>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4"/>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24</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14</v>
      </c>
      <c r="G285" s="105"/>
      <c r="H285" s="60">
        <f t="shared" si="99"/>
        <v>14</v>
      </c>
      <c r="I285" s="112">
        <f>IF(H285="","",IF($I$8="A",(RANK(H285,H$11:H$363,1)+COUNTIF(H$11:H285,H285)-1),(RANK(H285,H$11:H$363)+COUNTIF(H$11:H285,H285)-1)))</f>
        <v>31</v>
      </c>
      <c r="J285" s="58"/>
      <c r="K285" s="51" t="str">
        <f t="shared" si="113"/>
        <v/>
      </c>
      <c r="L285" s="59" t="str">
        <f t="shared" si="100"/>
        <v/>
      </c>
      <c r="M285" s="153" t="str">
        <f t="shared" si="105"/>
        <v/>
      </c>
      <c r="N285" s="148" t="str">
        <f t="shared" si="106"/>
        <v/>
      </c>
      <c r="O285" s="131" t="str">
        <f t="shared" si="101"/>
        <v/>
      </c>
      <c r="P285" s="131" t="str">
        <f t="shared" si="114"/>
        <v/>
      </c>
      <c r="Q285" s="131" t="str">
        <f t="shared" si="115"/>
        <v/>
      </c>
      <c r="R285" s="127" t="str">
        <f t="shared" si="116"/>
        <v/>
      </c>
      <c r="S285" s="60" t="str">
        <f t="shared" si="107"/>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3"/>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4"/>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14</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25</v>
      </c>
      <c r="G286" s="105"/>
      <c r="H286" s="60" t="str">
        <f t="shared" si="99"/>
        <v/>
      </c>
      <c r="I286" s="112" t="str">
        <f>IF(H286="","",IF($I$8="A",(RANK(H286,H$11:H$363,1)+COUNTIF(H$11:H286,H286)-1),(RANK(H286,H$11:H$363)+COUNTIF(H$11:H286,H286)-1)))</f>
        <v/>
      </c>
      <c r="J286" s="58"/>
      <c r="K286" s="51" t="str">
        <f t="shared" si="113"/>
        <v/>
      </c>
      <c r="L286" s="59" t="str">
        <f t="shared" si="100"/>
        <v/>
      </c>
      <c r="M286" s="153" t="str">
        <f t="shared" si="105"/>
        <v/>
      </c>
      <c r="N286" s="148" t="str">
        <f t="shared" si="106"/>
        <v/>
      </c>
      <c r="O286" s="131" t="str">
        <f t="shared" si="101"/>
        <v/>
      </c>
      <c r="P286" s="131" t="str">
        <f t="shared" si="114"/>
        <v/>
      </c>
      <c r="Q286" s="131" t="str">
        <f t="shared" si="115"/>
        <v/>
      </c>
      <c r="R286" s="127" t="str">
        <f t="shared" si="116"/>
        <v/>
      </c>
      <c r="S286" s="60" t="str">
        <f t="shared" si="107"/>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3"/>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4"/>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25</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17</v>
      </c>
      <c r="G287" s="105"/>
      <c r="H287" s="60">
        <f t="shared" si="99"/>
        <v>17</v>
      </c>
      <c r="I287" s="112">
        <f>IF(H287="","",IF($I$8="A",(RANK(H287,H$11:H$363,1)+COUNTIF(H$11:H287,H287)-1),(RANK(H287,H$11:H$363)+COUNTIF(H$11:H287,H287)-1)))</f>
        <v>77</v>
      </c>
      <c r="J287" s="58"/>
      <c r="K287" s="51" t="str">
        <f t="shared" si="113"/>
        <v/>
      </c>
      <c r="L287" s="59" t="str">
        <f t="shared" si="100"/>
        <v/>
      </c>
      <c r="M287" s="153" t="str">
        <f t="shared" si="105"/>
        <v/>
      </c>
      <c r="N287" s="148" t="str">
        <f t="shared" si="106"/>
        <v/>
      </c>
      <c r="O287" s="131" t="str">
        <f t="shared" si="101"/>
        <v/>
      </c>
      <c r="P287" s="131" t="str">
        <f t="shared" si="114"/>
        <v/>
      </c>
      <c r="Q287" s="131" t="str">
        <f t="shared" si="115"/>
        <v/>
      </c>
      <c r="R287" s="127" t="str">
        <f t="shared" si="116"/>
        <v/>
      </c>
      <c r="S287" s="60" t="str">
        <f t="shared" si="107"/>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3"/>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4"/>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17</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5"/>
        <v/>
      </c>
      <c r="N288" s="148" t="str">
        <f t="shared" si="106"/>
        <v/>
      </c>
      <c r="O288" s="131" t="str">
        <f t="shared" si="101"/>
        <v/>
      </c>
      <c r="P288" s="131" t="str">
        <f t="shared" si="114"/>
        <v/>
      </c>
      <c r="Q288" s="131" t="str">
        <f t="shared" si="115"/>
        <v/>
      </c>
      <c r="R288" s="127" t="str">
        <f t="shared" si="116"/>
        <v/>
      </c>
      <c r="S288" s="60" t="str">
        <f t="shared" si="107"/>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3"/>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4"/>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17</v>
      </c>
      <c r="G289" s="105"/>
      <c r="H289" s="60">
        <f t="shared" si="99"/>
        <v>17</v>
      </c>
      <c r="I289" s="112">
        <f>IF(H289="","",IF($I$8="A",(RANK(H289,H$11:H$363,1)+COUNTIF(H$11:H289,H289)-1),(RANK(H289,H$11:H$363)+COUNTIF(H$11:H289,H289)-1)))</f>
        <v>78</v>
      </c>
      <c r="J289" s="58"/>
      <c r="K289" s="51" t="str">
        <f t="shared" si="113"/>
        <v/>
      </c>
      <c r="L289" s="59" t="str">
        <f t="shared" si="100"/>
        <v/>
      </c>
      <c r="M289" s="153" t="str">
        <f t="shared" si="105"/>
        <v/>
      </c>
      <c r="N289" s="148" t="str">
        <f t="shared" si="106"/>
        <v/>
      </c>
      <c r="O289" s="131" t="str">
        <f t="shared" si="101"/>
        <v/>
      </c>
      <c r="P289" s="131" t="str">
        <f t="shared" si="114"/>
        <v/>
      </c>
      <c r="Q289" s="131" t="str">
        <f t="shared" si="115"/>
        <v/>
      </c>
      <c r="R289" s="127" t="str">
        <f t="shared" si="116"/>
        <v/>
      </c>
      <c r="S289" s="60" t="str">
        <f t="shared" si="107"/>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3"/>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4"/>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17</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24</v>
      </c>
      <c r="G290" s="105"/>
      <c r="H290" s="60">
        <f t="shared" si="99"/>
        <v>24</v>
      </c>
      <c r="I290" s="112">
        <f>IF(H290="","",IF($I$8="A",(RANK(H290,H$11:H$363,1)+COUNTIF(H$11:H290,H290)-1),(RANK(H290,H$11:H$363)+COUNTIF(H$11:H290,H290)-1)))</f>
        <v>164</v>
      </c>
      <c r="J290" s="58"/>
      <c r="K290" s="51" t="str">
        <f t="shared" si="113"/>
        <v/>
      </c>
      <c r="L290" s="59" t="str">
        <f t="shared" si="100"/>
        <v/>
      </c>
      <c r="M290" s="153" t="str">
        <f t="shared" si="105"/>
        <v/>
      </c>
      <c r="N290" s="148" t="str">
        <f t="shared" si="106"/>
        <v/>
      </c>
      <c r="O290" s="131" t="str">
        <f t="shared" si="101"/>
        <v/>
      </c>
      <c r="P290" s="131" t="str">
        <f t="shared" si="114"/>
        <v/>
      </c>
      <c r="Q290" s="131" t="str">
        <f t="shared" si="115"/>
        <v/>
      </c>
      <c r="R290" s="127" t="str">
        <f t="shared" si="116"/>
        <v/>
      </c>
      <c r="S290" s="60" t="str">
        <f t="shared" si="107"/>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3"/>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4"/>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24</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24</v>
      </c>
      <c r="G291" s="105"/>
      <c r="H291" s="60" t="str">
        <f t="shared" si="99"/>
        <v/>
      </c>
      <c r="I291" s="112" t="str">
        <f>IF(H291="","",IF($I$8="A",(RANK(H291,H$11:H$363,1)+COUNTIF(H$11:H291,H291)-1),(RANK(H291,H$11:H$363)+COUNTIF(H$11:H291,H291)-1)))</f>
        <v/>
      </c>
      <c r="J291" s="58"/>
      <c r="K291" s="51" t="str">
        <f t="shared" si="113"/>
        <v/>
      </c>
      <c r="L291" s="59" t="str">
        <f t="shared" si="100"/>
        <v/>
      </c>
      <c r="M291" s="153" t="str">
        <f t="shared" si="105"/>
        <v/>
      </c>
      <c r="N291" s="148" t="str">
        <f t="shared" si="106"/>
        <v/>
      </c>
      <c r="O291" s="131" t="str">
        <f t="shared" si="101"/>
        <v/>
      </c>
      <c r="P291" s="131" t="str">
        <f t="shared" si="114"/>
        <v/>
      </c>
      <c r="Q291" s="131" t="str">
        <f t="shared" si="115"/>
        <v/>
      </c>
      <c r="R291" s="127" t="str">
        <f t="shared" si="116"/>
        <v/>
      </c>
      <c r="S291" s="60" t="str">
        <f t="shared" si="107"/>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3"/>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4"/>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24</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17</v>
      </c>
      <c r="G292" s="105"/>
      <c r="H292" s="60" t="str">
        <f t="shared" si="99"/>
        <v/>
      </c>
      <c r="I292" s="112" t="str">
        <f>IF(H292="","",IF($I$8="A",(RANK(H292,H$11:H$363,1)+COUNTIF(H$11:H292,H292)-1),(RANK(H292,H$11:H$363)+COUNTIF(H$11:H292,H292)-1)))</f>
        <v/>
      </c>
      <c r="J292" s="58"/>
      <c r="K292" s="51" t="str">
        <f t="shared" si="113"/>
        <v/>
      </c>
      <c r="L292" s="59" t="str">
        <f t="shared" si="100"/>
        <v/>
      </c>
      <c r="M292" s="153" t="str">
        <f t="shared" si="105"/>
        <v/>
      </c>
      <c r="N292" s="148" t="str">
        <f t="shared" si="106"/>
        <v/>
      </c>
      <c r="O292" s="131" t="str">
        <f t="shared" si="101"/>
        <v/>
      </c>
      <c r="P292" s="131" t="str">
        <f t="shared" si="114"/>
        <v/>
      </c>
      <c r="Q292" s="131" t="str">
        <f t="shared" si="115"/>
        <v/>
      </c>
      <c r="R292" s="127" t="str">
        <f t="shared" si="116"/>
        <v/>
      </c>
      <c r="S292" s="60" t="str">
        <f t="shared" si="107"/>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3"/>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4"/>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17</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13</v>
      </c>
      <c r="G293" s="105"/>
      <c r="H293" s="60" t="str">
        <f t="shared" si="99"/>
        <v/>
      </c>
      <c r="I293" s="112" t="str">
        <f>IF(H293="","",IF($I$8="A",(RANK(H293,H$11:H$363,1)+COUNTIF(H$11:H293,H293)-1),(RANK(H293,H$11:H$363)+COUNTIF(H$11:H293,H293)-1)))</f>
        <v/>
      </c>
      <c r="J293" s="58"/>
      <c r="K293" s="51" t="str">
        <f t="shared" si="113"/>
        <v/>
      </c>
      <c r="L293" s="59" t="str">
        <f t="shared" si="100"/>
        <v/>
      </c>
      <c r="M293" s="153" t="str">
        <f t="shared" si="105"/>
        <v/>
      </c>
      <c r="N293" s="148" t="str">
        <f t="shared" si="106"/>
        <v/>
      </c>
      <c r="O293" s="131" t="str">
        <f t="shared" si="101"/>
        <v/>
      </c>
      <c r="P293" s="131" t="str">
        <f t="shared" si="114"/>
        <v/>
      </c>
      <c r="Q293" s="131" t="str">
        <f t="shared" si="115"/>
        <v/>
      </c>
      <c r="R293" s="127" t="str">
        <f t="shared" si="116"/>
        <v/>
      </c>
      <c r="S293" s="60" t="str">
        <f t="shared" si="107"/>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3"/>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4"/>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13</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16</v>
      </c>
      <c r="G294" s="105"/>
      <c r="H294" s="60">
        <f t="shared" si="99"/>
        <v>16</v>
      </c>
      <c r="I294" s="112">
        <f>IF(H294="","",IF($I$8="A",(RANK(H294,H$11:H$363,1)+COUNTIF(H$11:H294,H294)-1),(RANK(H294,H$11:H$363)+COUNTIF(H$11:H294,H294)-1)))</f>
        <v>68</v>
      </c>
      <c r="J294" s="58"/>
      <c r="K294" s="51" t="str">
        <f t="shared" si="113"/>
        <v/>
      </c>
      <c r="L294" s="59" t="str">
        <f t="shared" si="100"/>
        <v/>
      </c>
      <c r="M294" s="153" t="str">
        <f t="shared" si="105"/>
        <v/>
      </c>
      <c r="N294" s="148" t="str">
        <f t="shared" si="106"/>
        <v/>
      </c>
      <c r="O294" s="131" t="str">
        <f t="shared" si="101"/>
        <v/>
      </c>
      <c r="P294" s="131" t="str">
        <f t="shared" si="114"/>
        <v/>
      </c>
      <c r="Q294" s="131" t="str">
        <f t="shared" si="115"/>
        <v/>
      </c>
      <c r="R294" s="127" t="str">
        <f t="shared" si="116"/>
        <v/>
      </c>
      <c r="S294" s="60" t="str">
        <f t="shared" si="107"/>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3"/>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4"/>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16</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14</v>
      </c>
      <c r="G295" s="105"/>
      <c r="H295" s="60">
        <f t="shared" si="99"/>
        <v>14</v>
      </c>
      <c r="I295" s="112">
        <f>IF(H295="","",IF($I$8="A",(RANK(H295,H$11:H$363,1)+COUNTIF(H$11:H295,H295)-1),(RANK(H295,H$11:H$363)+COUNTIF(H$11:H295,H295)-1)))</f>
        <v>32</v>
      </c>
      <c r="J295" s="58"/>
      <c r="K295" s="51" t="str">
        <f t="shared" si="113"/>
        <v/>
      </c>
      <c r="L295" s="59" t="str">
        <f t="shared" si="100"/>
        <v/>
      </c>
      <c r="M295" s="153" t="str">
        <f t="shared" si="105"/>
        <v/>
      </c>
      <c r="N295" s="148" t="str">
        <f t="shared" si="106"/>
        <v/>
      </c>
      <c r="O295" s="131" t="str">
        <f t="shared" si="101"/>
        <v/>
      </c>
      <c r="P295" s="131" t="str">
        <f t="shared" si="114"/>
        <v/>
      </c>
      <c r="Q295" s="131" t="str">
        <f t="shared" si="115"/>
        <v/>
      </c>
      <c r="R295" s="127" t="str">
        <f t="shared" si="116"/>
        <v/>
      </c>
      <c r="S295" s="60" t="str">
        <f t="shared" si="107"/>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3"/>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4"/>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14</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5"/>
        <v/>
      </c>
      <c r="N296" s="148" t="str">
        <f t="shared" si="106"/>
        <v/>
      </c>
      <c r="O296" s="131" t="str">
        <f t="shared" si="101"/>
        <v/>
      </c>
      <c r="P296" s="131" t="str">
        <f t="shared" si="114"/>
        <v/>
      </c>
      <c r="Q296" s="131" t="str">
        <f t="shared" si="115"/>
        <v/>
      </c>
      <c r="R296" s="127" t="str">
        <f t="shared" si="116"/>
        <v/>
      </c>
      <c r="S296" s="60" t="str">
        <f t="shared" si="107"/>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3"/>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4"/>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31</v>
      </c>
      <c r="G297" s="105"/>
      <c r="H297" s="60">
        <f t="shared" si="99"/>
        <v>31</v>
      </c>
      <c r="I297" s="112">
        <f>IF(H297="","",IF($I$8="A",(RANK(H297,H$11:H$363,1)+COUNTIF(H$11:H297,H297)-1),(RANK(H297,H$11:H$363)+COUNTIF(H$11:H297,H297)-1)))</f>
        <v>195</v>
      </c>
      <c r="J297" s="58"/>
      <c r="K297" s="51" t="str">
        <f t="shared" si="113"/>
        <v/>
      </c>
      <c r="L297" s="59" t="str">
        <f t="shared" si="100"/>
        <v/>
      </c>
      <c r="M297" s="153" t="str">
        <f t="shared" si="105"/>
        <v/>
      </c>
      <c r="N297" s="148" t="str">
        <f t="shared" si="106"/>
        <v/>
      </c>
      <c r="O297" s="131" t="str">
        <f t="shared" si="101"/>
        <v/>
      </c>
      <c r="P297" s="131" t="str">
        <f t="shared" si="114"/>
        <v/>
      </c>
      <c r="Q297" s="131" t="str">
        <f t="shared" si="115"/>
        <v/>
      </c>
      <c r="R297" s="127" t="str">
        <f t="shared" si="116"/>
        <v/>
      </c>
      <c r="S297" s="60" t="str">
        <f t="shared" si="107"/>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3"/>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4"/>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31</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25</v>
      </c>
      <c r="G298" s="105"/>
      <c r="H298" s="60" t="str">
        <f t="shared" si="99"/>
        <v/>
      </c>
      <c r="I298" s="112" t="str">
        <f>IF(H298="","",IF($I$8="A",(RANK(H298,H$11:H$363,1)+COUNTIF(H$11:H298,H298)-1),(RANK(H298,H$11:H$363)+COUNTIF(H$11:H298,H298)-1)))</f>
        <v/>
      </c>
      <c r="J298" s="58"/>
      <c r="K298" s="51" t="str">
        <f t="shared" si="113"/>
        <v/>
      </c>
      <c r="L298" s="59" t="str">
        <f t="shared" si="100"/>
        <v/>
      </c>
      <c r="M298" s="153" t="str">
        <f t="shared" si="105"/>
        <v/>
      </c>
      <c r="N298" s="148" t="str">
        <f t="shared" si="106"/>
        <v/>
      </c>
      <c r="O298" s="131" t="str">
        <f t="shared" si="101"/>
        <v/>
      </c>
      <c r="P298" s="131" t="str">
        <f t="shared" si="114"/>
        <v/>
      </c>
      <c r="Q298" s="131" t="str">
        <f t="shared" si="115"/>
        <v/>
      </c>
      <c r="R298" s="127" t="str">
        <f t="shared" si="116"/>
        <v/>
      </c>
      <c r="S298" s="60" t="str">
        <f t="shared" si="107"/>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3"/>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4"/>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25</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5"/>
        <v/>
      </c>
      <c r="N299" s="148" t="str">
        <f t="shared" si="106"/>
        <v/>
      </c>
      <c r="O299" s="131" t="str">
        <f t="shared" si="101"/>
        <v/>
      </c>
      <c r="P299" s="131" t="str">
        <f t="shared" si="114"/>
        <v/>
      </c>
      <c r="Q299" s="131" t="str">
        <f t="shared" si="115"/>
        <v/>
      </c>
      <c r="R299" s="127" t="str">
        <f t="shared" si="116"/>
        <v/>
      </c>
      <c r="S299" s="60" t="str">
        <f t="shared" si="107"/>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3"/>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4"/>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23</v>
      </c>
      <c r="G300" s="105"/>
      <c r="H300" s="60">
        <f t="shared" si="99"/>
        <v>23</v>
      </c>
      <c r="I300" s="112">
        <f>IF(H300="","",IF($I$8="A",(RANK(H300,H$11:H$363,1)+COUNTIF(H$11:H300,H300)-1),(RANK(H300,H$11:H$363)+COUNTIF(H$11:H300,H300)-1)))</f>
        <v>155</v>
      </c>
      <c r="J300" s="58"/>
      <c r="K300" s="51" t="str">
        <f t="shared" si="113"/>
        <v/>
      </c>
      <c r="L300" s="59" t="str">
        <f t="shared" si="100"/>
        <v/>
      </c>
      <c r="M300" s="153" t="str">
        <f t="shared" si="105"/>
        <v/>
      </c>
      <c r="N300" s="148" t="str">
        <f t="shared" si="106"/>
        <v/>
      </c>
      <c r="O300" s="131" t="str">
        <f t="shared" si="101"/>
        <v/>
      </c>
      <c r="P300" s="131" t="str">
        <f t="shared" si="114"/>
        <v/>
      </c>
      <c r="Q300" s="131" t="str">
        <f t="shared" si="115"/>
        <v/>
      </c>
      <c r="R300" s="127" t="str">
        <f t="shared" si="116"/>
        <v/>
      </c>
      <c r="S300" s="60" t="str">
        <f t="shared" si="107"/>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3"/>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4"/>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23</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21</v>
      </c>
      <c r="G301" s="105"/>
      <c r="H301" s="60" t="str">
        <f t="shared" si="99"/>
        <v/>
      </c>
      <c r="I301" s="112" t="str">
        <f>IF(H301="","",IF($I$8="A",(RANK(H301,H$11:H$363,1)+COUNTIF(H$11:H301,H301)-1),(RANK(H301,H$11:H$363)+COUNTIF(H$11:H301,H301)-1)))</f>
        <v/>
      </c>
      <c r="J301" s="58"/>
      <c r="K301" s="51" t="str">
        <f t="shared" si="113"/>
        <v/>
      </c>
      <c r="L301" s="59" t="str">
        <f t="shared" si="100"/>
        <v/>
      </c>
      <c r="M301" s="153" t="str">
        <f t="shared" si="105"/>
        <v/>
      </c>
      <c r="N301" s="148" t="str">
        <f t="shared" si="106"/>
        <v/>
      </c>
      <c r="O301" s="131" t="str">
        <f t="shared" si="101"/>
        <v/>
      </c>
      <c r="P301" s="131" t="str">
        <f t="shared" si="114"/>
        <v/>
      </c>
      <c r="Q301" s="131" t="str">
        <f t="shared" si="115"/>
        <v/>
      </c>
      <c r="R301" s="127" t="str">
        <f t="shared" si="116"/>
        <v/>
      </c>
      <c r="S301" s="60" t="str">
        <f t="shared" si="107"/>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3"/>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4"/>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21</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15</v>
      </c>
      <c r="G302" s="105"/>
      <c r="H302" s="60">
        <f t="shared" si="99"/>
        <v>15</v>
      </c>
      <c r="I302" s="112">
        <f>IF(H302="","",IF($I$8="A",(RANK(H302,H$11:H$363,1)+COUNTIF(H$11:H302,H302)-1),(RANK(H302,H$11:H$363)+COUNTIF(H$11:H302,H302)-1)))</f>
        <v>50</v>
      </c>
      <c r="J302" s="58"/>
      <c r="K302" s="51" t="str">
        <f t="shared" si="113"/>
        <v/>
      </c>
      <c r="L302" s="59" t="str">
        <f t="shared" si="100"/>
        <v/>
      </c>
      <c r="M302" s="153" t="str">
        <f t="shared" si="105"/>
        <v/>
      </c>
      <c r="N302" s="148" t="str">
        <f t="shared" si="106"/>
        <v/>
      </c>
      <c r="O302" s="131" t="str">
        <f t="shared" si="101"/>
        <v/>
      </c>
      <c r="P302" s="131" t="str">
        <f t="shared" si="114"/>
        <v/>
      </c>
      <c r="Q302" s="131" t="str">
        <f t="shared" si="115"/>
        <v/>
      </c>
      <c r="R302" s="127" t="str">
        <f t="shared" si="116"/>
        <v/>
      </c>
      <c r="S302" s="60" t="str">
        <f t="shared" si="107"/>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3"/>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4"/>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15</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16</v>
      </c>
      <c r="G303" s="105"/>
      <c r="H303" s="60" t="str">
        <f t="shared" si="99"/>
        <v/>
      </c>
      <c r="I303" s="112" t="str">
        <f>IF(H303="","",IF($I$8="A",(RANK(H303,H$11:H$363,1)+COUNTIF(H$11:H303,H303)-1),(RANK(H303,H$11:H$363)+COUNTIF(H$11:H303,H303)-1)))</f>
        <v/>
      </c>
      <c r="J303" s="58"/>
      <c r="K303" s="51" t="str">
        <f t="shared" si="113"/>
        <v/>
      </c>
      <c r="L303" s="59" t="str">
        <f t="shared" si="100"/>
        <v/>
      </c>
      <c r="M303" s="153" t="str">
        <f t="shared" si="105"/>
        <v/>
      </c>
      <c r="N303" s="148" t="str">
        <f t="shared" si="106"/>
        <v/>
      </c>
      <c r="O303" s="131" t="str">
        <f t="shared" si="101"/>
        <v/>
      </c>
      <c r="P303" s="131" t="str">
        <f t="shared" si="114"/>
        <v/>
      </c>
      <c r="Q303" s="131" t="str">
        <f t="shared" si="115"/>
        <v/>
      </c>
      <c r="R303" s="127" t="str">
        <f t="shared" si="116"/>
        <v/>
      </c>
      <c r="S303" s="60" t="str">
        <f t="shared" si="107"/>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3"/>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4"/>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16</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25</v>
      </c>
      <c r="G304" s="105"/>
      <c r="H304" s="60" t="str">
        <f t="shared" si="99"/>
        <v/>
      </c>
      <c r="I304" s="112" t="str">
        <f>IF(H304="","",IF($I$8="A",(RANK(H304,H$11:H$363,1)+COUNTIF(H$11:H304,H304)-1),(RANK(H304,H$11:H$363)+COUNTIF(H$11:H304,H304)-1)))</f>
        <v/>
      </c>
      <c r="J304" s="58"/>
      <c r="K304" s="51" t="str">
        <f t="shared" si="113"/>
        <v/>
      </c>
      <c r="L304" s="59" t="str">
        <f t="shared" si="100"/>
        <v/>
      </c>
      <c r="M304" s="153" t="str">
        <f t="shared" si="105"/>
        <v/>
      </c>
      <c r="N304" s="148" t="str">
        <f t="shared" si="106"/>
        <v/>
      </c>
      <c r="O304" s="131" t="str">
        <f t="shared" si="101"/>
        <v/>
      </c>
      <c r="P304" s="131" t="str">
        <f t="shared" si="114"/>
        <v/>
      </c>
      <c r="Q304" s="131" t="str">
        <f t="shared" si="115"/>
        <v/>
      </c>
      <c r="R304" s="127" t="str">
        <f t="shared" si="116"/>
        <v/>
      </c>
      <c r="S304" s="60" t="str">
        <f t="shared" si="107"/>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3"/>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4"/>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25</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33</v>
      </c>
      <c r="G305" s="105"/>
      <c r="H305" s="60">
        <f t="shared" si="99"/>
        <v>33</v>
      </c>
      <c r="I305" s="112">
        <f>IF(H305="","",IF($I$8="A",(RANK(H305,H$11:H$363,1)+COUNTIF(H$11:H305,H305)-1),(RANK(H305,H$11:H$363)+COUNTIF(H$11:H305,H305)-1)))</f>
        <v>199</v>
      </c>
      <c r="J305" s="58"/>
      <c r="K305" s="51" t="str">
        <f t="shared" si="113"/>
        <v/>
      </c>
      <c r="L305" s="59" t="str">
        <f t="shared" si="100"/>
        <v/>
      </c>
      <c r="M305" s="153" t="str">
        <f t="shared" si="105"/>
        <v/>
      </c>
      <c r="N305" s="148" t="str">
        <f t="shared" si="106"/>
        <v/>
      </c>
      <c r="O305" s="131" t="str">
        <f t="shared" si="101"/>
        <v/>
      </c>
      <c r="P305" s="131" t="str">
        <f t="shared" si="114"/>
        <v/>
      </c>
      <c r="Q305" s="131" t="str">
        <f t="shared" si="115"/>
        <v/>
      </c>
      <c r="R305" s="127" t="str">
        <f t="shared" si="116"/>
        <v/>
      </c>
      <c r="S305" s="60" t="str">
        <f t="shared" si="107"/>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3"/>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4"/>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33</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27</v>
      </c>
      <c r="G306" s="105"/>
      <c r="H306" s="60">
        <f t="shared" si="99"/>
        <v>27</v>
      </c>
      <c r="I306" s="112">
        <f>IF(H306="","",IF($I$8="A",(RANK(H306,H$11:H$363,1)+COUNTIF(H$11:H306,H306)-1),(RANK(H306,H$11:H$363)+COUNTIF(H$11:H306,H306)-1)))</f>
        <v>185</v>
      </c>
      <c r="J306" s="58"/>
      <c r="K306" s="51" t="str">
        <f t="shared" si="113"/>
        <v/>
      </c>
      <c r="L306" s="59" t="str">
        <f t="shared" si="100"/>
        <v/>
      </c>
      <c r="M306" s="153" t="str">
        <f t="shared" si="105"/>
        <v/>
      </c>
      <c r="N306" s="148" t="str">
        <f t="shared" si="106"/>
        <v/>
      </c>
      <c r="O306" s="131" t="str">
        <f t="shared" si="101"/>
        <v/>
      </c>
      <c r="P306" s="131" t="str">
        <f t="shared" si="114"/>
        <v/>
      </c>
      <c r="Q306" s="131" t="str">
        <f t="shared" si="115"/>
        <v/>
      </c>
      <c r="R306" s="127" t="str">
        <f t="shared" si="116"/>
        <v/>
      </c>
      <c r="S306" s="60" t="str">
        <f t="shared" si="107"/>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3"/>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4"/>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27</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18</v>
      </c>
      <c r="G307" s="105"/>
      <c r="H307" s="60">
        <f t="shared" si="99"/>
        <v>18</v>
      </c>
      <c r="I307" s="112">
        <f>IF(H307="","",IF($I$8="A",(RANK(H307,H$11:H$363,1)+COUNTIF(H$11:H307,H307)-1),(RANK(H307,H$11:H$363)+COUNTIF(H$11:H307,H307)-1)))</f>
        <v>90</v>
      </c>
      <c r="J307" s="58"/>
      <c r="K307" s="51" t="str">
        <f t="shared" si="113"/>
        <v/>
      </c>
      <c r="L307" s="59" t="str">
        <f t="shared" si="100"/>
        <v/>
      </c>
      <c r="M307" s="153" t="str">
        <f t="shared" si="105"/>
        <v/>
      </c>
      <c r="N307" s="148" t="str">
        <f t="shared" si="106"/>
        <v/>
      </c>
      <c r="O307" s="131" t="str">
        <f t="shared" si="101"/>
        <v/>
      </c>
      <c r="P307" s="131" t="str">
        <f t="shared" si="114"/>
        <v/>
      </c>
      <c r="Q307" s="131" t="str">
        <f t="shared" si="115"/>
        <v/>
      </c>
      <c r="R307" s="127" t="str">
        <f t="shared" si="116"/>
        <v/>
      </c>
      <c r="S307" s="60" t="str">
        <f t="shared" si="107"/>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3"/>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4"/>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18</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15</v>
      </c>
      <c r="G308" s="105"/>
      <c r="H308" s="60">
        <f t="shared" si="99"/>
        <v>15</v>
      </c>
      <c r="I308" s="112">
        <f>IF(H308="","",IF($I$8="A",(RANK(H308,H$11:H$363,1)+COUNTIF(H$11:H308,H308)-1),(RANK(H308,H$11:H$363)+COUNTIF(H$11:H308,H308)-1)))</f>
        <v>51</v>
      </c>
      <c r="J308" s="58"/>
      <c r="K308" s="51" t="str">
        <f t="shared" si="113"/>
        <v/>
      </c>
      <c r="L308" s="59" t="str">
        <f t="shared" si="100"/>
        <v/>
      </c>
      <c r="M308" s="153" t="str">
        <f t="shared" si="105"/>
        <v/>
      </c>
      <c r="N308" s="148" t="str">
        <f t="shared" si="106"/>
        <v/>
      </c>
      <c r="O308" s="131" t="str">
        <f t="shared" si="101"/>
        <v/>
      </c>
      <c r="P308" s="131" t="str">
        <f t="shared" si="114"/>
        <v/>
      </c>
      <c r="Q308" s="131" t="str">
        <f t="shared" si="115"/>
        <v/>
      </c>
      <c r="R308" s="127" t="str">
        <f t="shared" si="116"/>
        <v/>
      </c>
      <c r="S308" s="60" t="str">
        <f t="shared" si="107"/>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3"/>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4"/>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15</v>
      </c>
      <c r="AY308" s="156"/>
      <c r="AZ308" s="44"/>
    </row>
    <row r="309" spans="1:52">
      <c r="A309" s="84" t="str">
        <f>$D$1&amp;299</f>
        <v>SD299</v>
      </c>
      <c r="B309" s="85">
        <f>IF(ISERROR(VLOOKUP(A309,classifications!A:C,3,FALSE)),0,VLOOKUP(A309,classifications!A:C,3,FALSE))</f>
        <v>0</v>
      </c>
      <c r="C309" s="31" t="s">
        <v>818</v>
      </c>
      <c r="D309" s="49" t="str">
        <f>VLOOKUP($C309,classifications!$C:$J,4,FALSE)</f>
        <v>UA</v>
      </c>
      <c r="E309" s="49">
        <f>VLOOKUP(C309,classifications!C:K,9,FALSE)</f>
        <v>0</v>
      </c>
      <c r="F309" s="59">
        <f t="shared" si="98"/>
        <v>10</v>
      </c>
      <c r="G309" s="105"/>
      <c r="H309" s="60" t="str">
        <f t="shared" si="99"/>
        <v/>
      </c>
      <c r="I309" s="112" t="str">
        <f>IF(H309="","",IF($I$8="A",(RANK(H309,H$11:H$363,1)+COUNTIF(H$11:H309,H309)-1),(RANK(H309,H$11:H$363)+COUNTIF(H$11:H309,H309)-1)))</f>
        <v/>
      </c>
      <c r="J309" s="58"/>
      <c r="K309" s="51" t="str">
        <f t="shared" si="113"/>
        <v/>
      </c>
      <c r="L309" s="59" t="str">
        <f t="shared" si="100"/>
        <v/>
      </c>
      <c r="M309" s="153" t="str">
        <f t="shared" si="105"/>
        <v/>
      </c>
      <c r="N309" s="148" t="str">
        <f t="shared" si="106"/>
        <v/>
      </c>
      <c r="O309" s="131" t="str">
        <f t="shared" si="101"/>
        <v/>
      </c>
      <c r="P309" s="131" t="str">
        <f t="shared" si="114"/>
        <v/>
      </c>
      <c r="Q309" s="131" t="str">
        <f t="shared" si="115"/>
        <v/>
      </c>
      <c r="R309" s="127" t="str">
        <f t="shared" si="116"/>
        <v/>
      </c>
      <c r="S309" s="60" t="str">
        <f t="shared" si="107"/>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3"/>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4"/>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10</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8</v>
      </c>
      <c r="G310" s="105"/>
      <c r="H310" s="60">
        <f t="shared" si="99"/>
        <v>8</v>
      </c>
      <c r="I310" s="112">
        <f>IF(H310="","",IF($I$8="A",(RANK(H310,H$11:H$363,1)+COUNTIF(H$11:H310,H310)-1),(RANK(H310,H$11:H$363)+COUNTIF(H$11:H310,H310)-1)))</f>
        <v>5</v>
      </c>
      <c r="J310" s="58"/>
      <c r="K310" s="51" t="str">
        <f t="shared" si="113"/>
        <v/>
      </c>
      <c r="L310" s="59" t="str">
        <f t="shared" si="100"/>
        <v/>
      </c>
      <c r="M310" s="153" t="str">
        <f t="shared" si="105"/>
        <v/>
      </c>
      <c r="N310" s="148" t="str">
        <f t="shared" si="106"/>
        <v/>
      </c>
      <c r="O310" s="131" t="str">
        <f t="shared" si="101"/>
        <v/>
      </c>
      <c r="P310" s="131" t="str">
        <f t="shared" si="114"/>
        <v/>
      </c>
      <c r="Q310" s="131" t="str">
        <f t="shared" si="115"/>
        <v/>
      </c>
      <c r="R310" s="127" t="str">
        <f t="shared" si="116"/>
        <v/>
      </c>
      <c r="S310" s="60" t="str">
        <f t="shared" si="107"/>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3"/>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4"/>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8</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20</v>
      </c>
      <c r="G311" s="105"/>
      <c r="H311" s="60">
        <f t="shared" si="99"/>
        <v>20</v>
      </c>
      <c r="I311" s="112">
        <f>IF(H311="","",IF($I$8="A",(RANK(H311,H$11:H$363,1)+COUNTIF(H$11:H311,H311)-1),(RANK(H311,H$11:H$363)+COUNTIF(H$11:H311,H311)-1)))</f>
        <v>118</v>
      </c>
      <c r="J311" s="58"/>
      <c r="K311" s="51" t="str">
        <f t="shared" si="113"/>
        <v/>
      </c>
      <c r="L311" s="59" t="str">
        <f t="shared" si="100"/>
        <v/>
      </c>
      <c r="M311" s="153" t="str">
        <f t="shared" si="105"/>
        <v/>
      </c>
      <c r="N311" s="148" t="str">
        <f t="shared" si="106"/>
        <v/>
      </c>
      <c r="O311" s="131" t="str">
        <f t="shared" si="101"/>
        <v/>
      </c>
      <c r="P311" s="131" t="str">
        <f t="shared" si="114"/>
        <v/>
      </c>
      <c r="Q311" s="131" t="str">
        <f t="shared" si="115"/>
        <v/>
      </c>
      <c r="R311" s="127" t="str">
        <f t="shared" si="116"/>
        <v/>
      </c>
      <c r="S311" s="60" t="str">
        <f t="shared" si="107"/>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3"/>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4"/>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20</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11</v>
      </c>
      <c r="G312" s="105"/>
      <c r="H312" s="60">
        <f t="shared" si="99"/>
        <v>11</v>
      </c>
      <c r="I312" s="112">
        <f>IF(H312="","",IF($I$8="A",(RANK(H312,H$11:H$363,1)+COUNTIF(H$11:H312,H312)-1),(RANK(H312,H$11:H$363)+COUNTIF(H$11:H312,H312)-1)))</f>
        <v>15</v>
      </c>
      <c r="J312" s="58"/>
      <c r="K312" s="51" t="str">
        <f t="shared" si="113"/>
        <v/>
      </c>
      <c r="L312" s="59" t="str">
        <f t="shared" si="100"/>
        <v/>
      </c>
      <c r="M312" s="153" t="str">
        <f t="shared" si="105"/>
        <v/>
      </c>
      <c r="N312" s="148" t="str">
        <f t="shared" si="106"/>
        <v/>
      </c>
      <c r="O312" s="131" t="str">
        <f t="shared" si="101"/>
        <v/>
      </c>
      <c r="P312" s="131" t="str">
        <f t="shared" si="114"/>
        <v/>
      </c>
      <c r="Q312" s="131" t="str">
        <f t="shared" si="115"/>
        <v/>
      </c>
      <c r="R312" s="127" t="str">
        <f t="shared" si="116"/>
        <v/>
      </c>
      <c r="S312" s="60" t="str">
        <f t="shared" si="107"/>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3"/>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4"/>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11</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15</v>
      </c>
      <c r="G313" s="105"/>
      <c r="H313" s="60">
        <f t="shared" si="99"/>
        <v>15</v>
      </c>
      <c r="I313" s="112">
        <f>IF(H313="","",IF($I$8="A",(RANK(H313,H$11:H$363,1)+COUNTIF(H$11:H313,H313)-1),(RANK(H313,H$11:H$363)+COUNTIF(H$11:H313,H313)-1)))</f>
        <v>52</v>
      </c>
      <c r="J313" s="58"/>
      <c r="K313" s="51" t="str">
        <f t="shared" si="113"/>
        <v/>
      </c>
      <c r="L313" s="59" t="str">
        <f t="shared" si="100"/>
        <v/>
      </c>
      <c r="M313" s="153" t="str">
        <f t="shared" si="105"/>
        <v/>
      </c>
      <c r="N313" s="148" t="str">
        <f t="shared" si="106"/>
        <v/>
      </c>
      <c r="O313" s="131" t="str">
        <f t="shared" si="101"/>
        <v/>
      </c>
      <c r="P313" s="131" t="str">
        <f t="shared" si="114"/>
        <v/>
      </c>
      <c r="Q313" s="131" t="str">
        <f t="shared" si="115"/>
        <v/>
      </c>
      <c r="R313" s="127" t="str">
        <f t="shared" si="116"/>
        <v/>
      </c>
      <c r="S313" s="60" t="str">
        <f t="shared" si="107"/>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3"/>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4"/>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15</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36</v>
      </c>
      <c r="G314" s="105"/>
      <c r="H314" s="60" t="str">
        <f t="shared" si="99"/>
        <v/>
      </c>
      <c r="I314" s="112" t="str">
        <f>IF(H314="","",IF($I$8="A",(RANK(H314,H$11:H$363,1)+COUNTIF(H$11:H314,H314)-1),(RANK(H314,H$11:H$363)+COUNTIF(H$11:H314,H314)-1)))</f>
        <v/>
      </c>
      <c r="J314" s="58"/>
      <c r="K314" s="51" t="str">
        <f t="shared" si="113"/>
        <v/>
      </c>
      <c r="L314" s="59" t="str">
        <f t="shared" si="100"/>
        <v/>
      </c>
      <c r="M314" s="153" t="str">
        <f t="shared" si="105"/>
        <v/>
      </c>
      <c r="N314" s="148" t="str">
        <f t="shared" si="106"/>
        <v/>
      </c>
      <c r="O314" s="131" t="str">
        <f t="shared" si="101"/>
        <v/>
      </c>
      <c r="P314" s="131" t="str">
        <f t="shared" si="114"/>
        <v/>
      </c>
      <c r="Q314" s="131" t="str">
        <f t="shared" si="115"/>
        <v/>
      </c>
      <c r="R314" s="127" t="str">
        <f t="shared" si="116"/>
        <v/>
      </c>
      <c r="S314" s="60" t="str">
        <f t="shared" si="107"/>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3"/>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4"/>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36</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19</v>
      </c>
      <c r="G315" s="105"/>
      <c r="H315" s="60">
        <f t="shared" si="99"/>
        <v>19</v>
      </c>
      <c r="I315" s="112">
        <f>IF(H315="","",IF($I$8="A",(RANK(H315,H$11:H$363,1)+COUNTIF(H$11:H315,H315)-1),(RANK(H315,H$11:H$363)+COUNTIF(H$11:H315,H315)-1)))</f>
        <v>102</v>
      </c>
      <c r="J315" s="58"/>
      <c r="K315" s="51" t="str">
        <f t="shared" si="113"/>
        <v/>
      </c>
      <c r="L315" s="59" t="str">
        <f t="shared" si="100"/>
        <v/>
      </c>
      <c r="M315" s="153" t="str">
        <f t="shared" si="105"/>
        <v/>
      </c>
      <c r="N315" s="148" t="str">
        <f t="shared" si="106"/>
        <v/>
      </c>
      <c r="O315" s="131" t="str">
        <f t="shared" si="101"/>
        <v/>
      </c>
      <c r="P315" s="131" t="str">
        <f t="shared" si="114"/>
        <v/>
      </c>
      <c r="Q315" s="131" t="str">
        <f t="shared" si="115"/>
        <v/>
      </c>
      <c r="R315" s="127" t="str">
        <f t="shared" si="116"/>
        <v/>
      </c>
      <c r="S315" s="60" t="str">
        <f t="shared" si="107"/>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3"/>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4"/>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19</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18</v>
      </c>
      <c r="G316" s="105"/>
      <c r="H316" s="60" t="str">
        <f t="shared" si="99"/>
        <v/>
      </c>
      <c r="I316" s="112" t="str">
        <f>IF(H316="","",IF($I$8="A",(RANK(H316,H$11:H$363,1)+COUNTIF(H$11:H316,H316)-1),(RANK(H316,H$11:H$363)+COUNTIF(H$11:H316,H316)-1)))</f>
        <v/>
      </c>
      <c r="J316" s="58"/>
      <c r="K316" s="51" t="str">
        <f t="shared" si="113"/>
        <v/>
      </c>
      <c r="L316" s="59" t="str">
        <f t="shared" si="100"/>
        <v/>
      </c>
      <c r="M316" s="153" t="str">
        <f t="shared" si="105"/>
        <v/>
      </c>
      <c r="N316" s="148" t="str">
        <f t="shared" si="106"/>
        <v/>
      </c>
      <c r="O316" s="131" t="str">
        <f t="shared" si="101"/>
        <v/>
      </c>
      <c r="P316" s="131" t="str">
        <f t="shared" si="114"/>
        <v/>
      </c>
      <c r="Q316" s="131" t="str">
        <f t="shared" si="115"/>
        <v/>
      </c>
      <c r="R316" s="127" t="str">
        <f t="shared" si="116"/>
        <v/>
      </c>
      <c r="S316" s="60" t="str">
        <f t="shared" si="107"/>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3"/>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4"/>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18</v>
      </c>
      <c r="AY316" s="156"/>
      <c r="AZ316" s="44"/>
    </row>
    <row r="317" spans="1:52">
      <c r="A317" s="84" t="str">
        <f>$D$1&amp;307</f>
        <v>SD307</v>
      </c>
      <c r="B317" s="85">
        <f>IF(ISERROR(VLOOKUP(A317,classifications!A:C,3,FALSE)),0,VLOOKUP(A317,classifications!A:C,3,FALSE))</f>
        <v>0</v>
      </c>
      <c r="C317" s="31" t="s">
        <v>351</v>
      </c>
      <c r="D317" s="49" t="str">
        <f>VLOOKUP($C317,classifications!$C:$J,4,FALSE)</f>
        <v>SD</v>
      </c>
      <c r="E317" s="49">
        <f>VLOOKUP(C317,classifications!C:K,9,FALSE)</f>
        <v>0</v>
      </c>
      <c r="F317" s="59">
        <f t="shared" si="98"/>
        <v>11</v>
      </c>
      <c r="G317" s="105"/>
      <c r="H317" s="60">
        <f t="shared" si="99"/>
        <v>11</v>
      </c>
      <c r="I317" s="112">
        <f>IF(H317="","",IF($I$8="A",(RANK(H317,H$11:H$363,1)+COUNTIF(H$11:H317,H317)-1),(RANK(H317,H$11:H$363)+COUNTIF(H$11:H317,H317)-1)))</f>
        <v>16</v>
      </c>
      <c r="J317" s="58"/>
      <c r="K317" s="51" t="str">
        <f t="shared" si="113"/>
        <v/>
      </c>
      <c r="L317" s="59" t="str">
        <f t="shared" si="100"/>
        <v/>
      </c>
      <c r="M317" s="153" t="str">
        <f t="shared" si="105"/>
        <v/>
      </c>
      <c r="N317" s="148" t="str">
        <f t="shared" si="106"/>
        <v/>
      </c>
      <c r="O317" s="131" t="str">
        <f t="shared" si="101"/>
        <v/>
      </c>
      <c r="P317" s="131" t="str">
        <f t="shared" si="114"/>
        <v/>
      </c>
      <c r="Q317" s="131" t="str">
        <f t="shared" si="115"/>
        <v/>
      </c>
      <c r="R317" s="127" t="str">
        <f t="shared" si="116"/>
        <v/>
      </c>
      <c r="S317" s="60" t="str">
        <f t="shared" si="107"/>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3"/>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4"/>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11</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42</v>
      </c>
      <c r="G318" s="105"/>
      <c r="H318" s="60" t="str">
        <f t="shared" si="99"/>
        <v/>
      </c>
      <c r="I318" s="112" t="str">
        <f>IF(H318="","",IF($I$8="A",(RANK(H318,H$11:H$363,1)+COUNTIF(H$11:H318,H318)-1),(RANK(H318,H$11:H$363)+COUNTIF(H$11:H318,H318)-1)))</f>
        <v/>
      </c>
      <c r="J318" s="58"/>
      <c r="K318" s="51" t="str">
        <f t="shared" si="113"/>
        <v/>
      </c>
      <c r="L318" s="59" t="str">
        <f t="shared" si="100"/>
        <v/>
      </c>
      <c r="M318" s="153" t="str">
        <f t="shared" si="105"/>
        <v/>
      </c>
      <c r="N318" s="148" t="str">
        <f t="shared" si="106"/>
        <v/>
      </c>
      <c r="O318" s="131" t="str">
        <f t="shared" si="101"/>
        <v/>
      </c>
      <c r="P318" s="131" t="str">
        <f t="shared" si="114"/>
        <v/>
      </c>
      <c r="Q318" s="131" t="str">
        <f t="shared" si="115"/>
        <v/>
      </c>
      <c r="R318" s="127" t="str">
        <f t="shared" si="116"/>
        <v/>
      </c>
      <c r="S318" s="60" t="str">
        <f t="shared" si="107"/>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3"/>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4"/>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42</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16</v>
      </c>
      <c r="G319" s="105"/>
      <c r="H319" s="60">
        <f t="shared" si="99"/>
        <v>16</v>
      </c>
      <c r="I319" s="112">
        <f>IF(H319="","",IF($I$8="A",(RANK(H319,H$11:H$363,1)+COUNTIF(H$11:H319,H319)-1),(RANK(H319,H$11:H$363)+COUNTIF(H$11:H319,H319)-1)))</f>
        <v>69</v>
      </c>
      <c r="J319" s="58"/>
      <c r="K319" s="51" t="str">
        <f t="shared" si="113"/>
        <v/>
      </c>
      <c r="L319" s="59" t="str">
        <f t="shared" si="100"/>
        <v/>
      </c>
      <c r="M319" s="153" t="str">
        <f t="shared" si="105"/>
        <v/>
      </c>
      <c r="N319" s="148" t="str">
        <f t="shared" si="106"/>
        <v/>
      </c>
      <c r="O319" s="131" t="str">
        <f t="shared" si="101"/>
        <v/>
      </c>
      <c r="P319" s="131" t="str">
        <f t="shared" si="114"/>
        <v/>
      </c>
      <c r="Q319" s="131" t="str">
        <f t="shared" si="115"/>
        <v/>
      </c>
      <c r="R319" s="127" t="str">
        <f t="shared" si="116"/>
        <v/>
      </c>
      <c r="S319" s="60" t="str">
        <f t="shared" si="107"/>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3"/>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4"/>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16</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23</v>
      </c>
      <c r="G320" s="105"/>
      <c r="H320" s="60" t="str">
        <f t="shared" si="99"/>
        <v/>
      </c>
      <c r="I320" s="112" t="str">
        <f>IF(H320="","",IF($I$8="A",(RANK(H320,H$11:H$363,1)+COUNTIF(H$11:H320,H320)-1),(RANK(H320,H$11:H$363)+COUNTIF(H$11:H320,H320)-1)))</f>
        <v/>
      </c>
      <c r="J320" s="58"/>
      <c r="K320" s="51" t="str">
        <f t="shared" si="113"/>
        <v/>
      </c>
      <c r="L320" s="59" t="str">
        <f t="shared" si="100"/>
        <v/>
      </c>
      <c r="M320" s="153" t="str">
        <f t="shared" si="105"/>
        <v/>
      </c>
      <c r="N320" s="148" t="str">
        <f t="shared" si="106"/>
        <v/>
      </c>
      <c r="O320" s="131" t="str">
        <f t="shared" si="101"/>
        <v/>
      </c>
      <c r="P320" s="131" t="str">
        <f t="shared" si="114"/>
        <v/>
      </c>
      <c r="Q320" s="131" t="str">
        <f t="shared" si="115"/>
        <v/>
      </c>
      <c r="R320" s="127" t="str">
        <f t="shared" si="116"/>
        <v/>
      </c>
      <c r="S320" s="60" t="str">
        <f t="shared" si="107"/>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3"/>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4"/>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23</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14</v>
      </c>
      <c r="G321" s="105"/>
      <c r="H321" s="60" t="str">
        <f t="shared" si="99"/>
        <v/>
      </c>
      <c r="I321" s="112" t="str">
        <f>IF(H321="","",IF($I$8="A",(RANK(H321,H$11:H$363,1)+COUNTIF(H$11:H321,H321)-1),(RANK(H321,H$11:H$363)+COUNTIF(H$11:H321,H321)-1)))</f>
        <v/>
      </c>
      <c r="J321" s="58"/>
      <c r="K321" s="51" t="str">
        <f t="shared" si="113"/>
        <v/>
      </c>
      <c r="L321" s="59" t="str">
        <f t="shared" si="100"/>
        <v/>
      </c>
      <c r="M321" s="153" t="str">
        <f t="shared" si="105"/>
        <v/>
      </c>
      <c r="N321" s="148" t="str">
        <f t="shared" si="106"/>
        <v/>
      </c>
      <c r="O321" s="131" t="str">
        <f t="shared" si="101"/>
        <v/>
      </c>
      <c r="P321" s="131" t="str">
        <f t="shared" si="114"/>
        <v/>
      </c>
      <c r="Q321" s="131" t="str">
        <f t="shared" si="115"/>
        <v/>
      </c>
      <c r="R321" s="127" t="str">
        <f t="shared" si="116"/>
        <v/>
      </c>
      <c r="S321" s="60" t="str">
        <f t="shared" si="107"/>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3"/>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4"/>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14</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17</v>
      </c>
      <c r="G322" s="105"/>
      <c r="H322" s="60">
        <f t="shared" si="99"/>
        <v>17</v>
      </c>
      <c r="I322" s="112">
        <f>IF(H322="","",IF($I$8="A",(RANK(H322,H$11:H$363,1)+COUNTIF(H$11:H322,H322)-1),(RANK(H322,H$11:H$363)+COUNTIF(H$11:H322,H322)-1)))</f>
        <v>79</v>
      </c>
      <c r="J322" s="58"/>
      <c r="K322" s="51" t="str">
        <f t="shared" si="113"/>
        <v/>
      </c>
      <c r="L322" s="59" t="str">
        <f t="shared" si="100"/>
        <v/>
      </c>
      <c r="M322" s="153" t="str">
        <f t="shared" si="105"/>
        <v/>
      </c>
      <c r="N322" s="148" t="str">
        <f t="shared" si="106"/>
        <v/>
      </c>
      <c r="O322" s="131" t="str">
        <f t="shared" si="101"/>
        <v/>
      </c>
      <c r="P322" s="131" t="str">
        <f t="shared" si="114"/>
        <v/>
      </c>
      <c r="Q322" s="131" t="str">
        <f t="shared" si="115"/>
        <v/>
      </c>
      <c r="R322" s="127" t="str">
        <f t="shared" si="116"/>
        <v/>
      </c>
      <c r="S322" s="60" t="str">
        <f t="shared" si="107"/>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3"/>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4"/>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17</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21</v>
      </c>
      <c r="G323" s="105"/>
      <c r="H323" s="60">
        <f t="shared" si="99"/>
        <v>21</v>
      </c>
      <c r="I323" s="112">
        <f>IF(H323="","",IF($I$8="A",(RANK(H323,H$11:H$363,1)+COUNTIF(H$11:H323,H323)-1),(RANK(H323,H$11:H$363)+COUNTIF(H$11:H323,H323)-1)))</f>
        <v>132</v>
      </c>
      <c r="J323" s="58"/>
      <c r="K323" s="51" t="str">
        <f t="shared" si="113"/>
        <v/>
      </c>
      <c r="L323" s="59" t="str">
        <f t="shared" si="100"/>
        <v/>
      </c>
      <c r="M323" s="153" t="str">
        <f t="shared" si="105"/>
        <v/>
      </c>
      <c r="N323" s="148" t="str">
        <f t="shared" si="106"/>
        <v/>
      </c>
      <c r="O323" s="131" t="str">
        <f t="shared" si="101"/>
        <v/>
      </c>
      <c r="P323" s="131" t="str">
        <f t="shared" si="114"/>
        <v/>
      </c>
      <c r="Q323" s="131" t="str">
        <f t="shared" si="115"/>
        <v/>
      </c>
      <c r="R323" s="127" t="str">
        <f t="shared" si="116"/>
        <v/>
      </c>
      <c r="S323" s="60" t="str">
        <f t="shared" si="107"/>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3"/>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4"/>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21</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12</v>
      </c>
      <c r="G324" s="105"/>
      <c r="H324" s="60">
        <f t="shared" si="99"/>
        <v>12</v>
      </c>
      <c r="I324" s="112">
        <f>IF(H324="","",IF($I$8="A",(RANK(H324,H$11:H$363,1)+COUNTIF(H$11:H324,H324)-1),(RANK(H324,H$11:H$363)+COUNTIF(H$11:H324,H324)-1)))</f>
        <v>20</v>
      </c>
      <c r="J324" s="58"/>
      <c r="K324" s="51" t="str">
        <f t="shared" si="113"/>
        <v/>
      </c>
      <c r="L324" s="59" t="str">
        <f t="shared" si="100"/>
        <v/>
      </c>
      <c r="M324" s="153" t="str">
        <f t="shared" si="105"/>
        <v/>
      </c>
      <c r="N324" s="148" t="str">
        <f t="shared" si="106"/>
        <v/>
      </c>
      <c r="O324" s="131" t="str">
        <f t="shared" si="101"/>
        <v/>
      </c>
      <c r="P324" s="131" t="str">
        <f t="shared" si="114"/>
        <v/>
      </c>
      <c r="Q324" s="131" t="str">
        <f t="shared" si="115"/>
        <v/>
      </c>
      <c r="R324" s="127" t="str">
        <f t="shared" si="116"/>
        <v/>
      </c>
      <c r="S324" s="60" t="str">
        <f t="shared" si="107"/>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3"/>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4"/>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12</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22</v>
      </c>
      <c r="G325" s="105"/>
      <c r="H325" s="60" t="str">
        <f t="shared" si="99"/>
        <v/>
      </c>
      <c r="I325" s="112" t="str">
        <f>IF(H325="","",IF($I$8="A",(RANK(H325,H$11:H$363,1)+COUNTIF(H$11:H325,H325)-1),(RANK(H325,H$11:H$363)+COUNTIF(H$11:H325,H325)-1)))</f>
        <v/>
      </c>
      <c r="J325" s="58"/>
      <c r="K325" s="51" t="str">
        <f t="shared" si="113"/>
        <v/>
      </c>
      <c r="L325" s="59" t="str">
        <f t="shared" si="100"/>
        <v/>
      </c>
      <c r="M325" s="153" t="str">
        <f t="shared" si="105"/>
        <v/>
      </c>
      <c r="N325" s="148" t="str">
        <f t="shared" si="106"/>
        <v/>
      </c>
      <c r="O325" s="131" t="str">
        <f t="shared" si="101"/>
        <v/>
      </c>
      <c r="P325" s="131" t="str">
        <f t="shared" si="114"/>
        <v/>
      </c>
      <c r="Q325" s="131" t="str">
        <f t="shared" si="115"/>
        <v/>
      </c>
      <c r="R325" s="127" t="str">
        <f t="shared" si="116"/>
        <v/>
      </c>
      <c r="S325" s="60" t="str">
        <f t="shared" si="107"/>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3"/>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4"/>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22</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30</v>
      </c>
      <c r="G326" s="105"/>
      <c r="H326" s="60" t="str">
        <f t="shared" si="99"/>
        <v/>
      </c>
      <c r="I326" s="112" t="str">
        <f>IF(H326="","",IF($I$8="A",(RANK(H326,H$11:H$363,1)+COUNTIF(H$11:H326,H326)-1),(RANK(H326,H$11:H$363)+COUNTIF(H$11:H326,H326)-1)))</f>
        <v/>
      </c>
      <c r="J326" s="58"/>
      <c r="K326" s="51" t="str">
        <f t="shared" si="113"/>
        <v/>
      </c>
      <c r="L326" s="59" t="str">
        <f t="shared" si="100"/>
        <v/>
      </c>
      <c r="M326" s="153" t="str">
        <f t="shared" si="105"/>
        <v/>
      </c>
      <c r="N326" s="148" t="str">
        <f t="shared" si="106"/>
        <v/>
      </c>
      <c r="O326" s="131" t="str">
        <f t="shared" si="101"/>
        <v/>
      </c>
      <c r="P326" s="131" t="str">
        <f t="shared" si="114"/>
        <v/>
      </c>
      <c r="Q326" s="131" t="str">
        <f t="shared" si="115"/>
        <v/>
      </c>
      <c r="R326" s="127" t="str">
        <f t="shared" si="116"/>
        <v/>
      </c>
      <c r="S326" s="60" t="str">
        <f t="shared" si="107"/>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3"/>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4"/>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30</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21</v>
      </c>
      <c r="G327" s="105"/>
      <c r="H327" s="60" t="str">
        <f t="shared" si="99"/>
        <v/>
      </c>
      <c r="I327" s="112" t="str">
        <f>IF(H327="","",IF($I$8="A",(RANK(H327,H$11:H$363,1)+COUNTIF(H$11:H327,H327)-1),(RANK(H327,H$11:H$363)+COUNTIF(H$11:H327,H327)-1)))</f>
        <v/>
      </c>
      <c r="J327" s="58"/>
      <c r="K327" s="51" t="str">
        <f t="shared" si="113"/>
        <v/>
      </c>
      <c r="L327" s="59" t="str">
        <f t="shared" si="100"/>
        <v/>
      </c>
      <c r="M327" s="153" t="str">
        <f t="shared" si="105"/>
        <v/>
      </c>
      <c r="N327" s="148" t="str">
        <f t="shared" si="106"/>
        <v/>
      </c>
      <c r="O327" s="131" t="str">
        <f t="shared" si="101"/>
        <v/>
      </c>
      <c r="P327" s="131" t="str">
        <f t="shared" si="114"/>
        <v/>
      </c>
      <c r="Q327" s="131" t="str">
        <f t="shared" si="115"/>
        <v/>
      </c>
      <c r="R327" s="127" t="str">
        <f t="shared" si="116"/>
        <v/>
      </c>
      <c r="S327" s="60" t="str">
        <f t="shared" si="107"/>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3"/>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4"/>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21</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24</v>
      </c>
      <c r="G328" s="105"/>
      <c r="H328" s="60" t="str">
        <f t="shared" si="99"/>
        <v/>
      </c>
      <c r="I328" s="112" t="str">
        <f>IF(H328="","",IF($I$8="A",(RANK(H328,H$11:H$363,1)+COUNTIF(H$11:H328,H328)-1),(RANK(H328,H$11:H$363)+COUNTIF(H$11:H328,H328)-1)))</f>
        <v/>
      </c>
      <c r="J328" s="58"/>
      <c r="K328" s="51" t="str">
        <f t="shared" si="113"/>
        <v/>
      </c>
      <c r="L328" s="59" t="str">
        <f t="shared" si="100"/>
        <v/>
      </c>
      <c r="M328" s="153" t="str">
        <f t="shared" si="105"/>
        <v/>
      </c>
      <c r="N328" s="148" t="str">
        <f t="shared" si="106"/>
        <v/>
      </c>
      <c r="O328" s="131" t="str">
        <f t="shared" si="101"/>
        <v/>
      </c>
      <c r="P328" s="131" t="str">
        <f t="shared" si="114"/>
        <v/>
      </c>
      <c r="Q328" s="131" t="str">
        <f t="shared" si="115"/>
        <v/>
      </c>
      <c r="R328" s="127" t="str">
        <f t="shared" si="116"/>
        <v/>
      </c>
      <c r="S328" s="60" t="str">
        <f t="shared" si="107"/>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3"/>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4"/>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24</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17</v>
      </c>
      <c r="G329" s="105"/>
      <c r="H329" s="60" t="str">
        <f t="shared" si="99"/>
        <v/>
      </c>
      <c r="I329" s="112" t="str">
        <f>IF(H329="","",IF($I$8="A",(RANK(H329,H$11:H$363,1)+COUNTIF(H$11:H329,H329)-1),(RANK(H329,H$11:H$363)+COUNTIF(H$11:H329,H329)-1)))</f>
        <v/>
      </c>
      <c r="J329" s="58"/>
      <c r="K329" s="51" t="str">
        <f t="shared" si="113"/>
        <v/>
      </c>
      <c r="L329" s="59" t="str">
        <f t="shared" si="100"/>
        <v/>
      </c>
      <c r="M329" s="153" t="str">
        <f t="shared" si="105"/>
        <v/>
      </c>
      <c r="N329" s="148" t="str">
        <f t="shared" si="106"/>
        <v/>
      </c>
      <c r="O329" s="131" t="str">
        <f t="shared" si="101"/>
        <v/>
      </c>
      <c r="P329" s="131" t="str">
        <f t="shared" si="114"/>
        <v/>
      </c>
      <c r="Q329" s="131" t="str">
        <f t="shared" si="115"/>
        <v/>
      </c>
      <c r="R329" s="127" t="str">
        <f t="shared" si="116"/>
        <v/>
      </c>
      <c r="S329" s="60" t="str">
        <f t="shared" si="107"/>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3"/>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4"/>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17</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27</v>
      </c>
      <c r="G330" s="105"/>
      <c r="H330" s="60">
        <f t="shared" si="99"/>
        <v>27</v>
      </c>
      <c r="I330" s="112">
        <f>IF(H330="","",IF($I$8="A",(RANK(H330,H$11:H$363,1)+COUNTIF(H$11:H330,H330)-1),(RANK(H330,H$11:H$363)+COUNTIF(H$11:H330,H330)-1)))</f>
        <v>186</v>
      </c>
      <c r="J330" s="58"/>
      <c r="K330" s="51" t="str">
        <f t="shared" si="113"/>
        <v/>
      </c>
      <c r="L330" s="59" t="str">
        <f t="shared" si="100"/>
        <v/>
      </c>
      <c r="M330" s="153" t="str">
        <f t="shared" si="105"/>
        <v/>
      </c>
      <c r="N330" s="148" t="str">
        <f t="shared" si="106"/>
        <v/>
      </c>
      <c r="O330" s="131" t="str">
        <f t="shared" si="101"/>
        <v/>
      </c>
      <c r="P330" s="131" t="str">
        <f t="shared" si="114"/>
        <v/>
      </c>
      <c r="Q330" s="131" t="str">
        <f t="shared" si="115"/>
        <v/>
      </c>
      <c r="R330" s="127" t="str">
        <f t="shared" si="116"/>
        <v/>
      </c>
      <c r="S330" s="60" t="str">
        <f t="shared" si="107"/>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3"/>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4"/>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27</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5"/>
        <v/>
      </c>
      <c r="N331" s="148" t="str">
        <f t="shared" si="106"/>
        <v/>
      </c>
      <c r="O331" s="131" t="str">
        <f t="shared" ref="O331:O363" si="124">IF(I$8="A",IF(N331&gt;=$P$7,IF(N331&lt;=$O$10,N331,""),""),IF(N331&lt;=$P$7,IF(N331&gt;=$O$10,N331,""),""))</f>
        <v/>
      </c>
      <c r="P331" s="131" t="str">
        <f t="shared" si="114"/>
        <v/>
      </c>
      <c r="Q331" s="131" t="str">
        <f t="shared" si="115"/>
        <v/>
      </c>
      <c r="R331" s="127" t="str">
        <f t="shared" si="116"/>
        <v/>
      </c>
      <c r="S331" s="60" t="str">
        <f t="shared" si="107"/>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ref="Y331:Y363" si="126">IF($D$1="UA",IF(X331="Largely Rural (rural including hub towns 50-79%) ",M331,IF(X331="Mainly Rural (rural including hub towns &gt;=80%) ",M331,IF(X331="Urban with Significant Rural (rural including hub towns 26-49%)",M331,""))),IF($D$1="SD",IF(X331=$H$3,M331,"")))</f>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7">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20</v>
      </c>
      <c r="G332" s="105"/>
      <c r="H332" s="60">
        <f t="shared" si="122"/>
        <v>20</v>
      </c>
      <c r="I332" s="112">
        <f>IF(H332="","",IF($I$8="A",(RANK(H332,H$11:H$363,1)+COUNTIF(H$11:H332,H332)-1),(RANK(H332,H$11:H$363)+COUNTIF(H$11:H332,H332)-1)))</f>
        <v>119</v>
      </c>
      <c r="J332" s="58"/>
      <c r="K332" s="51" t="str">
        <f t="shared" si="113"/>
        <v/>
      </c>
      <c r="L332" s="59" t="str">
        <f t="shared" si="123"/>
        <v/>
      </c>
      <c r="M332" s="153" t="str">
        <f t="shared" ref="M332:M363" si="128">IF(L332="","",IF(VLOOKUP(L332,C:D,2,FALSE)=$F$3,VLOOKUP(L332,C:H,6,FALSE),""))</f>
        <v/>
      </c>
      <c r="N332" s="148" t="str">
        <f t="shared" ref="N332:N363" si="129">IF(L332="","",IF($H$8="%%",M332*100,M332))</f>
        <v/>
      </c>
      <c r="O332" s="131" t="str">
        <f t="shared" si="124"/>
        <v/>
      </c>
      <c r="P332" s="131" t="str">
        <f t="shared" si="114"/>
        <v/>
      </c>
      <c r="Q332" s="131" t="str">
        <f t="shared" si="115"/>
        <v/>
      </c>
      <c r="R332" s="127" t="str">
        <f t="shared" si="116"/>
        <v/>
      </c>
      <c r="S332" s="60" t="str">
        <f t="shared" ref="S332:S363" si="130">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si="126"/>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7"/>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20</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29</v>
      </c>
      <c r="G333" s="105"/>
      <c r="H333" s="60">
        <f t="shared" si="122"/>
        <v>29</v>
      </c>
      <c r="I333" s="112">
        <f>IF(H333="","",IF($I$8="A",(RANK(H333,H$11:H$363,1)+COUNTIF(H$11:H333,H333)-1),(RANK(H333,H$11:H$363)+COUNTIF(H$11:H333,H333)-1)))</f>
        <v>192</v>
      </c>
      <c r="J333" s="58"/>
      <c r="K333" s="51" t="str">
        <f t="shared" ref="K333:K363" si="136">IF(K332="","",IF(K332+1&gt;(COUNT(H$11:H$363)),"",K332+1))</f>
        <v/>
      </c>
      <c r="L333" s="59" t="str">
        <f t="shared" si="123"/>
        <v/>
      </c>
      <c r="M333" s="153" t="str">
        <f t="shared" si="128"/>
        <v/>
      </c>
      <c r="N333" s="148" t="str">
        <f t="shared" si="129"/>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30"/>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26"/>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7"/>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29</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20</v>
      </c>
      <c r="G334" s="105"/>
      <c r="H334" s="60">
        <f t="shared" si="122"/>
        <v>20</v>
      </c>
      <c r="I334" s="112">
        <f>IF(H334="","",IF($I$8="A",(RANK(H334,H$11:H$363,1)+COUNTIF(H$11:H334,H334)-1),(RANK(H334,H$11:H$363)+COUNTIF(H$11:H334,H334)-1)))</f>
        <v>120</v>
      </c>
      <c r="J334" s="58"/>
      <c r="K334" s="51" t="str">
        <f t="shared" si="136"/>
        <v/>
      </c>
      <c r="L334" s="59" t="str">
        <f t="shared" si="123"/>
        <v/>
      </c>
      <c r="M334" s="153" t="str">
        <f t="shared" si="128"/>
        <v/>
      </c>
      <c r="N334" s="148" t="str">
        <f t="shared" si="129"/>
        <v/>
      </c>
      <c r="O334" s="131" t="str">
        <f t="shared" si="124"/>
        <v/>
      </c>
      <c r="P334" s="131" t="str">
        <f t="shared" si="137"/>
        <v/>
      </c>
      <c r="Q334" s="131" t="str">
        <f t="shared" si="138"/>
        <v/>
      </c>
      <c r="R334" s="127" t="str">
        <f t="shared" si="139"/>
        <v/>
      </c>
      <c r="S334" s="60" t="str">
        <f t="shared" si="130"/>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26"/>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7"/>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20</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25</v>
      </c>
      <c r="G335" s="105"/>
      <c r="H335" s="60">
        <f t="shared" si="122"/>
        <v>25</v>
      </c>
      <c r="I335" s="112">
        <f>IF(H335="","",IF($I$8="A",(RANK(H335,H$11:H$363,1)+COUNTIF(H$11:H335,H335)-1),(RANK(H335,H$11:H$363)+COUNTIF(H$11:H335,H335)-1)))</f>
        <v>174</v>
      </c>
      <c r="J335" s="58"/>
      <c r="K335" s="51" t="str">
        <f t="shared" si="136"/>
        <v/>
      </c>
      <c r="L335" s="59" t="str">
        <f t="shared" si="123"/>
        <v/>
      </c>
      <c r="M335" s="153" t="str">
        <f t="shared" si="128"/>
        <v/>
      </c>
      <c r="N335" s="148" t="str">
        <f t="shared" si="129"/>
        <v/>
      </c>
      <c r="O335" s="131" t="str">
        <f t="shared" si="124"/>
        <v/>
      </c>
      <c r="P335" s="131" t="str">
        <f t="shared" si="137"/>
        <v/>
      </c>
      <c r="Q335" s="131" t="str">
        <f t="shared" si="138"/>
        <v/>
      </c>
      <c r="R335" s="127" t="str">
        <f t="shared" si="139"/>
        <v/>
      </c>
      <c r="S335" s="60" t="str">
        <f t="shared" si="130"/>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26"/>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7"/>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25</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20</v>
      </c>
      <c r="G336" s="105"/>
      <c r="H336" s="60">
        <f t="shared" si="122"/>
        <v>20</v>
      </c>
      <c r="I336" s="112">
        <f>IF(H336="","",IF($I$8="A",(RANK(H336,H$11:H$363,1)+COUNTIF(H$11:H336,H336)-1),(RANK(H336,H$11:H$363)+COUNTIF(H$11:H336,H336)-1)))</f>
        <v>121</v>
      </c>
      <c r="J336" s="58"/>
      <c r="K336" s="51" t="str">
        <f t="shared" si="136"/>
        <v/>
      </c>
      <c r="L336" s="59" t="str">
        <f t="shared" si="123"/>
        <v/>
      </c>
      <c r="M336" s="153" t="str">
        <f t="shared" si="128"/>
        <v/>
      </c>
      <c r="N336" s="148" t="str">
        <f t="shared" si="129"/>
        <v/>
      </c>
      <c r="O336" s="131" t="str">
        <f t="shared" si="124"/>
        <v/>
      </c>
      <c r="P336" s="131" t="str">
        <f t="shared" si="137"/>
        <v/>
      </c>
      <c r="Q336" s="131" t="str">
        <f t="shared" si="138"/>
        <v/>
      </c>
      <c r="R336" s="127" t="str">
        <f t="shared" si="139"/>
        <v/>
      </c>
      <c r="S336" s="60" t="str">
        <f t="shared" si="130"/>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26"/>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7"/>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20</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12</v>
      </c>
      <c r="G337" s="105"/>
      <c r="H337" s="60">
        <f t="shared" si="122"/>
        <v>12</v>
      </c>
      <c r="I337" s="112">
        <f>IF(H337="","",IF($I$8="A",(RANK(H337,H$11:H$363,1)+COUNTIF(H$11:H337,H337)-1),(RANK(H337,H$11:H$363)+COUNTIF(H$11:H337,H337)-1)))</f>
        <v>21</v>
      </c>
      <c r="J337" s="58"/>
      <c r="K337" s="51" t="str">
        <f t="shared" si="136"/>
        <v/>
      </c>
      <c r="L337" s="59" t="str">
        <f t="shared" si="123"/>
        <v/>
      </c>
      <c r="M337" s="153" t="str">
        <f t="shared" si="128"/>
        <v/>
      </c>
      <c r="N337" s="148" t="str">
        <f t="shared" si="129"/>
        <v/>
      </c>
      <c r="O337" s="131" t="str">
        <f t="shared" si="124"/>
        <v/>
      </c>
      <c r="P337" s="131" t="str">
        <f t="shared" si="137"/>
        <v/>
      </c>
      <c r="Q337" s="131" t="str">
        <f t="shared" si="138"/>
        <v/>
      </c>
      <c r="R337" s="127" t="str">
        <f t="shared" si="139"/>
        <v/>
      </c>
      <c r="S337" s="60" t="str">
        <f t="shared" si="130"/>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26"/>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7"/>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12</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19</v>
      </c>
      <c r="G338" s="105"/>
      <c r="H338" s="60" t="str">
        <f t="shared" si="122"/>
        <v/>
      </c>
      <c r="I338" s="112" t="str">
        <f>IF(H338="","",IF($I$8="A",(RANK(H338,H$11:H$363,1)+COUNTIF(H$11:H338,H338)-1),(RANK(H338,H$11:H$363)+COUNTIF(H$11:H338,H338)-1)))</f>
        <v/>
      </c>
      <c r="J338" s="58"/>
      <c r="K338" s="51" t="str">
        <f t="shared" si="136"/>
        <v/>
      </c>
      <c r="L338" s="59" t="str">
        <f t="shared" si="123"/>
        <v/>
      </c>
      <c r="M338" s="153" t="str">
        <f t="shared" si="128"/>
        <v/>
      </c>
      <c r="N338" s="148" t="str">
        <f t="shared" si="129"/>
        <v/>
      </c>
      <c r="O338" s="131" t="str">
        <f t="shared" si="124"/>
        <v/>
      </c>
      <c r="P338" s="131" t="str">
        <f t="shared" si="137"/>
        <v/>
      </c>
      <c r="Q338" s="131" t="str">
        <f t="shared" si="138"/>
        <v/>
      </c>
      <c r="R338" s="127" t="str">
        <f t="shared" si="139"/>
        <v/>
      </c>
      <c r="S338" s="60" t="str">
        <f t="shared" si="130"/>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26"/>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7"/>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19</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21</v>
      </c>
      <c r="G339" s="105"/>
      <c r="H339" s="60">
        <f t="shared" si="122"/>
        <v>21</v>
      </c>
      <c r="I339" s="112">
        <f>IF(H339="","",IF($I$8="A",(RANK(H339,H$11:H$363,1)+COUNTIF(H$11:H339,H339)-1),(RANK(H339,H$11:H$363)+COUNTIF(H$11:H339,H339)-1)))</f>
        <v>133</v>
      </c>
      <c r="J339" s="58"/>
      <c r="K339" s="51" t="str">
        <f t="shared" si="136"/>
        <v/>
      </c>
      <c r="L339" s="59" t="str">
        <f t="shared" si="123"/>
        <v/>
      </c>
      <c r="M339" s="153" t="str">
        <f t="shared" si="128"/>
        <v/>
      </c>
      <c r="N339" s="148" t="str">
        <f t="shared" si="129"/>
        <v/>
      </c>
      <c r="O339" s="131" t="str">
        <f t="shared" si="124"/>
        <v/>
      </c>
      <c r="P339" s="131" t="str">
        <f t="shared" si="137"/>
        <v/>
      </c>
      <c r="Q339" s="131" t="str">
        <f t="shared" si="138"/>
        <v/>
      </c>
      <c r="R339" s="127" t="str">
        <f t="shared" si="139"/>
        <v/>
      </c>
      <c r="S339" s="60" t="str">
        <f t="shared" si="130"/>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26"/>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7"/>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21</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18</v>
      </c>
      <c r="G340" s="105"/>
      <c r="H340" s="60">
        <f t="shared" si="122"/>
        <v>18</v>
      </c>
      <c r="I340" s="112">
        <f>IF(H340="","",IF($I$8="A",(RANK(H340,H$11:H$363,1)+COUNTIF(H$11:H340,H340)-1),(RANK(H340,H$11:H$363)+COUNTIF(H$11:H340,H340)-1)))</f>
        <v>91</v>
      </c>
      <c r="J340" s="58"/>
      <c r="K340" s="51" t="str">
        <f t="shared" si="136"/>
        <v/>
      </c>
      <c r="L340" s="59" t="str">
        <f t="shared" si="123"/>
        <v/>
      </c>
      <c r="M340" s="153" t="str">
        <f t="shared" si="128"/>
        <v/>
      </c>
      <c r="N340" s="148" t="str">
        <f t="shared" si="129"/>
        <v/>
      </c>
      <c r="O340" s="131" t="str">
        <f t="shared" si="124"/>
        <v/>
      </c>
      <c r="P340" s="131" t="str">
        <f t="shared" si="137"/>
        <v/>
      </c>
      <c r="Q340" s="131" t="str">
        <f t="shared" si="138"/>
        <v/>
      </c>
      <c r="R340" s="127" t="str">
        <f t="shared" si="139"/>
        <v/>
      </c>
      <c r="S340" s="60" t="str">
        <f t="shared" si="130"/>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26"/>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7"/>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18</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29</v>
      </c>
      <c r="G341" s="105"/>
      <c r="H341" s="60">
        <f t="shared" si="122"/>
        <v>29</v>
      </c>
      <c r="I341" s="112">
        <f>IF(H341="","",IF($I$8="A",(RANK(H341,H$11:H$363,1)+COUNTIF(H$11:H341,H341)-1),(RANK(H341,H$11:H$363)+COUNTIF(H$11:H341,H341)-1)))</f>
        <v>193</v>
      </c>
      <c r="J341" s="58"/>
      <c r="K341" s="51" t="str">
        <f t="shared" si="136"/>
        <v/>
      </c>
      <c r="L341" s="59" t="str">
        <f t="shared" si="123"/>
        <v/>
      </c>
      <c r="M341" s="153" t="str">
        <f t="shared" si="128"/>
        <v/>
      </c>
      <c r="N341" s="148" t="str">
        <f t="shared" si="129"/>
        <v/>
      </c>
      <c r="O341" s="131" t="str">
        <f t="shared" si="124"/>
        <v/>
      </c>
      <c r="P341" s="131" t="str">
        <f t="shared" si="137"/>
        <v/>
      </c>
      <c r="Q341" s="131" t="str">
        <f t="shared" si="138"/>
        <v/>
      </c>
      <c r="R341" s="127" t="str">
        <f t="shared" si="139"/>
        <v/>
      </c>
      <c r="S341" s="60" t="str">
        <f t="shared" si="130"/>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26"/>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7"/>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29</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18</v>
      </c>
      <c r="G342" s="105"/>
      <c r="H342" s="60">
        <f t="shared" si="122"/>
        <v>18</v>
      </c>
      <c r="I342" s="112">
        <f>IF(H342="","",IF($I$8="A",(RANK(H342,H$11:H$363,1)+COUNTIF(H$11:H342,H342)-1),(RANK(H342,H$11:H$363)+COUNTIF(H$11:H342,H342)-1)))</f>
        <v>92</v>
      </c>
      <c r="J342" s="58"/>
      <c r="K342" s="51" t="str">
        <f t="shared" si="136"/>
        <v/>
      </c>
      <c r="L342" s="59" t="str">
        <f t="shared" si="123"/>
        <v/>
      </c>
      <c r="M342" s="153" t="str">
        <f t="shared" si="128"/>
        <v/>
      </c>
      <c r="N342" s="148" t="str">
        <f t="shared" si="129"/>
        <v/>
      </c>
      <c r="O342" s="131" t="str">
        <f t="shared" si="124"/>
        <v/>
      </c>
      <c r="P342" s="131" t="str">
        <f t="shared" si="137"/>
        <v/>
      </c>
      <c r="Q342" s="131" t="str">
        <f t="shared" si="138"/>
        <v/>
      </c>
      <c r="R342" s="127" t="str">
        <f t="shared" si="139"/>
        <v/>
      </c>
      <c r="S342" s="60" t="str">
        <f t="shared" si="130"/>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26"/>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7"/>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18</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15</v>
      </c>
      <c r="G343" s="105"/>
      <c r="H343" s="60">
        <f t="shared" si="122"/>
        <v>15</v>
      </c>
      <c r="I343" s="112">
        <f>IF(H343="","",IF($I$8="A",(RANK(H343,H$11:H$363,1)+COUNTIF(H$11:H343,H343)-1),(RANK(H343,H$11:H$363)+COUNTIF(H$11:H343,H343)-1)))</f>
        <v>53</v>
      </c>
      <c r="J343" s="58"/>
      <c r="K343" s="51" t="str">
        <f t="shared" si="136"/>
        <v/>
      </c>
      <c r="L343" s="59" t="str">
        <f t="shared" si="123"/>
        <v/>
      </c>
      <c r="M343" s="153" t="str">
        <f t="shared" si="128"/>
        <v/>
      </c>
      <c r="N343" s="148" t="str">
        <f t="shared" si="129"/>
        <v/>
      </c>
      <c r="O343" s="131" t="str">
        <f t="shared" si="124"/>
        <v/>
      </c>
      <c r="P343" s="131" t="str">
        <f t="shared" si="137"/>
        <v/>
      </c>
      <c r="Q343" s="131" t="str">
        <f t="shared" si="138"/>
        <v/>
      </c>
      <c r="R343" s="127" t="str">
        <f t="shared" si="139"/>
        <v/>
      </c>
      <c r="S343" s="60" t="str">
        <f t="shared" si="130"/>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26"/>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7"/>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15</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20</v>
      </c>
      <c r="G344" s="105"/>
      <c r="H344" s="60">
        <f t="shared" si="122"/>
        <v>20</v>
      </c>
      <c r="I344" s="112">
        <f>IF(H344="","",IF($I$8="A",(RANK(H344,H$11:H$363,1)+COUNTIF(H$11:H344,H344)-1),(RANK(H344,H$11:H$363)+COUNTIF(H$11:H344,H344)-1)))</f>
        <v>122</v>
      </c>
      <c r="J344" s="58"/>
      <c r="K344" s="51" t="str">
        <f t="shared" si="136"/>
        <v/>
      </c>
      <c r="L344" s="59" t="str">
        <f t="shared" si="123"/>
        <v/>
      </c>
      <c r="M344" s="153" t="str">
        <f t="shared" si="128"/>
        <v/>
      </c>
      <c r="N344" s="148" t="str">
        <f t="shared" si="129"/>
        <v/>
      </c>
      <c r="O344" s="131" t="str">
        <f t="shared" si="124"/>
        <v/>
      </c>
      <c r="P344" s="131" t="str">
        <f t="shared" si="137"/>
        <v/>
      </c>
      <c r="Q344" s="131" t="str">
        <f t="shared" si="138"/>
        <v/>
      </c>
      <c r="R344" s="127" t="str">
        <f t="shared" si="139"/>
        <v/>
      </c>
      <c r="S344" s="60" t="str">
        <f t="shared" si="130"/>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26"/>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7"/>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20</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8"/>
        <v/>
      </c>
      <c r="N345" s="148" t="str">
        <f t="shared" si="129"/>
        <v/>
      </c>
      <c r="O345" s="131" t="str">
        <f t="shared" si="124"/>
        <v/>
      </c>
      <c r="P345" s="131" t="str">
        <f t="shared" si="137"/>
        <v/>
      </c>
      <c r="Q345" s="131" t="str">
        <f t="shared" si="138"/>
        <v/>
      </c>
      <c r="R345" s="127" t="str">
        <f t="shared" si="139"/>
        <v/>
      </c>
      <c r="S345" s="60" t="str">
        <f t="shared" si="130"/>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26"/>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7"/>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31</v>
      </c>
      <c r="G346" s="105"/>
      <c r="H346" s="60" t="str">
        <f t="shared" si="122"/>
        <v/>
      </c>
      <c r="I346" s="112" t="str">
        <f>IF(H346="","",IF($I$8="A",(RANK(H346,H$11:H$363,1)+COUNTIF(H$11:H346,H346)-1),(RANK(H346,H$11:H$363)+COUNTIF(H$11:H346,H346)-1)))</f>
        <v/>
      </c>
      <c r="J346" s="58"/>
      <c r="K346" s="51" t="str">
        <f t="shared" si="136"/>
        <v/>
      </c>
      <c r="L346" s="59" t="str">
        <f t="shared" si="123"/>
        <v/>
      </c>
      <c r="M346" s="153" t="str">
        <f t="shared" si="128"/>
        <v/>
      </c>
      <c r="N346" s="148" t="str">
        <f t="shared" si="129"/>
        <v/>
      </c>
      <c r="O346" s="131" t="str">
        <f t="shared" si="124"/>
        <v/>
      </c>
      <c r="P346" s="131" t="str">
        <f t="shared" si="137"/>
        <v/>
      </c>
      <c r="Q346" s="131" t="str">
        <f t="shared" si="138"/>
        <v/>
      </c>
      <c r="R346" s="127" t="str">
        <f t="shared" si="139"/>
        <v/>
      </c>
      <c r="S346" s="60" t="str">
        <f t="shared" si="130"/>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26"/>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7"/>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31</v>
      </c>
      <c r="AY346" s="156"/>
      <c r="AZ346" s="44"/>
    </row>
    <row r="347" spans="1:52">
      <c r="A347" s="84" t="str">
        <f>$D$1&amp;337</f>
        <v>SD337</v>
      </c>
      <c r="B347" s="85">
        <f>IF(ISERROR(VLOOKUP(A347,classifications!A:C,3,FALSE)),0,VLOOKUP(A347,classifications!A:C,3,FALSE))</f>
        <v>0</v>
      </c>
      <c r="C347" s="31" t="s">
        <v>352</v>
      </c>
      <c r="D347" s="49" t="str">
        <f>VLOOKUP($C347,classifications!$C:$J,4,FALSE)</f>
        <v>SD</v>
      </c>
      <c r="E347" s="49">
        <f>VLOOKUP(C347,classifications!C:K,9,FALSE)</f>
        <v>0</v>
      </c>
      <c r="F347" s="59">
        <f t="shared" si="121"/>
        <v>20</v>
      </c>
      <c r="G347" s="105"/>
      <c r="H347" s="60">
        <f t="shared" si="122"/>
        <v>20</v>
      </c>
      <c r="I347" s="112">
        <f>IF(H347="","",IF($I$8="A",(RANK(H347,H$11:H$363,1)+COUNTIF(H$11:H347,H347)-1),(RANK(H347,H$11:H$363)+COUNTIF(H$11:H347,H347)-1)))</f>
        <v>123</v>
      </c>
      <c r="J347" s="58"/>
      <c r="K347" s="51" t="str">
        <f t="shared" si="136"/>
        <v/>
      </c>
      <c r="L347" s="59" t="str">
        <f t="shared" si="123"/>
        <v/>
      </c>
      <c r="M347" s="153" t="str">
        <f t="shared" si="128"/>
        <v/>
      </c>
      <c r="N347" s="148" t="str">
        <f t="shared" si="129"/>
        <v/>
      </c>
      <c r="O347" s="131" t="str">
        <f t="shared" si="124"/>
        <v/>
      </c>
      <c r="P347" s="131" t="str">
        <f t="shared" si="137"/>
        <v/>
      </c>
      <c r="Q347" s="131" t="str">
        <f t="shared" si="138"/>
        <v/>
      </c>
      <c r="R347" s="127" t="str">
        <f t="shared" si="139"/>
        <v/>
      </c>
      <c r="S347" s="60" t="str">
        <f t="shared" si="130"/>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26"/>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7"/>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20</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54</v>
      </c>
      <c r="G348" s="105"/>
      <c r="H348" s="60" t="str">
        <f t="shared" si="122"/>
        <v/>
      </c>
      <c r="I348" s="112" t="str">
        <f>IF(H348="","",IF($I$8="A",(RANK(H348,H$11:H$363,1)+COUNTIF(H$11:H348,H348)-1),(RANK(H348,H$11:H$363)+COUNTIF(H$11:H348,H348)-1)))</f>
        <v/>
      </c>
      <c r="J348" s="58"/>
      <c r="K348" s="51" t="str">
        <f t="shared" si="136"/>
        <v/>
      </c>
      <c r="L348" s="59" t="str">
        <f t="shared" si="123"/>
        <v/>
      </c>
      <c r="M348" s="153" t="str">
        <f t="shared" si="128"/>
        <v/>
      </c>
      <c r="N348" s="148" t="str">
        <f t="shared" si="129"/>
        <v/>
      </c>
      <c r="O348" s="131" t="str">
        <f t="shared" si="124"/>
        <v/>
      </c>
      <c r="P348" s="131" t="str">
        <f t="shared" si="137"/>
        <v/>
      </c>
      <c r="Q348" s="131" t="str">
        <f t="shared" si="138"/>
        <v/>
      </c>
      <c r="R348" s="127" t="str">
        <f t="shared" si="139"/>
        <v/>
      </c>
      <c r="S348" s="60" t="str">
        <f t="shared" si="130"/>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26"/>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7"/>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54</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19</v>
      </c>
      <c r="G349" s="105"/>
      <c r="H349" s="60" t="str">
        <f t="shared" si="122"/>
        <v/>
      </c>
      <c r="I349" s="112" t="str">
        <f>IF(H349="","",IF($I$8="A",(RANK(H349,H$11:H$363,1)+COUNTIF(H$11:H349,H349)-1),(RANK(H349,H$11:H$363)+COUNTIF(H$11:H349,H349)-1)))</f>
        <v/>
      </c>
      <c r="J349" s="58"/>
      <c r="K349" s="51" t="str">
        <f t="shared" si="136"/>
        <v/>
      </c>
      <c r="L349" s="59" t="str">
        <f t="shared" si="123"/>
        <v/>
      </c>
      <c r="M349" s="153" t="str">
        <f t="shared" si="128"/>
        <v/>
      </c>
      <c r="N349" s="148" t="str">
        <f t="shared" si="129"/>
        <v/>
      </c>
      <c r="O349" s="131" t="str">
        <f t="shared" si="124"/>
        <v/>
      </c>
      <c r="P349" s="131" t="str">
        <f t="shared" si="137"/>
        <v/>
      </c>
      <c r="Q349" s="131" t="str">
        <f t="shared" si="138"/>
        <v/>
      </c>
      <c r="R349" s="127" t="str">
        <f t="shared" si="139"/>
        <v/>
      </c>
      <c r="S349" s="60" t="str">
        <f t="shared" si="130"/>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26"/>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7"/>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19</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18</v>
      </c>
      <c r="G350" s="105"/>
      <c r="H350" s="60">
        <f t="shared" si="122"/>
        <v>18</v>
      </c>
      <c r="I350" s="112">
        <f>IF(H350="","",IF($I$8="A",(RANK(H350,H$11:H$363,1)+COUNTIF(H$11:H350,H350)-1),(RANK(H350,H$11:H$363)+COUNTIF(H$11:H350,H350)-1)))</f>
        <v>93</v>
      </c>
      <c r="J350" s="58"/>
      <c r="K350" s="51" t="str">
        <f t="shared" si="136"/>
        <v/>
      </c>
      <c r="L350" s="59" t="str">
        <f t="shared" si="123"/>
        <v/>
      </c>
      <c r="M350" s="153" t="str">
        <f t="shared" si="128"/>
        <v/>
      </c>
      <c r="N350" s="148" t="str">
        <f t="shared" si="129"/>
        <v/>
      </c>
      <c r="O350" s="131" t="str">
        <f t="shared" si="124"/>
        <v/>
      </c>
      <c r="P350" s="131" t="str">
        <f t="shared" si="137"/>
        <v/>
      </c>
      <c r="Q350" s="131" t="str">
        <f t="shared" si="138"/>
        <v/>
      </c>
      <c r="R350" s="127" t="str">
        <f t="shared" si="139"/>
        <v/>
      </c>
      <c r="S350" s="60" t="str">
        <f t="shared" si="130"/>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26"/>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7"/>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18</v>
      </c>
      <c r="AY350" s="156"/>
      <c r="AZ350" s="44"/>
    </row>
    <row r="351" spans="1:52">
      <c r="A351" s="84" t="str">
        <f>$D$1&amp;341</f>
        <v>SD341</v>
      </c>
      <c r="B351" s="85">
        <f>IF(ISERROR(VLOOKUP(A351,classifications!A:C,3,FALSE)),0,VLOOKUP(A351,classifications!A:C,3,FALSE))</f>
        <v>0</v>
      </c>
      <c r="C351" s="31" t="s">
        <v>819</v>
      </c>
      <c r="D351" s="49" t="str">
        <f>VLOOKUP($C351,classifications!$C:$J,4,FALSE)</f>
        <v>UA</v>
      </c>
      <c r="E351" s="49">
        <f>VLOOKUP(C351,classifications!C:K,9,FALSE)</f>
        <v>0</v>
      </c>
      <c r="F351" s="59">
        <f t="shared" si="121"/>
        <v>23</v>
      </c>
      <c r="G351" s="105"/>
      <c r="H351" s="60" t="str">
        <f t="shared" si="122"/>
        <v/>
      </c>
      <c r="I351" s="112" t="str">
        <f>IF(H351="","",IF($I$8="A",(RANK(H351,H$11:H$363,1)+COUNTIF(H$11:H351,H351)-1),(RANK(H351,H$11:H$363)+COUNTIF(H$11:H351,H351)-1)))</f>
        <v/>
      </c>
      <c r="J351" s="58"/>
      <c r="K351" s="51" t="str">
        <f t="shared" si="136"/>
        <v/>
      </c>
      <c r="L351" s="59" t="str">
        <f t="shared" si="123"/>
        <v/>
      </c>
      <c r="M351" s="153" t="str">
        <f t="shared" si="128"/>
        <v/>
      </c>
      <c r="N351" s="148" t="str">
        <f t="shared" si="129"/>
        <v/>
      </c>
      <c r="O351" s="131" t="str">
        <f t="shared" si="124"/>
        <v/>
      </c>
      <c r="P351" s="131" t="str">
        <f t="shared" si="137"/>
        <v/>
      </c>
      <c r="Q351" s="131" t="str">
        <f t="shared" si="138"/>
        <v/>
      </c>
      <c r="R351" s="127" t="str">
        <f t="shared" si="139"/>
        <v/>
      </c>
      <c r="S351" s="60" t="str">
        <f t="shared" si="130"/>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26"/>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7"/>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23</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24</v>
      </c>
      <c r="G352" s="105"/>
      <c r="H352" s="60" t="str">
        <f t="shared" si="122"/>
        <v/>
      </c>
      <c r="I352" s="112" t="str">
        <f>IF(H352="","",IF($I$8="A",(RANK(H352,H$11:H$363,1)+COUNTIF(H$11:H352,H352)-1),(RANK(H352,H$11:H$363)+COUNTIF(H$11:H352,H352)-1)))</f>
        <v/>
      </c>
      <c r="J352" s="58"/>
      <c r="K352" s="51" t="str">
        <f t="shared" si="136"/>
        <v/>
      </c>
      <c r="L352" s="59" t="str">
        <f t="shared" si="123"/>
        <v/>
      </c>
      <c r="M352" s="153" t="str">
        <f t="shared" si="128"/>
        <v/>
      </c>
      <c r="N352" s="148" t="str">
        <f t="shared" si="129"/>
        <v/>
      </c>
      <c r="O352" s="131" t="str">
        <f t="shared" si="124"/>
        <v/>
      </c>
      <c r="P352" s="131" t="str">
        <f t="shared" si="137"/>
        <v/>
      </c>
      <c r="Q352" s="131" t="str">
        <f t="shared" si="138"/>
        <v/>
      </c>
      <c r="R352" s="127" t="str">
        <f t="shared" si="139"/>
        <v/>
      </c>
      <c r="S352" s="60" t="str">
        <f t="shared" si="130"/>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26"/>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7"/>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24</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19</v>
      </c>
      <c r="G353" s="105"/>
      <c r="H353" s="60">
        <f t="shared" si="122"/>
        <v>19</v>
      </c>
      <c r="I353" s="112">
        <f>IF(H353="","",IF($I$8="A",(RANK(H353,H$11:H$363,1)+COUNTIF(H$11:H353,H353)-1),(RANK(H353,H$11:H$363)+COUNTIF(H$11:H353,H353)-1)))</f>
        <v>103</v>
      </c>
      <c r="J353" s="58"/>
      <c r="K353" s="51" t="str">
        <f t="shared" si="136"/>
        <v/>
      </c>
      <c r="L353" s="59" t="str">
        <f t="shared" si="123"/>
        <v/>
      </c>
      <c r="M353" s="153" t="str">
        <f t="shared" si="128"/>
        <v/>
      </c>
      <c r="N353" s="148" t="str">
        <f t="shared" si="129"/>
        <v/>
      </c>
      <c r="O353" s="131" t="str">
        <f t="shared" si="124"/>
        <v/>
      </c>
      <c r="P353" s="131" t="str">
        <f t="shared" si="137"/>
        <v/>
      </c>
      <c r="Q353" s="131" t="str">
        <f t="shared" si="138"/>
        <v/>
      </c>
      <c r="R353" s="127" t="str">
        <f t="shared" si="139"/>
        <v/>
      </c>
      <c r="S353" s="60" t="str">
        <f t="shared" si="130"/>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26"/>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7"/>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19</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26</v>
      </c>
      <c r="G354" s="105"/>
      <c r="H354" s="60" t="str">
        <f t="shared" si="122"/>
        <v/>
      </c>
      <c r="I354" s="112" t="str">
        <f>IF(H354="","",IF($I$8="A",(RANK(H354,H$11:H$363,1)+COUNTIF(H$11:H354,H354)-1),(RANK(H354,H$11:H$363)+COUNTIF(H$11:H354,H354)-1)))</f>
        <v/>
      </c>
      <c r="J354" s="58"/>
      <c r="K354" s="51" t="str">
        <f t="shared" si="136"/>
        <v/>
      </c>
      <c r="L354" s="59" t="str">
        <f t="shared" si="123"/>
        <v/>
      </c>
      <c r="M354" s="153" t="str">
        <f t="shared" si="128"/>
        <v/>
      </c>
      <c r="N354" s="148" t="str">
        <f t="shared" si="129"/>
        <v/>
      </c>
      <c r="O354" s="131" t="str">
        <f t="shared" si="124"/>
        <v/>
      </c>
      <c r="P354" s="131" t="str">
        <f t="shared" si="137"/>
        <v/>
      </c>
      <c r="Q354" s="131" t="str">
        <f t="shared" si="138"/>
        <v/>
      </c>
      <c r="R354" s="127" t="str">
        <f t="shared" si="139"/>
        <v/>
      </c>
      <c r="S354" s="60" t="str">
        <f t="shared" si="130"/>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26"/>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7"/>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26</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15</v>
      </c>
      <c r="G355" s="105"/>
      <c r="H355" s="60" t="str">
        <f t="shared" si="122"/>
        <v/>
      </c>
      <c r="I355" s="112" t="str">
        <f>IF(H355="","",IF($I$8="A",(RANK(H355,H$11:H$363,1)+COUNTIF(H$11:H355,H355)-1),(RANK(H355,H$11:H$363)+COUNTIF(H$11:H355,H355)-1)))</f>
        <v/>
      </c>
      <c r="J355" s="58"/>
      <c r="K355" s="51" t="str">
        <f t="shared" si="136"/>
        <v/>
      </c>
      <c r="L355" s="59" t="str">
        <f t="shared" si="123"/>
        <v/>
      </c>
      <c r="M355" s="153" t="str">
        <f t="shared" si="128"/>
        <v/>
      </c>
      <c r="N355" s="148" t="str">
        <f t="shared" si="129"/>
        <v/>
      </c>
      <c r="O355" s="131" t="str">
        <f t="shared" si="124"/>
        <v/>
      </c>
      <c r="P355" s="131" t="str">
        <f t="shared" si="137"/>
        <v/>
      </c>
      <c r="Q355" s="131" t="str">
        <f t="shared" si="138"/>
        <v/>
      </c>
      <c r="R355" s="127" t="str">
        <f t="shared" si="139"/>
        <v/>
      </c>
      <c r="S355" s="60" t="str">
        <f t="shared" si="130"/>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26"/>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7"/>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15</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21</v>
      </c>
      <c r="G356" s="105"/>
      <c r="H356" s="60">
        <f t="shared" si="122"/>
        <v>21</v>
      </c>
      <c r="I356" s="112">
        <f>IF(H356="","",IF($I$8="A",(RANK(H356,H$11:H$363,1)+COUNTIF(H$11:H356,H356)-1),(RANK(H356,H$11:H$363)+COUNTIF(H$11:H356,H356)-1)))</f>
        <v>134</v>
      </c>
      <c r="J356" s="58"/>
      <c r="K356" s="51" t="str">
        <f t="shared" si="136"/>
        <v/>
      </c>
      <c r="L356" s="59" t="str">
        <f t="shared" si="123"/>
        <v/>
      </c>
      <c r="M356" s="153" t="str">
        <f t="shared" si="128"/>
        <v/>
      </c>
      <c r="N356" s="148" t="str">
        <f t="shared" si="129"/>
        <v/>
      </c>
      <c r="O356" s="131" t="str">
        <f t="shared" si="124"/>
        <v/>
      </c>
      <c r="P356" s="131" t="str">
        <f t="shared" si="137"/>
        <v/>
      </c>
      <c r="Q356" s="131" t="str">
        <f t="shared" si="138"/>
        <v/>
      </c>
      <c r="R356" s="127" t="str">
        <f t="shared" si="139"/>
        <v/>
      </c>
      <c r="S356" s="60" t="str">
        <f t="shared" si="130"/>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26"/>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7"/>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21</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8"/>
        <v/>
      </c>
      <c r="N357" s="148" t="str">
        <f t="shared" si="129"/>
        <v/>
      </c>
      <c r="O357" s="131" t="str">
        <f t="shared" si="124"/>
        <v/>
      </c>
      <c r="P357" s="131" t="str">
        <f t="shared" si="137"/>
        <v/>
      </c>
      <c r="Q357" s="131" t="str">
        <f t="shared" si="138"/>
        <v/>
      </c>
      <c r="R357" s="127" t="str">
        <f t="shared" si="139"/>
        <v/>
      </c>
      <c r="S357" s="60" t="str">
        <f t="shared" si="130"/>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26"/>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7"/>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19</v>
      </c>
      <c r="G358" s="105"/>
      <c r="H358" s="60">
        <f t="shared" si="122"/>
        <v>19</v>
      </c>
      <c r="I358" s="112">
        <f>IF(H358="","",IF($I$8="A",(RANK(H358,H$11:H$363,1)+COUNTIF(H$11:H358,H358)-1),(RANK(H358,H$11:H$363)+COUNTIF(H$11:H358,H358)-1)))</f>
        <v>104</v>
      </c>
      <c r="J358" s="58"/>
      <c r="K358" s="51" t="str">
        <f t="shared" si="136"/>
        <v/>
      </c>
      <c r="L358" s="59" t="str">
        <f t="shared" si="123"/>
        <v/>
      </c>
      <c r="M358" s="153" t="str">
        <f t="shared" si="128"/>
        <v/>
      </c>
      <c r="N358" s="148" t="str">
        <f t="shared" si="129"/>
        <v/>
      </c>
      <c r="O358" s="131" t="str">
        <f t="shared" si="124"/>
        <v/>
      </c>
      <c r="P358" s="131" t="str">
        <f t="shared" si="137"/>
        <v/>
      </c>
      <c r="Q358" s="131" t="str">
        <f t="shared" si="138"/>
        <v/>
      </c>
      <c r="R358" s="127" t="str">
        <f t="shared" si="139"/>
        <v/>
      </c>
      <c r="S358" s="60" t="str">
        <f t="shared" si="130"/>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26"/>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7"/>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19</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23</v>
      </c>
      <c r="G359" s="105"/>
      <c r="H359" s="60">
        <f t="shared" si="122"/>
        <v>23</v>
      </c>
      <c r="I359" s="112">
        <f>IF(H359="","",IF($I$8="A",(RANK(H359,H$11:H$363,1)+COUNTIF(H$11:H359,H359)-1),(RANK(H359,H$11:H$363)+COUNTIF(H$11:H359,H359)-1)))</f>
        <v>156</v>
      </c>
      <c r="J359" s="58"/>
      <c r="K359" s="51" t="str">
        <f t="shared" si="136"/>
        <v/>
      </c>
      <c r="L359" s="59" t="str">
        <f t="shared" si="123"/>
        <v/>
      </c>
      <c r="M359" s="153" t="str">
        <f t="shared" si="128"/>
        <v/>
      </c>
      <c r="N359" s="148" t="str">
        <f t="shared" si="129"/>
        <v/>
      </c>
      <c r="O359" s="131" t="str">
        <f t="shared" si="124"/>
        <v/>
      </c>
      <c r="P359" s="131" t="str">
        <f t="shared" si="137"/>
        <v/>
      </c>
      <c r="Q359" s="131" t="str">
        <f t="shared" si="138"/>
        <v/>
      </c>
      <c r="R359" s="127" t="str">
        <f t="shared" si="139"/>
        <v/>
      </c>
      <c r="S359" s="60" t="str">
        <f t="shared" si="130"/>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26"/>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7"/>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23</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20</v>
      </c>
      <c r="G360" s="105"/>
      <c r="H360" s="60">
        <f t="shared" si="122"/>
        <v>20</v>
      </c>
      <c r="I360" s="112">
        <f>IF(H360="","",IF($I$8="A",(RANK(H360,H$11:H$363,1)+COUNTIF(H$11:H360,H360)-1),(RANK(H360,H$11:H$363)+COUNTIF(H$11:H360,H360)-1)))</f>
        <v>124</v>
      </c>
      <c r="J360" s="58"/>
      <c r="K360" s="51" t="str">
        <f t="shared" si="136"/>
        <v/>
      </c>
      <c r="L360" s="59" t="str">
        <f t="shared" si="123"/>
        <v/>
      </c>
      <c r="M360" s="153" t="str">
        <f t="shared" si="128"/>
        <v/>
      </c>
      <c r="N360" s="148" t="str">
        <f t="shared" si="129"/>
        <v/>
      </c>
      <c r="O360" s="131" t="str">
        <f t="shared" si="124"/>
        <v/>
      </c>
      <c r="P360" s="131" t="str">
        <f t="shared" si="137"/>
        <v/>
      </c>
      <c r="Q360" s="131" t="str">
        <f t="shared" si="138"/>
        <v/>
      </c>
      <c r="R360" s="127" t="str">
        <f t="shared" si="139"/>
        <v/>
      </c>
      <c r="S360" s="60" t="str">
        <f t="shared" si="130"/>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26"/>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7"/>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20</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18</v>
      </c>
      <c r="G361" s="105"/>
      <c r="H361" s="60">
        <f t="shared" si="122"/>
        <v>18</v>
      </c>
      <c r="I361" s="112">
        <f>IF(H361="","",IF($I$8="A",(RANK(H361,H$11:H$363,1)+COUNTIF(H$11:H361,H361)-1),(RANK(H361,H$11:H$363)+COUNTIF(H$11:H361,H361)-1)))</f>
        <v>94</v>
      </c>
      <c r="J361" s="58"/>
      <c r="K361" s="51" t="str">
        <f t="shared" si="136"/>
        <v/>
      </c>
      <c r="L361" s="59" t="str">
        <f t="shared" si="123"/>
        <v/>
      </c>
      <c r="M361" s="153" t="str">
        <f t="shared" si="128"/>
        <v/>
      </c>
      <c r="N361" s="148" t="str">
        <f t="shared" si="129"/>
        <v/>
      </c>
      <c r="O361" s="131" t="str">
        <f t="shared" si="124"/>
        <v/>
      </c>
      <c r="P361" s="131" t="str">
        <f t="shared" si="137"/>
        <v/>
      </c>
      <c r="Q361" s="131" t="str">
        <f t="shared" si="138"/>
        <v/>
      </c>
      <c r="R361" s="127" t="str">
        <f t="shared" si="139"/>
        <v/>
      </c>
      <c r="S361" s="60" t="str">
        <f t="shared" si="130"/>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26"/>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7"/>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18</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30</v>
      </c>
      <c r="G362" s="105"/>
      <c r="H362" s="60">
        <f t="shared" si="122"/>
        <v>30</v>
      </c>
      <c r="I362" s="112">
        <f>IF(H362="","",IF($I$8="A",(RANK(H362,H$11:H$363,1)+COUNTIF(H$11:H362,H362)-1),(RANK(H362,H$11:H$363)+COUNTIF(H$11:H362,H362)-1)))</f>
        <v>194</v>
      </c>
      <c r="J362" s="58"/>
      <c r="K362" s="51" t="str">
        <f t="shared" si="136"/>
        <v/>
      </c>
      <c r="L362" s="59" t="str">
        <f t="shared" si="123"/>
        <v/>
      </c>
      <c r="M362" s="153" t="str">
        <f t="shared" si="128"/>
        <v/>
      </c>
      <c r="N362" s="148" t="str">
        <f t="shared" si="129"/>
        <v/>
      </c>
      <c r="O362" s="131" t="str">
        <f t="shared" si="124"/>
        <v/>
      </c>
      <c r="P362" s="131" t="str">
        <f t="shared" si="137"/>
        <v/>
      </c>
      <c r="Q362" s="131" t="str">
        <f t="shared" si="138"/>
        <v/>
      </c>
      <c r="R362" s="127" t="str">
        <f t="shared" si="139"/>
        <v/>
      </c>
      <c r="S362" s="60" t="str">
        <f t="shared" si="130"/>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26"/>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7"/>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30</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18</v>
      </c>
      <c r="G363" s="105"/>
      <c r="H363" s="60" t="str">
        <f t="shared" si="122"/>
        <v/>
      </c>
      <c r="I363" s="112" t="str">
        <f>IF(H363="","",IF($I$8="A",(RANK(H363,H$11:H$363,1)+COUNTIF(H$11:H363,H363)-1),(RANK(H363,H$11:H$363)+COUNTIF(H$11:H363,H363)-1)))</f>
        <v/>
      </c>
      <c r="J363" s="58"/>
      <c r="K363" s="51" t="str">
        <f t="shared" si="136"/>
        <v/>
      </c>
      <c r="L363" s="59" t="str">
        <f t="shared" si="123"/>
        <v/>
      </c>
      <c r="M363" s="153" t="str">
        <f t="shared" si="128"/>
        <v/>
      </c>
      <c r="N363" s="148" t="str">
        <f t="shared" si="129"/>
        <v/>
      </c>
      <c r="O363" s="131" t="str">
        <f t="shared" si="124"/>
        <v/>
      </c>
      <c r="P363" s="131" t="str">
        <f t="shared" si="137"/>
        <v/>
      </c>
      <c r="Q363" s="131" t="str">
        <f t="shared" si="138"/>
        <v/>
      </c>
      <c r="R363" s="127" t="str">
        <f t="shared" si="139"/>
        <v/>
      </c>
      <c r="S363" s="60" t="str">
        <f t="shared" si="130"/>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26"/>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7"/>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18</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4" sqref="F4"/>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809</v>
      </c>
      <c r="B1" s="92" t="s">
        <v>803</v>
      </c>
      <c r="C1" s="92" t="s">
        <v>795</v>
      </c>
      <c r="D1" s="92" t="s">
        <v>800</v>
      </c>
      <c r="F1" s="92" t="s">
        <v>810</v>
      </c>
    </row>
    <row r="2" spans="1:8" ht="15">
      <c r="A2" s="269" t="s">
        <v>891</v>
      </c>
      <c r="B2" t="s">
        <v>826</v>
      </c>
      <c r="C2" t="s">
        <v>826</v>
      </c>
      <c r="D2" t="s">
        <v>883</v>
      </c>
      <c r="F2" t="s">
        <v>895</v>
      </c>
      <c r="G2" s="6"/>
      <c r="H2" s="6"/>
    </row>
    <row r="3" spans="1:8" ht="15">
      <c r="A3" s="269" t="s">
        <v>892</v>
      </c>
      <c r="B3" t="s">
        <v>826</v>
      </c>
      <c r="C3" t="s">
        <v>826</v>
      </c>
      <c r="D3" t="s">
        <v>883</v>
      </c>
      <c r="F3" s="277" t="s">
        <v>896</v>
      </c>
      <c r="G3" s="6"/>
    </row>
    <row r="4" spans="1:8" ht="15">
      <c r="A4" s="269"/>
      <c r="F4" s="278" t="s">
        <v>903</v>
      </c>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G5" sqref="G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806</v>
      </c>
      <c r="C1" s="224" t="str">
        <f>C4&amp;C5</f>
        <v>Housing Benefit - New ClaimsQ1 2014/15</v>
      </c>
      <c r="D1" s="188" t="str">
        <f t="shared" ref="D1:BO1" si="0">D4&amp;D5</f>
        <v>Housing Benefit - Change of CircumstancesQ1 2014/15</v>
      </c>
      <c r="E1" s="188" t="str">
        <f t="shared" si="0"/>
        <v>Housing Benefit - New ClaimsQ2 2014/15</v>
      </c>
      <c r="F1" s="188" t="str">
        <f t="shared" si="0"/>
        <v>Housing Benefit - Change of CircumstancesQ2 2014/15</v>
      </c>
      <c r="G1" s="188" t="str">
        <f t="shared" si="0"/>
        <v>Housing Benefit - New ClaimsQ3 2014/15</v>
      </c>
      <c r="H1" s="188" t="str">
        <f t="shared" si="0"/>
        <v>Housing Benefit - Change of CircumstancesQ3 2014/15</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824</v>
      </c>
      <c r="B2" s="189"/>
      <c r="C2" s="189"/>
      <c r="D2" s="189"/>
      <c r="E2" s="189"/>
      <c r="F2" s="189"/>
    </row>
    <row r="3" spans="1:77" ht="14.65" customHeight="1">
      <c r="A3" s="193" t="s">
        <v>804</v>
      </c>
      <c r="B3" s="270" t="s">
        <v>894</v>
      </c>
      <c r="D3" s="192"/>
      <c r="E3" s="192"/>
      <c r="L3" s="179"/>
      <c r="M3" s="162"/>
      <c r="N3" s="179"/>
      <c r="O3" s="195"/>
      <c r="P3" s="195"/>
      <c r="Q3" s="195"/>
      <c r="R3" s="162"/>
      <c r="S3" s="162"/>
      <c r="T3" s="162"/>
      <c r="U3" s="195"/>
      <c r="V3" s="363"/>
      <c r="W3" s="363"/>
      <c r="X3" s="179"/>
      <c r="Y3" s="179"/>
    </row>
    <row r="4" spans="1:77" ht="60" customHeight="1">
      <c r="A4" s="361" t="s">
        <v>825</v>
      </c>
      <c r="B4" s="190" t="s">
        <v>805</v>
      </c>
      <c r="C4" s="269" t="s">
        <v>891</v>
      </c>
      <c r="D4" s="269" t="s">
        <v>892</v>
      </c>
      <c r="E4" s="269" t="s">
        <v>891</v>
      </c>
      <c r="F4" s="269" t="s">
        <v>892</v>
      </c>
      <c r="G4" s="269" t="s">
        <v>891</v>
      </c>
      <c r="H4" s="269" t="s">
        <v>892</v>
      </c>
      <c r="I4" s="181"/>
      <c r="J4" s="183"/>
      <c r="K4" s="183"/>
      <c r="L4" s="179"/>
      <c r="M4" s="183"/>
      <c r="N4" s="179"/>
      <c r="O4" s="181"/>
      <c r="P4" s="181"/>
      <c r="Q4" s="181"/>
      <c r="R4" s="183"/>
      <c r="S4" s="183"/>
      <c r="T4" s="183"/>
      <c r="U4" s="181"/>
      <c r="V4" s="364"/>
      <c r="W4" s="364"/>
      <c r="X4" s="179"/>
      <c r="Y4" s="179"/>
    </row>
    <row r="5" spans="1:77" ht="30" customHeight="1">
      <c r="A5" s="362"/>
      <c r="B5" s="191" t="s">
        <v>367</v>
      </c>
      <c r="C5" s="276" t="s">
        <v>895</v>
      </c>
      <c r="D5" s="276" t="s">
        <v>895</v>
      </c>
      <c r="E5" s="277" t="s">
        <v>896</v>
      </c>
      <c r="F5" s="277" t="s">
        <v>896</v>
      </c>
      <c r="G5" s="278" t="s">
        <v>903</v>
      </c>
      <c r="H5" s="278" t="s">
        <v>903</v>
      </c>
      <c r="I5" s="182"/>
      <c r="J5" s="165"/>
      <c r="K5" s="165"/>
      <c r="L5" s="179"/>
      <c r="M5" s="165"/>
      <c r="N5" s="179"/>
      <c r="O5" s="182"/>
      <c r="P5" s="182"/>
      <c r="Q5" s="182"/>
      <c r="R5" s="165"/>
      <c r="S5" s="165"/>
      <c r="T5" s="165"/>
      <c r="U5" s="182"/>
      <c r="V5" s="365"/>
      <c r="W5" s="365"/>
      <c r="X5" s="179"/>
      <c r="Y5" s="179"/>
    </row>
    <row r="6" spans="1:77" ht="14.65" customHeight="1">
      <c r="A6" s="362"/>
      <c r="B6" s="191" t="s">
        <v>368</v>
      </c>
      <c r="C6" s="217" t="s">
        <v>893</v>
      </c>
      <c r="D6" s="217" t="s">
        <v>893</v>
      </c>
      <c r="E6" s="217" t="s">
        <v>893</v>
      </c>
      <c r="F6" s="217" t="s">
        <v>893</v>
      </c>
      <c r="G6" s="217" t="s">
        <v>893</v>
      </c>
      <c r="H6" s="217" t="s">
        <v>893</v>
      </c>
      <c r="I6" s="182"/>
      <c r="J6" s="165"/>
      <c r="K6" s="165"/>
      <c r="L6" s="179"/>
      <c r="M6" s="165"/>
      <c r="N6" s="179"/>
      <c r="O6" s="182"/>
      <c r="P6" s="182"/>
      <c r="Q6" s="182"/>
      <c r="R6" s="165"/>
      <c r="S6" s="165"/>
      <c r="T6" s="165"/>
      <c r="U6" s="181"/>
      <c r="V6" s="364"/>
      <c r="W6" s="364"/>
      <c r="X6" s="179"/>
      <c r="Y6" s="179"/>
    </row>
    <row r="7" spans="1:77" ht="14.65" customHeight="1">
      <c r="A7" s="186" t="s">
        <v>4</v>
      </c>
      <c r="B7" s="186"/>
      <c r="C7">
        <v>17</v>
      </c>
      <c r="D7">
        <v>10</v>
      </c>
      <c r="E7">
        <v>17</v>
      </c>
      <c r="F7">
        <v>11</v>
      </c>
      <c r="G7">
        <v>17</v>
      </c>
      <c r="H7">
        <v>12</v>
      </c>
      <c r="I7" s="202"/>
      <c r="J7" s="165"/>
      <c r="K7" s="165"/>
      <c r="L7" s="179"/>
      <c r="M7" s="165"/>
      <c r="N7" s="179"/>
      <c r="O7" s="202"/>
      <c r="P7" s="202"/>
      <c r="Q7" s="202"/>
      <c r="R7" s="165"/>
      <c r="S7" s="165"/>
      <c r="T7" s="165"/>
      <c r="U7" s="201"/>
      <c r="V7" s="166"/>
      <c r="W7" s="166"/>
      <c r="X7" s="179"/>
      <c r="Y7" s="179"/>
    </row>
    <row r="8" spans="1:77" ht="14.65" customHeight="1">
      <c r="A8" s="186" t="s">
        <v>6</v>
      </c>
      <c r="B8" s="186"/>
      <c r="C8">
        <v>27</v>
      </c>
      <c r="D8">
        <v>14</v>
      </c>
      <c r="E8">
        <v>30</v>
      </c>
      <c r="F8">
        <v>18</v>
      </c>
      <c r="G8">
        <v>21</v>
      </c>
      <c r="H8">
        <v>13</v>
      </c>
      <c r="I8" s="202"/>
      <c r="J8" s="165"/>
      <c r="K8" s="165"/>
      <c r="L8" s="179"/>
      <c r="M8" s="165"/>
      <c r="N8" s="179"/>
      <c r="O8" s="202"/>
      <c r="P8" s="202"/>
      <c r="Q8" s="202"/>
      <c r="R8" s="165"/>
      <c r="S8" s="165"/>
      <c r="T8" s="165"/>
      <c r="U8" s="201"/>
      <c r="V8" s="166"/>
      <c r="W8" s="166"/>
      <c r="X8" s="179"/>
      <c r="Y8" s="179"/>
    </row>
    <row r="9" spans="1:77" ht="14.65" customHeight="1">
      <c r="A9" s="186" t="s">
        <v>7</v>
      </c>
      <c r="B9" s="186"/>
      <c r="C9">
        <v>13</v>
      </c>
      <c r="D9">
        <v>5</v>
      </c>
      <c r="E9">
        <v>13</v>
      </c>
      <c r="F9">
        <v>6</v>
      </c>
      <c r="G9">
        <v>14</v>
      </c>
      <c r="H9">
        <v>5</v>
      </c>
      <c r="I9" s="202"/>
      <c r="J9" s="165"/>
      <c r="K9" s="165"/>
      <c r="L9" s="179"/>
      <c r="M9" s="165"/>
      <c r="N9" s="179"/>
      <c r="O9" s="202"/>
      <c r="P9" s="202"/>
      <c r="Q9" s="202"/>
      <c r="R9" s="165"/>
      <c r="S9" s="165"/>
      <c r="T9" s="165"/>
      <c r="U9" s="201"/>
      <c r="V9" s="166"/>
      <c r="W9" s="166"/>
      <c r="X9" s="179"/>
      <c r="Y9" s="179"/>
    </row>
    <row r="10" spans="1:77" ht="14.65" customHeight="1">
      <c r="A10" s="186" t="s">
        <v>8</v>
      </c>
      <c r="B10" s="186"/>
      <c r="C10">
        <v>21</v>
      </c>
      <c r="D10">
        <v>5</v>
      </c>
      <c r="E10">
        <v>20</v>
      </c>
      <c r="F10">
        <v>4</v>
      </c>
      <c r="G10">
        <v>19</v>
      </c>
      <c r="H10">
        <v>5</v>
      </c>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18</v>
      </c>
      <c r="D11">
        <v>12</v>
      </c>
      <c r="E11">
        <v>16</v>
      </c>
      <c r="F11">
        <v>12</v>
      </c>
      <c r="G11">
        <v>20</v>
      </c>
      <c r="H11">
        <v>12</v>
      </c>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26</v>
      </c>
      <c r="D12">
        <v>4</v>
      </c>
      <c r="E12">
        <v>22</v>
      </c>
      <c r="F12">
        <v>4</v>
      </c>
      <c r="G12">
        <v>20</v>
      </c>
      <c r="H12">
        <v>4</v>
      </c>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23</v>
      </c>
      <c r="D13">
        <v>5</v>
      </c>
      <c r="E13">
        <v>19</v>
      </c>
      <c r="F13">
        <v>4</v>
      </c>
      <c r="G13">
        <v>20</v>
      </c>
      <c r="H13">
        <v>10</v>
      </c>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24</v>
      </c>
      <c r="D14">
        <v>5</v>
      </c>
      <c r="E14">
        <v>22</v>
      </c>
      <c r="F14">
        <v>6</v>
      </c>
      <c r="G14">
        <v>23</v>
      </c>
      <c r="H14">
        <v>6</v>
      </c>
      <c r="I14" s="202"/>
      <c r="J14" s="165"/>
      <c r="K14" s="165"/>
      <c r="L14" s="179"/>
      <c r="M14" s="165"/>
      <c r="N14" s="179"/>
      <c r="O14" s="202"/>
      <c r="P14" s="202"/>
      <c r="Q14" s="202"/>
      <c r="R14" s="165"/>
      <c r="S14" s="165"/>
      <c r="T14" s="165"/>
      <c r="U14" s="202"/>
      <c r="V14" s="204"/>
      <c r="W14" s="204"/>
      <c r="X14" s="179"/>
      <c r="Y14" s="179"/>
    </row>
    <row r="15" spans="1:77" ht="14.65" customHeight="1">
      <c r="A15" s="186" t="s">
        <v>339</v>
      </c>
      <c r="B15" s="186"/>
      <c r="C15">
        <v>25</v>
      </c>
      <c r="D15">
        <v>10</v>
      </c>
      <c r="E15">
        <v>25</v>
      </c>
      <c r="F15">
        <v>12</v>
      </c>
      <c r="G15">
        <v>28</v>
      </c>
      <c r="H15">
        <v>17</v>
      </c>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13</v>
      </c>
      <c r="D16">
        <v>7</v>
      </c>
      <c r="E16">
        <v>13</v>
      </c>
      <c r="F16">
        <v>6</v>
      </c>
      <c r="G16">
        <v>7</v>
      </c>
      <c r="H16">
        <v>9</v>
      </c>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26</v>
      </c>
      <c r="D17">
        <v>14</v>
      </c>
      <c r="E17">
        <v>24</v>
      </c>
      <c r="F17">
        <v>13</v>
      </c>
      <c r="G17">
        <v>24</v>
      </c>
      <c r="H17">
        <v>14</v>
      </c>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18</v>
      </c>
      <c r="D18">
        <v>5</v>
      </c>
      <c r="E18">
        <v>18</v>
      </c>
      <c r="F18">
        <v>6</v>
      </c>
      <c r="G18">
        <v>17</v>
      </c>
      <c r="H18">
        <v>8</v>
      </c>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35</v>
      </c>
      <c r="D19">
        <v>15</v>
      </c>
      <c r="E19">
        <v>42</v>
      </c>
      <c r="F19">
        <v>20</v>
      </c>
      <c r="G19">
        <v>24</v>
      </c>
      <c r="H19">
        <v>17</v>
      </c>
      <c r="I19" s="202"/>
      <c r="J19" s="165"/>
      <c r="K19" s="165"/>
      <c r="L19" s="179"/>
      <c r="M19" s="165"/>
      <c r="N19" s="179"/>
      <c r="O19" s="202"/>
      <c r="P19" s="202"/>
      <c r="Q19" s="202"/>
      <c r="R19" s="165"/>
      <c r="S19" s="165"/>
      <c r="T19" s="165"/>
      <c r="U19" s="201"/>
      <c r="V19" s="166"/>
      <c r="W19" s="166"/>
      <c r="X19" s="179"/>
      <c r="Y19" s="179"/>
    </row>
    <row r="20" spans="1:25" ht="14.65" customHeight="1">
      <c r="A20" s="186" t="s">
        <v>344</v>
      </c>
      <c r="B20" s="186"/>
      <c r="C20">
        <v>23</v>
      </c>
      <c r="D20">
        <v>7</v>
      </c>
      <c r="E20">
        <v>22</v>
      </c>
      <c r="F20">
        <v>7</v>
      </c>
      <c r="G20">
        <v>16</v>
      </c>
      <c r="H20">
        <v>8</v>
      </c>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32</v>
      </c>
      <c r="D21">
        <v>11</v>
      </c>
      <c r="E21">
        <v>14</v>
      </c>
      <c r="F21">
        <v>9</v>
      </c>
      <c r="G21">
        <v>14</v>
      </c>
      <c r="H21">
        <v>8</v>
      </c>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16</v>
      </c>
      <c r="D22">
        <v>2</v>
      </c>
      <c r="E22">
        <v>17</v>
      </c>
      <c r="F22">
        <v>3</v>
      </c>
      <c r="G22">
        <v>16</v>
      </c>
      <c r="H22">
        <v>3</v>
      </c>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19</v>
      </c>
      <c r="D23">
        <v>10</v>
      </c>
      <c r="E23">
        <v>21</v>
      </c>
      <c r="F23">
        <v>16</v>
      </c>
      <c r="G23">
        <v>21</v>
      </c>
      <c r="H23">
        <v>18</v>
      </c>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16</v>
      </c>
      <c r="D24">
        <v>15</v>
      </c>
      <c r="E24">
        <v>18</v>
      </c>
      <c r="F24">
        <v>8</v>
      </c>
      <c r="G24">
        <v>17</v>
      </c>
      <c r="H24">
        <v>10</v>
      </c>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23</v>
      </c>
      <c r="D25">
        <v>5</v>
      </c>
      <c r="E25">
        <v>21</v>
      </c>
      <c r="F25">
        <v>4</v>
      </c>
      <c r="G25">
        <v>20</v>
      </c>
      <c r="H25">
        <v>6</v>
      </c>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18</v>
      </c>
      <c r="D26">
        <v>4</v>
      </c>
      <c r="E26">
        <v>15</v>
      </c>
      <c r="F26">
        <v>4</v>
      </c>
      <c r="G26">
        <v>23</v>
      </c>
      <c r="H26">
        <v>6</v>
      </c>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22</v>
      </c>
      <c r="D27">
        <v>9</v>
      </c>
      <c r="E27">
        <v>18</v>
      </c>
      <c r="F27">
        <v>7</v>
      </c>
      <c r="G27">
        <v>19</v>
      </c>
      <c r="H27">
        <v>8</v>
      </c>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37</v>
      </c>
      <c r="D28">
        <v>29</v>
      </c>
      <c r="E28">
        <v>47</v>
      </c>
      <c r="F28">
        <v>27</v>
      </c>
      <c r="G28">
        <v>41</v>
      </c>
      <c r="H28">
        <v>34</v>
      </c>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21</v>
      </c>
      <c r="D29">
        <v>12</v>
      </c>
      <c r="E29">
        <v>17</v>
      </c>
      <c r="F29">
        <v>11</v>
      </c>
      <c r="G29">
        <v>15</v>
      </c>
      <c r="H29">
        <v>8</v>
      </c>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20</v>
      </c>
      <c r="D30">
        <v>11</v>
      </c>
      <c r="E30">
        <v>18</v>
      </c>
      <c r="F30">
        <v>9</v>
      </c>
      <c r="G30">
        <v>17</v>
      </c>
      <c r="H30">
        <v>10</v>
      </c>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14</v>
      </c>
      <c r="D31">
        <v>9</v>
      </c>
      <c r="E31">
        <v>7</v>
      </c>
      <c r="F31">
        <v>7</v>
      </c>
      <c r="G31">
        <v>4</v>
      </c>
      <c r="H31">
        <v>8</v>
      </c>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18</v>
      </c>
      <c r="D32">
        <v>9</v>
      </c>
      <c r="E32">
        <v>19</v>
      </c>
      <c r="F32">
        <v>9</v>
      </c>
      <c r="G32">
        <v>18</v>
      </c>
      <c r="H32">
        <v>10</v>
      </c>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18</v>
      </c>
      <c r="D33">
        <v>5</v>
      </c>
      <c r="E33">
        <v>19</v>
      </c>
      <c r="F33">
        <v>6</v>
      </c>
      <c r="G33">
        <v>24</v>
      </c>
      <c r="H33">
        <v>8</v>
      </c>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24</v>
      </c>
      <c r="D34">
        <v>16</v>
      </c>
      <c r="E34">
        <v>27</v>
      </c>
      <c r="F34">
        <v>19</v>
      </c>
      <c r="G34">
        <v>21</v>
      </c>
      <c r="H34" t="str">
        <f>""</f>
        <v/>
      </c>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18</v>
      </c>
      <c r="D35">
        <v>6</v>
      </c>
      <c r="E35">
        <v>17</v>
      </c>
      <c r="F35">
        <v>7</v>
      </c>
      <c r="G35">
        <v>16</v>
      </c>
      <c r="H35">
        <v>6</v>
      </c>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19</v>
      </c>
      <c r="D36">
        <v>7</v>
      </c>
      <c r="E36">
        <v>21</v>
      </c>
      <c r="F36">
        <v>7</v>
      </c>
      <c r="G36">
        <v>17</v>
      </c>
      <c r="H36">
        <v>7</v>
      </c>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15</v>
      </c>
      <c r="D37">
        <v>7</v>
      </c>
      <c r="E37">
        <v>17</v>
      </c>
      <c r="F37">
        <v>6</v>
      </c>
      <c r="G37">
        <v>16</v>
      </c>
      <c r="H37">
        <v>9</v>
      </c>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18</v>
      </c>
      <c r="D38">
        <v>10</v>
      </c>
      <c r="E38">
        <v>18</v>
      </c>
      <c r="F38">
        <v>15</v>
      </c>
      <c r="G38">
        <v>17</v>
      </c>
      <c r="H38">
        <v>11</v>
      </c>
      <c r="I38" s="202"/>
      <c r="J38" s="165"/>
      <c r="K38" s="165"/>
      <c r="L38" s="179"/>
      <c r="M38" s="165"/>
      <c r="N38" s="179"/>
      <c r="O38" s="202"/>
      <c r="P38" s="202"/>
      <c r="Q38" s="202"/>
      <c r="R38" s="165"/>
      <c r="S38" s="165"/>
      <c r="T38" s="165"/>
      <c r="U38" s="201"/>
      <c r="V38" s="166"/>
      <c r="W38" s="166"/>
      <c r="X38" s="179"/>
      <c r="Y38" s="179"/>
    </row>
    <row r="39" spans="1:25" ht="14.65" customHeight="1">
      <c r="A39" s="186" t="s">
        <v>816</v>
      </c>
      <c r="B39" s="186"/>
      <c r="C39">
        <v>29</v>
      </c>
      <c r="D39">
        <v>10</v>
      </c>
      <c r="E39">
        <v>35</v>
      </c>
      <c r="F39">
        <v>13</v>
      </c>
      <c r="G39">
        <v>33</v>
      </c>
      <c r="H39">
        <v>12</v>
      </c>
      <c r="I39" s="202"/>
      <c r="J39" s="165"/>
      <c r="K39" s="165"/>
      <c r="L39" s="179"/>
      <c r="M39" s="165"/>
      <c r="N39" s="179"/>
      <c r="O39" s="202"/>
      <c r="P39" s="202"/>
      <c r="Q39" s="202"/>
      <c r="R39" s="165"/>
      <c r="S39" s="165"/>
      <c r="T39" s="165"/>
      <c r="U39" s="201"/>
      <c r="V39" s="166"/>
      <c r="W39" s="166"/>
      <c r="X39" s="179"/>
      <c r="Y39" s="179"/>
    </row>
    <row r="40" spans="1:25" ht="14.65" customHeight="1">
      <c r="A40" s="186" t="s">
        <v>820</v>
      </c>
      <c r="B40" s="186"/>
      <c r="C40">
        <v>41</v>
      </c>
      <c r="D40">
        <v>21</v>
      </c>
      <c r="E40">
        <v>62</v>
      </c>
      <c r="F40">
        <v>28</v>
      </c>
      <c r="G40">
        <v>50</v>
      </c>
      <c r="H40">
        <v>21</v>
      </c>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20</v>
      </c>
      <c r="D41">
        <v>8</v>
      </c>
      <c r="E41">
        <v>22</v>
      </c>
      <c r="F41">
        <v>9</v>
      </c>
      <c r="G41">
        <v>26</v>
      </c>
      <c r="H41">
        <v>13</v>
      </c>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51</v>
      </c>
      <c r="D42">
        <v>16</v>
      </c>
      <c r="E42">
        <v>57</v>
      </c>
      <c r="F42">
        <v>17</v>
      </c>
      <c r="G42">
        <v>38</v>
      </c>
      <c r="H42">
        <v>20</v>
      </c>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31</v>
      </c>
      <c r="D43">
        <v>21</v>
      </c>
      <c r="E43">
        <v>37</v>
      </c>
      <c r="F43">
        <v>23</v>
      </c>
      <c r="G43">
        <v>25</v>
      </c>
      <c r="H43">
        <v>12</v>
      </c>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32</v>
      </c>
      <c r="D44">
        <v>19</v>
      </c>
      <c r="E44">
        <v>25</v>
      </c>
      <c r="F44">
        <v>16</v>
      </c>
      <c r="G44">
        <v>22</v>
      </c>
      <c r="H44">
        <v>8</v>
      </c>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20</v>
      </c>
      <c r="D45">
        <v>10</v>
      </c>
      <c r="E45">
        <v>22</v>
      </c>
      <c r="F45">
        <v>9</v>
      </c>
      <c r="G45">
        <v>19</v>
      </c>
      <c r="H45">
        <v>5</v>
      </c>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23</v>
      </c>
      <c r="D46">
        <v>7</v>
      </c>
      <c r="E46">
        <v>23</v>
      </c>
      <c r="F46">
        <v>7</v>
      </c>
      <c r="G46">
        <v>20</v>
      </c>
      <c r="H46">
        <v>5</v>
      </c>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20</v>
      </c>
      <c r="D47">
        <v>7</v>
      </c>
      <c r="E47">
        <v>22</v>
      </c>
      <c r="F47">
        <v>6</v>
      </c>
      <c r="G47">
        <v>20</v>
      </c>
      <c r="H47">
        <v>9</v>
      </c>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17</v>
      </c>
      <c r="D48">
        <v>14</v>
      </c>
      <c r="E48">
        <v>15</v>
      </c>
      <c r="F48">
        <v>18</v>
      </c>
      <c r="G48">
        <v>13</v>
      </c>
      <c r="H48">
        <v>16</v>
      </c>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14</v>
      </c>
      <c r="D49">
        <v>5</v>
      </c>
      <c r="E49">
        <v>15</v>
      </c>
      <c r="F49">
        <v>6</v>
      </c>
      <c r="G49">
        <v>15</v>
      </c>
      <c r="H49">
        <v>7</v>
      </c>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23</v>
      </c>
      <c r="D50">
        <v>5</v>
      </c>
      <c r="E50">
        <v>22</v>
      </c>
      <c r="F50">
        <v>6</v>
      </c>
      <c r="G50">
        <v>21</v>
      </c>
      <c r="H50">
        <v>7</v>
      </c>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15</v>
      </c>
      <c r="D51">
        <v>8</v>
      </c>
      <c r="E51">
        <v>17</v>
      </c>
      <c r="F51">
        <v>8</v>
      </c>
      <c r="G51">
        <v>17</v>
      </c>
      <c r="H51">
        <v>17</v>
      </c>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16</v>
      </c>
      <c r="D52">
        <v>4</v>
      </c>
      <c r="E52">
        <v>16</v>
      </c>
      <c r="F52">
        <v>4</v>
      </c>
      <c r="G52">
        <v>16</v>
      </c>
      <c r="H52">
        <v>5</v>
      </c>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30</v>
      </c>
      <c r="D53">
        <v>10</v>
      </c>
      <c r="E53">
        <v>33</v>
      </c>
      <c r="F53">
        <v>13</v>
      </c>
      <c r="G53">
        <v>25</v>
      </c>
      <c r="H53">
        <v>10</v>
      </c>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25</v>
      </c>
      <c r="D54" t="str">
        <f>""</f>
        <v/>
      </c>
      <c r="E54">
        <v>24</v>
      </c>
      <c r="F54">
        <v>10</v>
      </c>
      <c r="G54">
        <v>25</v>
      </c>
      <c r="H54">
        <v>9</v>
      </c>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30</v>
      </c>
      <c r="D55">
        <v>15</v>
      </c>
      <c r="E55">
        <v>26</v>
      </c>
      <c r="F55">
        <v>15</v>
      </c>
      <c r="G55">
        <v>29</v>
      </c>
      <c r="H55">
        <v>13</v>
      </c>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31</v>
      </c>
      <c r="D56">
        <v>12</v>
      </c>
      <c r="E56">
        <v>26</v>
      </c>
      <c r="F56">
        <v>9</v>
      </c>
      <c r="G56">
        <v>25</v>
      </c>
      <c r="H56">
        <v>11</v>
      </c>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22</v>
      </c>
      <c r="D57">
        <v>5</v>
      </c>
      <c r="E57">
        <v>19</v>
      </c>
      <c r="F57">
        <v>5</v>
      </c>
      <c r="G57">
        <v>20</v>
      </c>
      <c r="H57">
        <v>6</v>
      </c>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21</v>
      </c>
      <c r="D58">
        <v>7</v>
      </c>
      <c r="E58">
        <v>23</v>
      </c>
      <c r="F58">
        <v>6</v>
      </c>
      <c r="G58">
        <v>23</v>
      </c>
      <c r="H58">
        <v>7</v>
      </c>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14</v>
      </c>
      <c r="D59">
        <v>3</v>
      </c>
      <c r="E59">
        <v>14</v>
      </c>
      <c r="F59">
        <v>5</v>
      </c>
      <c r="G59">
        <v>15</v>
      </c>
      <c r="H59">
        <v>8</v>
      </c>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30</v>
      </c>
      <c r="D60">
        <v>8</v>
      </c>
      <c r="E60">
        <v>27</v>
      </c>
      <c r="F60">
        <v>9</v>
      </c>
      <c r="G60">
        <v>22</v>
      </c>
      <c r="H60">
        <v>10</v>
      </c>
      <c r="I60" s="202"/>
      <c r="J60" s="165"/>
      <c r="K60" s="165"/>
      <c r="L60" s="179"/>
      <c r="M60" s="165"/>
      <c r="N60" s="179"/>
      <c r="O60" s="202"/>
      <c r="P60" s="202"/>
      <c r="Q60" s="202"/>
      <c r="R60" s="165"/>
      <c r="S60" s="165"/>
      <c r="T60" s="165"/>
      <c r="U60" s="202"/>
      <c r="V60" s="204"/>
      <c r="W60" s="204"/>
      <c r="X60" s="179"/>
      <c r="Y60" s="179"/>
    </row>
    <row r="61" spans="1:25" ht="14.65" customHeight="1">
      <c r="A61" s="186" t="s">
        <v>817</v>
      </c>
      <c r="B61" s="186"/>
      <c r="C61">
        <v>37</v>
      </c>
      <c r="D61">
        <v>17</v>
      </c>
      <c r="E61">
        <v>40</v>
      </c>
      <c r="F61">
        <v>20</v>
      </c>
      <c r="G61">
        <v>46</v>
      </c>
      <c r="H61">
        <v>22</v>
      </c>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33</v>
      </c>
      <c r="D62">
        <v>14</v>
      </c>
      <c r="E62">
        <v>28</v>
      </c>
      <c r="F62">
        <v>14</v>
      </c>
      <c r="G62">
        <v>25</v>
      </c>
      <c r="H62">
        <v>14</v>
      </c>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28</v>
      </c>
      <c r="D63">
        <v>9</v>
      </c>
      <c r="E63">
        <v>21</v>
      </c>
      <c r="F63">
        <v>7</v>
      </c>
      <c r="G63">
        <v>21</v>
      </c>
      <c r="H63">
        <v>7</v>
      </c>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15</v>
      </c>
      <c r="D64">
        <v>3</v>
      </c>
      <c r="E64">
        <v>15</v>
      </c>
      <c r="F64">
        <v>3</v>
      </c>
      <c r="G64">
        <v>14</v>
      </c>
      <c r="H64">
        <v>4</v>
      </c>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26</v>
      </c>
      <c r="D65">
        <v>9</v>
      </c>
      <c r="E65">
        <v>28</v>
      </c>
      <c r="F65">
        <v>10</v>
      </c>
      <c r="G65">
        <v>33</v>
      </c>
      <c r="H65">
        <v>12</v>
      </c>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22</v>
      </c>
      <c r="D66">
        <v>13</v>
      </c>
      <c r="E66">
        <v>24</v>
      </c>
      <c r="F66">
        <v>14</v>
      </c>
      <c r="G66">
        <v>18</v>
      </c>
      <c r="H66">
        <v>12</v>
      </c>
      <c r="I66" s="202"/>
      <c r="J66" s="165"/>
      <c r="K66" s="165"/>
      <c r="L66" s="179"/>
      <c r="M66" s="165"/>
      <c r="N66" s="179"/>
      <c r="O66" s="202"/>
      <c r="P66" s="202"/>
      <c r="Q66" s="202"/>
      <c r="R66" s="165"/>
      <c r="S66" s="165"/>
      <c r="T66" s="165"/>
      <c r="U66" s="201"/>
      <c r="V66" s="166"/>
      <c r="W66" s="166"/>
      <c r="X66" s="179"/>
      <c r="Y66" s="179"/>
    </row>
    <row r="67" spans="1:25" ht="14.65" customHeight="1">
      <c r="A67" s="186" t="s">
        <v>372</v>
      </c>
      <c r="B67" s="186"/>
      <c r="C67">
        <v>21</v>
      </c>
      <c r="D67" t="str">
        <f>""</f>
        <v/>
      </c>
      <c r="E67">
        <v>17</v>
      </c>
      <c r="F67">
        <v>6</v>
      </c>
      <c r="G67" t="str">
        <f>""</f>
        <v/>
      </c>
      <c r="H67">
        <v>9</v>
      </c>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21</v>
      </c>
      <c r="D68">
        <v>9</v>
      </c>
      <c r="E68">
        <v>26</v>
      </c>
      <c r="F68">
        <v>9</v>
      </c>
      <c r="G68">
        <v>25</v>
      </c>
      <c r="H68">
        <v>15</v>
      </c>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31</v>
      </c>
      <c r="D69">
        <v>15</v>
      </c>
      <c r="E69">
        <v>31</v>
      </c>
      <c r="F69">
        <v>18</v>
      </c>
      <c r="G69">
        <v>28</v>
      </c>
      <c r="H69">
        <v>13</v>
      </c>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20</v>
      </c>
      <c r="D70">
        <v>7</v>
      </c>
      <c r="E70">
        <v>19</v>
      </c>
      <c r="F70">
        <v>7</v>
      </c>
      <c r="G70">
        <v>17</v>
      </c>
      <c r="H70">
        <v>8</v>
      </c>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24</v>
      </c>
      <c r="D71">
        <v>9</v>
      </c>
      <c r="E71">
        <v>25</v>
      </c>
      <c r="F71">
        <v>10</v>
      </c>
      <c r="G71">
        <v>22</v>
      </c>
      <c r="H71">
        <v>11</v>
      </c>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11</v>
      </c>
      <c r="D72">
        <v>4</v>
      </c>
      <c r="E72">
        <v>12</v>
      </c>
      <c r="F72">
        <v>7</v>
      </c>
      <c r="G72">
        <v>15</v>
      </c>
      <c r="H72">
        <v>7</v>
      </c>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23</v>
      </c>
      <c r="D73">
        <v>10</v>
      </c>
      <c r="E73">
        <v>22</v>
      </c>
      <c r="F73">
        <v>9</v>
      </c>
      <c r="G73">
        <v>20</v>
      </c>
      <c r="H73">
        <v>10</v>
      </c>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25</v>
      </c>
      <c r="D74">
        <v>15</v>
      </c>
      <c r="E74">
        <v>22</v>
      </c>
      <c r="F74">
        <v>13</v>
      </c>
      <c r="G74">
        <v>19</v>
      </c>
      <c r="H74">
        <v>11</v>
      </c>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23</v>
      </c>
      <c r="D75">
        <v>8</v>
      </c>
      <c r="E75">
        <v>23</v>
      </c>
      <c r="F75">
        <v>9</v>
      </c>
      <c r="G75">
        <v>24</v>
      </c>
      <c r="H75">
        <v>11</v>
      </c>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13</v>
      </c>
      <c r="D76">
        <v>3</v>
      </c>
      <c r="E76">
        <v>12</v>
      </c>
      <c r="F76">
        <v>3</v>
      </c>
      <c r="G76">
        <v>13</v>
      </c>
      <c r="H76">
        <v>5</v>
      </c>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25</v>
      </c>
      <c r="D77">
        <v>4</v>
      </c>
      <c r="E77">
        <v>23</v>
      </c>
      <c r="F77">
        <v>4</v>
      </c>
      <c r="G77">
        <v>23</v>
      </c>
      <c r="H77">
        <v>6</v>
      </c>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17</v>
      </c>
      <c r="D78">
        <v>8</v>
      </c>
      <c r="E78">
        <v>25</v>
      </c>
      <c r="F78">
        <v>16</v>
      </c>
      <c r="G78">
        <v>27</v>
      </c>
      <c r="H78">
        <v>18</v>
      </c>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12</v>
      </c>
      <c r="D79">
        <v>4</v>
      </c>
      <c r="E79">
        <v>11</v>
      </c>
      <c r="F79">
        <v>4</v>
      </c>
      <c r="G79">
        <v>9</v>
      </c>
      <c r="H79">
        <v>3</v>
      </c>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26</v>
      </c>
      <c r="D80">
        <v>11</v>
      </c>
      <c r="E80">
        <v>24</v>
      </c>
      <c r="F80">
        <v>10</v>
      </c>
      <c r="G80">
        <v>25</v>
      </c>
      <c r="H80">
        <v>13</v>
      </c>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28</v>
      </c>
      <c r="D81">
        <v>5</v>
      </c>
      <c r="E81">
        <v>28</v>
      </c>
      <c r="F81">
        <v>6</v>
      </c>
      <c r="G81">
        <v>26</v>
      </c>
      <c r="H81">
        <v>7</v>
      </c>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36</v>
      </c>
      <c r="D82">
        <v>18</v>
      </c>
      <c r="E82">
        <v>33</v>
      </c>
      <c r="F82">
        <v>19</v>
      </c>
      <c r="G82">
        <v>30</v>
      </c>
      <c r="H82">
        <v>17</v>
      </c>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14</v>
      </c>
      <c r="D83">
        <v>4</v>
      </c>
      <c r="E83">
        <v>30</v>
      </c>
      <c r="F83">
        <v>9</v>
      </c>
      <c r="G83">
        <v>34</v>
      </c>
      <c r="H83">
        <v>15</v>
      </c>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35</v>
      </c>
      <c r="D84">
        <v>13</v>
      </c>
      <c r="E84">
        <v>21</v>
      </c>
      <c r="F84">
        <v>11</v>
      </c>
      <c r="G84">
        <v>21</v>
      </c>
      <c r="H84">
        <v>8</v>
      </c>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16</v>
      </c>
      <c r="D85">
        <v>5</v>
      </c>
      <c r="E85">
        <v>16</v>
      </c>
      <c r="F85">
        <v>5</v>
      </c>
      <c r="G85">
        <v>11</v>
      </c>
      <c r="H85">
        <v>5</v>
      </c>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17</v>
      </c>
      <c r="D86">
        <v>7</v>
      </c>
      <c r="E86">
        <v>15</v>
      </c>
      <c r="F86">
        <v>8</v>
      </c>
      <c r="G86">
        <v>16</v>
      </c>
      <c r="H86">
        <v>8</v>
      </c>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17</v>
      </c>
      <c r="D87">
        <v>8</v>
      </c>
      <c r="E87">
        <v>15</v>
      </c>
      <c r="F87">
        <v>11</v>
      </c>
      <c r="G87">
        <v>16</v>
      </c>
      <c r="H87">
        <v>16</v>
      </c>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21</v>
      </c>
      <c r="D88">
        <v>7</v>
      </c>
      <c r="E88">
        <v>21</v>
      </c>
      <c r="F88">
        <v>7</v>
      </c>
      <c r="G88">
        <v>17</v>
      </c>
      <c r="H88">
        <v>6</v>
      </c>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11</v>
      </c>
      <c r="D89">
        <v>5</v>
      </c>
      <c r="E89">
        <v>13</v>
      </c>
      <c r="F89">
        <v>6</v>
      </c>
      <c r="G89">
        <v>12</v>
      </c>
      <c r="H89">
        <v>7</v>
      </c>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23</v>
      </c>
      <c r="D90">
        <v>14</v>
      </c>
      <c r="E90">
        <v>23</v>
      </c>
      <c r="F90">
        <v>17</v>
      </c>
      <c r="G90">
        <v>20</v>
      </c>
      <c r="H90">
        <v>12</v>
      </c>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22</v>
      </c>
      <c r="D91">
        <v>7</v>
      </c>
      <c r="E91">
        <v>21</v>
      </c>
      <c r="F91">
        <v>7</v>
      </c>
      <c r="G91">
        <v>19</v>
      </c>
      <c r="H91">
        <v>5</v>
      </c>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26</v>
      </c>
      <c r="D92">
        <v>7</v>
      </c>
      <c r="E92">
        <v>30</v>
      </c>
      <c r="F92">
        <v>20</v>
      </c>
      <c r="G92">
        <v>28</v>
      </c>
      <c r="H92">
        <v>13</v>
      </c>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30</v>
      </c>
      <c r="D93">
        <v>25</v>
      </c>
      <c r="E93">
        <v>19</v>
      </c>
      <c r="F93">
        <v>32</v>
      </c>
      <c r="G93">
        <v>18</v>
      </c>
      <c r="H93">
        <v>22</v>
      </c>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28</v>
      </c>
      <c r="D94">
        <v>11</v>
      </c>
      <c r="E94">
        <v>21</v>
      </c>
      <c r="F94">
        <v>8</v>
      </c>
      <c r="G94">
        <v>18</v>
      </c>
      <c r="H94">
        <v>7</v>
      </c>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20</v>
      </c>
      <c r="D95">
        <v>5</v>
      </c>
      <c r="E95">
        <v>17</v>
      </c>
      <c r="F95">
        <v>9</v>
      </c>
      <c r="G95">
        <v>14</v>
      </c>
      <c r="H95">
        <v>7</v>
      </c>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19</v>
      </c>
      <c r="D96">
        <v>7</v>
      </c>
      <c r="E96">
        <v>25</v>
      </c>
      <c r="F96">
        <v>10</v>
      </c>
      <c r="G96">
        <v>28</v>
      </c>
      <c r="H96">
        <v>12</v>
      </c>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20</v>
      </c>
      <c r="D97">
        <v>3</v>
      </c>
      <c r="E97">
        <v>28</v>
      </c>
      <c r="F97">
        <v>19</v>
      </c>
      <c r="G97">
        <v>26</v>
      </c>
      <c r="H97">
        <v>18</v>
      </c>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21</v>
      </c>
      <c r="D98">
        <v>4</v>
      </c>
      <c r="E98">
        <v>19</v>
      </c>
      <c r="F98">
        <v>4</v>
      </c>
      <c r="G98">
        <v>18</v>
      </c>
      <c r="H98">
        <v>5</v>
      </c>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27</v>
      </c>
      <c r="D99">
        <v>14</v>
      </c>
      <c r="E99">
        <v>32</v>
      </c>
      <c r="F99">
        <v>15</v>
      </c>
      <c r="G99">
        <v>19</v>
      </c>
      <c r="H99">
        <v>11</v>
      </c>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11</v>
      </c>
      <c r="D100">
        <v>5</v>
      </c>
      <c r="E100">
        <v>12</v>
      </c>
      <c r="F100">
        <v>7</v>
      </c>
      <c r="G100">
        <v>9</v>
      </c>
      <c r="H100">
        <v>7</v>
      </c>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24</v>
      </c>
      <c r="D101">
        <v>8</v>
      </c>
      <c r="E101">
        <v>20</v>
      </c>
      <c r="F101">
        <v>5</v>
      </c>
      <c r="G101">
        <v>21</v>
      </c>
      <c r="H101">
        <v>7</v>
      </c>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26</v>
      </c>
      <c r="D102">
        <v>9</v>
      </c>
      <c r="E102">
        <v>24</v>
      </c>
      <c r="F102">
        <v>8</v>
      </c>
      <c r="G102">
        <v>21</v>
      </c>
      <c r="H102">
        <v>9</v>
      </c>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345</v>
      </c>
      <c r="B103" s="186"/>
      <c r="C103">
        <v>26</v>
      </c>
      <c r="D103" t="str">
        <f>""</f>
        <v/>
      </c>
      <c r="E103">
        <v>18</v>
      </c>
      <c r="F103">
        <v>10</v>
      </c>
      <c r="G103">
        <v>20</v>
      </c>
      <c r="H103">
        <v>10</v>
      </c>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20</v>
      </c>
      <c r="D104">
        <v>7</v>
      </c>
      <c r="E104">
        <v>20</v>
      </c>
      <c r="F104">
        <v>7</v>
      </c>
      <c r="G104">
        <v>15</v>
      </c>
      <c r="H104">
        <v>6</v>
      </c>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21</v>
      </c>
      <c r="D105">
        <v>13</v>
      </c>
      <c r="E105">
        <v>19</v>
      </c>
      <c r="F105">
        <v>17</v>
      </c>
      <c r="G105">
        <v>21</v>
      </c>
      <c r="H105">
        <v>12</v>
      </c>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17</v>
      </c>
      <c r="D106">
        <v>4</v>
      </c>
      <c r="E106">
        <v>14</v>
      </c>
      <c r="F106">
        <v>5</v>
      </c>
      <c r="G106">
        <v>5</v>
      </c>
      <c r="H106">
        <v>4</v>
      </c>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14</v>
      </c>
      <c r="D107">
        <v>6</v>
      </c>
      <c r="E107">
        <v>16</v>
      </c>
      <c r="F107">
        <v>6</v>
      </c>
      <c r="G107">
        <v>18</v>
      </c>
      <c r="H107">
        <v>7</v>
      </c>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20</v>
      </c>
      <c r="D108">
        <v>6</v>
      </c>
      <c r="E108">
        <v>22</v>
      </c>
      <c r="F108">
        <v>6</v>
      </c>
      <c r="G108">
        <v>15</v>
      </c>
      <c r="H108">
        <v>7</v>
      </c>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18</v>
      </c>
      <c r="D109">
        <v>9</v>
      </c>
      <c r="E109">
        <v>22</v>
      </c>
      <c r="F109">
        <v>11</v>
      </c>
      <c r="G109">
        <v>18</v>
      </c>
      <c r="H109">
        <v>10</v>
      </c>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20</v>
      </c>
      <c r="D110">
        <v>14</v>
      </c>
      <c r="E110">
        <v>20</v>
      </c>
      <c r="F110">
        <v>17</v>
      </c>
      <c r="G110">
        <v>22</v>
      </c>
      <c r="H110">
        <v>23</v>
      </c>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17</v>
      </c>
      <c r="D111">
        <v>5</v>
      </c>
      <c r="E111">
        <v>25</v>
      </c>
      <c r="F111">
        <v>7</v>
      </c>
      <c r="G111">
        <v>25</v>
      </c>
      <c r="H111">
        <v>8</v>
      </c>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13</v>
      </c>
      <c r="D112">
        <v>4</v>
      </c>
      <c r="E112">
        <v>11</v>
      </c>
      <c r="F112">
        <v>3</v>
      </c>
      <c r="G112">
        <v>11</v>
      </c>
      <c r="H112">
        <v>3</v>
      </c>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22</v>
      </c>
      <c r="D113">
        <v>7</v>
      </c>
      <c r="E113">
        <v>25</v>
      </c>
      <c r="F113">
        <v>9</v>
      </c>
      <c r="G113">
        <v>23</v>
      </c>
      <c r="H113">
        <v>11</v>
      </c>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30</v>
      </c>
      <c r="D114" t="str">
        <f>""</f>
        <v/>
      </c>
      <c r="E114">
        <v>28</v>
      </c>
      <c r="F114">
        <v>9</v>
      </c>
      <c r="G114">
        <v>18</v>
      </c>
      <c r="H114">
        <v>5</v>
      </c>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20</v>
      </c>
      <c r="D115">
        <v>7</v>
      </c>
      <c r="E115">
        <v>17</v>
      </c>
      <c r="F115">
        <v>4</v>
      </c>
      <c r="G115">
        <v>16</v>
      </c>
      <c r="H115">
        <v>6</v>
      </c>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28</v>
      </c>
      <c r="D116">
        <v>11</v>
      </c>
      <c r="E116">
        <v>29</v>
      </c>
      <c r="F116">
        <v>12</v>
      </c>
      <c r="G116">
        <v>15</v>
      </c>
      <c r="H116">
        <v>12</v>
      </c>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35</v>
      </c>
      <c r="D117">
        <v>19</v>
      </c>
      <c r="E117">
        <v>28</v>
      </c>
      <c r="F117">
        <v>18</v>
      </c>
      <c r="G117">
        <v>27</v>
      </c>
      <c r="H117">
        <v>17</v>
      </c>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20</v>
      </c>
      <c r="D118">
        <v>7</v>
      </c>
      <c r="E118">
        <v>20</v>
      </c>
      <c r="F118">
        <v>8</v>
      </c>
      <c r="G118">
        <v>24</v>
      </c>
      <c r="H118">
        <v>11</v>
      </c>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22</v>
      </c>
      <c r="D119">
        <v>17</v>
      </c>
      <c r="E119">
        <v>22</v>
      </c>
      <c r="F119">
        <v>13</v>
      </c>
      <c r="G119">
        <v>21</v>
      </c>
      <c r="H119">
        <v>16</v>
      </c>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15</v>
      </c>
      <c r="D120">
        <v>2</v>
      </c>
      <c r="E120">
        <v>15</v>
      </c>
      <c r="F120">
        <v>3</v>
      </c>
      <c r="G120">
        <v>15</v>
      </c>
      <c r="H120">
        <v>3</v>
      </c>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43</v>
      </c>
      <c r="D121">
        <v>11</v>
      </c>
      <c r="E121">
        <v>28</v>
      </c>
      <c r="F121">
        <v>5</v>
      </c>
      <c r="G121">
        <v>16</v>
      </c>
      <c r="H121">
        <v>5</v>
      </c>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337</v>
      </c>
      <c r="B122" s="186"/>
      <c r="C122">
        <v>37</v>
      </c>
      <c r="D122">
        <v>14</v>
      </c>
      <c r="E122">
        <v>29</v>
      </c>
      <c r="F122">
        <v>18</v>
      </c>
      <c r="G122">
        <v>23</v>
      </c>
      <c r="H122">
        <v>24</v>
      </c>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19</v>
      </c>
      <c r="D123">
        <v>8</v>
      </c>
      <c r="E123">
        <v>16</v>
      </c>
      <c r="F123">
        <v>7</v>
      </c>
      <c r="G123">
        <v>15</v>
      </c>
      <c r="H123">
        <v>7</v>
      </c>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24</v>
      </c>
      <c r="D124">
        <v>12</v>
      </c>
      <c r="E124">
        <v>18</v>
      </c>
      <c r="F124">
        <v>11</v>
      </c>
      <c r="G124">
        <v>16</v>
      </c>
      <c r="H124">
        <v>15</v>
      </c>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29</v>
      </c>
      <c r="D125">
        <v>15</v>
      </c>
      <c r="E125">
        <v>30</v>
      </c>
      <c r="F125">
        <v>15</v>
      </c>
      <c r="G125">
        <v>27</v>
      </c>
      <c r="H125">
        <v>14</v>
      </c>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31</v>
      </c>
      <c r="D126">
        <v>6</v>
      </c>
      <c r="E126">
        <v>33</v>
      </c>
      <c r="F126">
        <v>8</v>
      </c>
      <c r="G126">
        <v>23</v>
      </c>
      <c r="H126">
        <v>7</v>
      </c>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23</v>
      </c>
      <c r="D127">
        <v>9</v>
      </c>
      <c r="E127">
        <v>21</v>
      </c>
      <c r="F127">
        <v>8</v>
      </c>
      <c r="G127">
        <v>23</v>
      </c>
      <c r="H127">
        <v>10</v>
      </c>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21</v>
      </c>
      <c r="D128">
        <v>9</v>
      </c>
      <c r="E128" t="str">
        <f>""</f>
        <v/>
      </c>
      <c r="F128">
        <v>10</v>
      </c>
      <c r="G128">
        <v>21</v>
      </c>
      <c r="H128">
        <v>9</v>
      </c>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24</v>
      </c>
      <c r="D129">
        <v>8</v>
      </c>
      <c r="E129">
        <v>19</v>
      </c>
      <c r="F129">
        <v>10</v>
      </c>
      <c r="G129">
        <v>17</v>
      </c>
      <c r="H129">
        <v>8</v>
      </c>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13</v>
      </c>
      <c r="D130">
        <v>9</v>
      </c>
      <c r="E130">
        <v>14</v>
      </c>
      <c r="F130">
        <v>8</v>
      </c>
      <c r="G130">
        <v>15</v>
      </c>
      <c r="H130">
        <v>10</v>
      </c>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19</v>
      </c>
      <c r="D131">
        <v>6</v>
      </c>
      <c r="E131">
        <v>13</v>
      </c>
      <c r="F131">
        <v>6</v>
      </c>
      <c r="G131">
        <v>14</v>
      </c>
      <c r="H131">
        <v>5</v>
      </c>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19</v>
      </c>
      <c r="D132">
        <v>11</v>
      </c>
      <c r="E132">
        <v>19</v>
      </c>
      <c r="F132">
        <v>14</v>
      </c>
      <c r="G132">
        <v>18</v>
      </c>
      <c r="H132">
        <v>11</v>
      </c>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821</v>
      </c>
      <c r="B133" s="186"/>
      <c r="C133">
        <v>14</v>
      </c>
      <c r="D133">
        <v>13</v>
      </c>
      <c r="E133">
        <v>12</v>
      </c>
      <c r="F133">
        <v>17</v>
      </c>
      <c r="G133">
        <v>15</v>
      </c>
      <c r="H133">
        <v>10</v>
      </c>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19</v>
      </c>
      <c r="D134">
        <v>6</v>
      </c>
      <c r="E134">
        <v>17</v>
      </c>
      <c r="F134">
        <v>5</v>
      </c>
      <c r="G134">
        <v>19</v>
      </c>
      <c r="H134">
        <v>5</v>
      </c>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21</v>
      </c>
      <c r="D135">
        <v>7</v>
      </c>
      <c r="E135">
        <v>18</v>
      </c>
      <c r="F135">
        <v>6</v>
      </c>
      <c r="G135">
        <v>14</v>
      </c>
      <c r="H135">
        <v>6</v>
      </c>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9</v>
      </c>
      <c r="D136">
        <v>6</v>
      </c>
      <c r="E136">
        <v>9</v>
      </c>
      <c r="F136">
        <v>6</v>
      </c>
      <c r="G136">
        <v>11</v>
      </c>
      <c r="H136">
        <v>8</v>
      </c>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346</v>
      </c>
      <c r="B137" s="186"/>
      <c r="C137">
        <v>17</v>
      </c>
      <c r="D137">
        <v>8</v>
      </c>
      <c r="E137">
        <v>16</v>
      </c>
      <c r="F137">
        <v>7</v>
      </c>
      <c r="G137">
        <v>15</v>
      </c>
      <c r="H137">
        <v>7</v>
      </c>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18</v>
      </c>
      <c r="D138">
        <v>11</v>
      </c>
      <c r="E138">
        <v>18</v>
      </c>
      <c r="F138">
        <v>13</v>
      </c>
      <c r="G138">
        <v>19</v>
      </c>
      <c r="H138">
        <v>14</v>
      </c>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18</v>
      </c>
      <c r="D139">
        <v>6</v>
      </c>
      <c r="E139">
        <v>18</v>
      </c>
      <c r="F139">
        <v>6</v>
      </c>
      <c r="G139">
        <v>19</v>
      </c>
      <c r="H139">
        <v>7</v>
      </c>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32</v>
      </c>
      <c r="D140">
        <v>12</v>
      </c>
      <c r="E140">
        <v>29</v>
      </c>
      <c r="F140">
        <v>9</v>
      </c>
      <c r="G140">
        <v>22</v>
      </c>
      <c r="H140">
        <v>5</v>
      </c>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25</v>
      </c>
      <c r="D141">
        <v>9</v>
      </c>
      <c r="E141">
        <v>26</v>
      </c>
      <c r="F141">
        <v>9</v>
      </c>
      <c r="G141">
        <v>23</v>
      </c>
      <c r="H141">
        <v>7</v>
      </c>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21</v>
      </c>
      <c r="D142">
        <v>8</v>
      </c>
      <c r="E142">
        <v>22</v>
      </c>
      <c r="F142">
        <v>7</v>
      </c>
      <c r="G142">
        <v>21</v>
      </c>
      <c r="H142">
        <v>8</v>
      </c>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814</v>
      </c>
      <c r="B143" s="186"/>
      <c r="C143">
        <v>19</v>
      </c>
      <c r="D143">
        <v>8</v>
      </c>
      <c r="E143">
        <v>17</v>
      </c>
      <c r="F143">
        <v>7</v>
      </c>
      <c r="G143">
        <v>14</v>
      </c>
      <c r="H143">
        <v>8</v>
      </c>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t="str">
        <f>""</f>
        <v/>
      </c>
      <c r="E144" t="str">
        <f>""</f>
        <v/>
      </c>
      <c r="F144" t="str">
        <f>""</f>
        <v/>
      </c>
      <c r="G144" t="str">
        <f>""</f>
        <v/>
      </c>
      <c r="H144" t="str">
        <f>""</f>
        <v/>
      </c>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17</v>
      </c>
      <c r="D145">
        <v>3</v>
      </c>
      <c r="E145">
        <v>16</v>
      </c>
      <c r="F145">
        <v>3</v>
      </c>
      <c r="G145">
        <v>16</v>
      </c>
      <c r="H145">
        <v>4</v>
      </c>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338</v>
      </c>
      <c r="B146" s="186"/>
      <c r="C146">
        <v>13</v>
      </c>
      <c r="D146">
        <v>4</v>
      </c>
      <c r="E146">
        <v>9</v>
      </c>
      <c r="F146" t="str">
        <f>""</f>
        <v/>
      </c>
      <c r="G146">
        <v>9</v>
      </c>
      <c r="H146">
        <v>4</v>
      </c>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19</v>
      </c>
      <c r="D147">
        <v>9</v>
      </c>
      <c r="E147">
        <v>18</v>
      </c>
      <c r="F147">
        <v>9</v>
      </c>
      <c r="G147">
        <v>18</v>
      </c>
      <c r="H147">
        <v>9</v>
      </c>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379</v>
      </c>
      <c r="B148" s="186"/>
      <c r="C148">
        <v>17</v>
      </c>
      <c r="D148">
        <v>16</v>
      </c>
      <c r="E148">
        <v>16</v>
      </c>
      <c r="F148">
        <v>16</v>
      </c>
      <c r="G148">
        <v>16</v>
      </c>
      <c r="H148">
        <v>15</v>
      </c>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822</v>
      </c>
      <c r="B149" s="186"/>
      <c r="C149">
        <v>25</v>
      </c>
      <c r="D149">
        <v>15</v>
      </c>
      <c r="E149">
        <v>30</v>
      </c>
      <c r="F149">
        <v>26</v>
      </c>
      <c r="G149">
        <v>36</v>
      </c>
      <c r="H149">
        <v>25</v>
      </c>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395</v>
      </c>
      <c r="B150" s="186"/>
      <c r="C150">
        <v>19</v>
      </c>
      <c r="D150">
        <v>8</v>
      </c>
      <c r="E150">
        <v>19</v>
      </c>
      <c r="F150">
        <v>6</v>
      </c>
      <c r="G150">
        <v>22</v>
      </c>
      <c r="H150">
        <v>8</v>
      </c>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25</v>
      </c>
      <c r="D151">
        <v>8</v>
      </c>
      <c r="E151">
        <v>23</v>
      </c>
      <c r="F151">
        <v>10</v>
      </c>
      <c r="G151">
        <v>21</v>
      </c>
      <c r="H151">
        <v>10</v>
      </c>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37</v>
      </c>
      <c r="D152">
        <v>7</v>
      </c>
      <c r="E152">
        <v>31</v>
      </c>
      <c r="F152">
        <v>7</v>
      </c>
      <c r="G152">
        <v>28</v>
      </c>
      <c r="H152">
        <v>8</v>
      </c>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24</v>
      </c>
      <c r="D153">
        <v>7</v>
      </c>
      <c r="E153">
        <v>23</v>
      </c>
      <c r="F153">
        <v>8</v>
      </c>
      <c r="G153">
        <v>23</v>
      </c>
      <c r="H153">
        <v>12</v>
      </c>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29</v>
      </c>
      <c r="D154">
        <v>12</v>
      </c>
      <c r="E154">
        <v>21</v>
      </c>
      <c r="F154">
        <v>10</v>
      </c>
      <c r="G154">
        <v>22</v>
      </c>
      <c r="H154">
        <v>10</v>
      </c>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25</v>
      </c>
      <c r="D155">
        <v>21</v>
      </c>
      <c r="E155">
        <v>22</v>
      </c>
      <c r="F155">
        <v>20</v>
      </c>
      <c r="G155">
        <v>20</v>
      </c>
      <c r="H155">
        <v>18</v>
      </c>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23</v>
      </c>
      <c r="D156">
        <v>14</v>
      </c>
      <c r="E156">
        <v>22</v>
      </c>
      <c r="F156">
        <v>16</v>
      </c>
      <c r="G156">
        <v>24</v>
      </c>
      <c r="H156">
        <v>19</v>
      </c>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17</v>
      </c>
      <c r="D157">
        <v>6</v>
      </c>
      <c r="E157">
        <v>26</v>
      </c>
      <c r="F157">
        <v>7</v>
      </c>
      <c r="G157">
        <v>15</v>
      </c>
      <c r="H157">
        <v>5</v>
      </c>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21</v>
      </c>
      <c r="D158">
        <v>5</v>
      </c>
      <c r="E158">
        <v>18</v>
      </c>
      <c r="F158">
        <v>6</v>
      </c>
      <c r="G158">
        <v>16</v>
      </c>
      <c r="H158">
        <v>7</v>
      </c>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22</v>
      </c>
      <c r="D159">
        <v>9</v>
      </c>
      <c r="E159">
        <v>23</v>
      </c>
      <c r="F159">
        <v>8</v>
      </c>
      <c r="G159">
        <v>26</v>
      </c>
      <c r="H159">
        <v>10</v>
      </c>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25</v>
      </c>
      <c r="D160">
        <v>10</v>
      </c>
      <c r="E160">
        <v>28</v>
      </c>
      <c r="F160">
        <v>10</v>
      </c>
      <c r="G160">
        <v>22</v>
      </c>
      <c r="H160">
        <v>9</v>
      </c>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26</v>
      </c>
      <c r="D161">
        <v>10</v>
      </c>
      <c r="E161">
        <v>24</v>
      </c>
      <c r="F161">
        <v>11</v>
      </c>
      <c r="G161">
        <v>23</v>
      </c>
      <c r="H161">
        <v>10</v>
      </c>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813</v>
      </c>
      <c r="B162" s="186"/>
      <c r="C162" t="str">
        <f>""</f>
        <v/>
      </c>
      <c r="D162" t="str">
        <f>""</f>
        <v/>
      </c>
      <c r="E162" t="str">
        <f>""</f>
        <v/>
      </c>
      <c r="F162" t="str">
        <f>""</f>
        <v/>
      </c>
      <c r="G162" t="str">
        <f>""</f>
        <v/>
      </c>
      <c r="H162" t="str">
        <f>""</f>
        <v/>
      </c>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26</v>
      </c>
      <c r="D163">
        <v>13</v>
      </c>
      <c r="E163">
        <v>23</v>
      </c>
      <c r="F163">
        <v>13</v>
      </c>
      <c r="G163">
        <v>23</v>
      </c>
      <c r="H163">
        <v>18</v>
      </c>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17</v>
      </c>
      <c r="D164">
        <v>9</v>
      </c>
      <c r="E164">
        <v>17</v>
      </c>
      <c r="F164">
        <v>9</v>
      </c>
      <c r="G164">
        <v>15</v>
      </c>
      <c r="H164">
        <v>9</v>
      </c>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26</v>
      </c>
      <c r="D165">
        <v>13</v>
      </c>
      <c r="E165">
        <v>22</v>
      </c>
      <c r="F165">
        <v>9</v>
      </c>
      <c r="G165">
        <v>11</v>
      </c>
      <c r="H165">
        <v>6</v>
      </c>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23</v>
      </c>
      <c r="D166">
        <v>11</v>
      </c>
      <c r="E166">
        <v>29</v>
      </c>
      <c r="F166">
        <v>12</v>
      </c>
      <c r="G166">
        <v>23</v>
      </c>
      <c r="H166">
        <v>14</v>
      </c>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29</v>
      </c>
      <c r="D167">
        <v>15</v>
      </c>
      <c r="E167">
        <v>28</v>
      </c>
      <c r="F167">
        <v>14</v>
      </c>
      <c r="G167">
        <v>27</v>
      </c>
      <c r="H167">
        <v>16</v>
      </c>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26</v>
      </c>
      <c r="D168">
        <v>11</v>
      </c>
      <c r="E168">
        <v>26</v>
      </c>
      <c r="F168">
        <v>13</v>
      </c>
      <c r="G168">
        <v>24</v>
      </c>
      <c r="H168">
        <v>10</v>
      </c>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43</v>
      </c>
      <c r="D169">
        <v>15</v>
      </c>
      <c r="E169">
        <v>44</v>
      </c>
      <c r="F169">
        <v>17</v>
      </c>
      <c r="G169">
        <v>36</v>
      </c>
      <c r="H169">
        <v>16</v>
      </c>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12</v>
      </c>
      <c r="D170">
        <v>9</v>
      </c>
      <c r="E170">
        <v>10</v>
      </c>
      <c r="F170">
        <v>10</v>
      </c>
      <c r="G170">
        <v>15</v>
      </c>
      <c r="H170">
        <v>10</v>
      </c>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26</v>
      </c>
      <c r="D171">
        <v>13</v>
      </c>
      <c r="E171">
        <v>23</v>
      </c>
      <c r="F171">
        <v>12</v>
      </c>
      <c r="G171">
        <v>20</v>
      </c>
      <c r="H171">
        <v>13</v>
      </c>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41</v>
      </c>
      <c r="D172">
        <v>15</v>
      </c>
      <c r="E172">
        <v>40</v>
      </c>
      <c r="F172">
        <v>15</v>
      </c>
      <c r="G172">
        <v>30</v>
      </c>
      <c r="H172">
        <v>17</v>
      </c>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17</v>
      </c>
      <c r="D173">
        <v>8</v>
      </c>
      <c r="E173">
        <v>15</v>
      </c>
      <c r="F173">
        <v>7</v>
      </c>
      <c r="G173">
        <v>15</v>
      </c>
      <c r="H173">
        <v>7</v>
      </c>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23</v>
      </c>
      <c r="D174">
        <v>7</v>
      </c>
      <c r="E174">
        <v>22</v>
      </c>
      <c r="F174">
        <v>8</v>
      </c>
      <c r="G174">
        <v>23</v>
      </c>
      <c r="H174">
        <v>10</v>
      </c>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17</v>
      </c>
      <c r="D175">
        <v>10</v>
      </c>
      <c r="E175">
        <v>17</v>
      </c>
      <c r="F175">
        <v>12</v>
      </c>
      <c r="G175">
        <v>20</v>
      </c>
      <c r="H175">
        <v>13</v>
      </c>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12</v>
      </c>
      <c r="D176">
        <v>4</v>
      </c>
      <c r="E176">
        <v>15</v>
      </c>
      <c r="F176">
        <v>4</v>
      </c>
      <c r="G176">
        <v>17</v>
      </c>
      <c r="H176">
        <v>6</v>
      </c>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15</v>
      </c>
      <c r="D177" t="str">
        <f>""</f>
        <v/>
      </c>
      <c r="E177">
        <v>14</v>
      </c>
      <c r="F177">
        <v>5</v>
      </c>
      <c r="G177">
        <v>15</v>
      </c>
      <c r="H177">
        <v>8</v>
      </c>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29</v>
      </c>
      <c r="D178">
        <v>8</v>
      </c>
      <c r="E178">
        <v>20</v>
      </c>
      <c r="F178">
        <v>5</v>
      </c>
      <c r="G178">
        <v>16</v>
      </c>
      <c r="H178">
        <v>5</v>
      </c>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16</v>
      </c>
      <c r="D179">
        <v>5</v>
      </c>
      <c r="E179">
        <v>16</v>
      </c>
      <c r="F179">
        <v>4</v>
      </c>
      <c r="G179">
        <v>15</v>
      </c>
      <c r="H179">
        <v>5</v>
      </c>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347</v>
      </c>
      <c r="B180" s="186"/>
      <c r="C180">
        <v>24</v>
      </c>
      <c r="D180">
        <v>8</v>
      </c>
      <c r="E180">
        <v>30</v>
      </c>
      <c r="F180">
        <v>10</v>
      </c>
      <c r="G180">
        <v>32</v>
      </c>
      <c r="H180">
        <v>9</v>
      </c>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30</v>
      </c>
      <c r="D181">
        <v>11</v>
      </c>
      <c r="E181">
        <v>28</v>
      </c>
      <c r="F181">
        <v>9</v>
      </c>
      <c r="G181">
        <v>26</v>
      </c>
      <c r="H181">
        <v>8</v>
      </c>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24</v>
      </c>
      <c r="D182">
        <v>6</v>
      </c>
      <c r="E182">
        <v>31</v>
      </c>
      <c r="F182">
        <v>9</v>
      </c>
      <c r="G182">
        <v>27</v>
      </c>
      <c r="H182">
        <v>6</v>
      </c>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31</v>
      </c>
      <c r="D183">
        <v>6</v>
      </c>
      <c r="E183">
        <v>28</v>
      </c>
      <c r="F183">
        <v>7</v>
      </c>
      <c r="G183">
        <v>24</v>
      </c>
      <c r="H183">
        <v>7</v>
      </c>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13</v>
      </c>
      <c r="D184">
        <v>5</v>
      </c>
      <c r="E184">
        <v>13</v>
      </c>
      <c r="F184">
        <v>4</v>
      </c>
      <c r="G184">
        <v>12</v>
      </c>
      <c r="H184">
        <v>5</v>
      </c>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21</v>
      </c>
      <c r="D185">
        <v>12</v>
      </c>
      <c r="E185">
        <v>22</v>
      </c>
      <c r="F185">
        <v>18</v>
      </c>
      <c r="G185">
        <v>21</v>
      </c>
      <c r="H185">
        <v>12</v>
      </c>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22</v>
      </c>
      <c r="D186">
        <v>6</v>
      </c>
      <c r="E186">
        <v>21</v>
      </c>
      <c r="F186">
        <v>9</v>
      </c>
      <c r="G186">
        <v>20</v>
      </c>
      <c r="H186">
        <v>8</v>
      </c>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42</v>
      </c>
      <c r="D187">
        <v>17</v>
      </c>
      <c r="E187">
        <v>31</v>
      </c>
      <c r="F187" t="str">
        <f>""</f>
        <v/>
      </c>
      <c r="G187">
        <v>26</v>
      </c>
      <c r="H187" t="str">
        <f>""</f>
        <v/>
      </c>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24</v>
      </c>
      <c r="D188">
        <v>7</v>
      </c>
      <c r="E188">
        <v>17</v>
      </c>
      <c r="F188" t="str">
        <f>""</f>
        <v/>
      </c>
      <c r="G188">
        <v>15</v>
      </c>
      <c r="H188">
        <v>5</v>
      </c>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13</v>
      </c>
      <c r="D189">
        <v>4</v>
      </c>
      <c r="E189">
        <v>13</v>
      </c>
      <c r="F189">
        <v>4</v>
      </c>
      <c r="G189">
        <v>11</v>
      </c>
      <c r="H189">
        <v>6</v>
      </c>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36</v>
      </c>
      <c r="D190">
        <v>17</v>
      </c>
      <c r="E190">
        <v>35</v>
      </c>
      <c r="F190">
        <v>18</v>
      </c>
      <c r="G190">
        <v>32</v>
      </c>
      <c r="H190">
        <v>20</v>
      </c>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20</v>
      </c>
      <c r="D191">
        <v>18</v>
      </c>
      <c r="E191">
        <v>20</v>
      </c>
      <c r="F191">
        <v>9</v>
      </c>
      <c r="G191">
        <v>14</v>
      </c>
      <c r="H191">
        <v>9</v>
      </c>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20</v>
      </c>
      <c r="D192">
        <v>6</v>
      </c>
      <c r="E192">
        <v>20</v>
      </c>
      <c r="F192">
        <v>7</v>
      </c>
      <c r="G192">
        <v>21</v>
      </c>
      <c r="H192">
        <v>8</v>
      </c>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32</v>
      </c>
      <c r="D193">
        <v>8</v>
      </c>
      <c r="E193">
        <v>34</v>
      </c>
      <c r="F193">
        <v>10</v>
      </c>
      <c r="G193">
        <v>27</v>
      </c>
      <c r="H193">
        <v>8</v>
      </c>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30</v>
      </c>
      <c r="D194">
        <v>8</v>
      </c>
      <c r="E194">
        <v>22</v>
      </c>
      <c r="F194">
        <v>6</v>
      </c>
      <c r="G194">
        <v>23</v>
      </c>
      <c r="H194">
        <v>7</v>
      </c>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17</v>
      </c>
      <c r="D195">
        <v>9</v>
      </c>
      <c r="E195">
        <v>17</v>
      </c>
      <c r="F195">
        <v>7</v>
      </c>
      <c r="G195">
        <v>16</v>
      </c>
      <c r="H195">
        <v>8</v>
      </c>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19</v>
      </c>
      <c r="D196">
        <v>8</v>
      </c>
      <c r="E196">
        <v>19</v>
      </c>
      <c r="F196">
        <v>8</v>
      </c>
      <c r="G196">
        <v>29</v>
      </c>
      <c r="H196">
        <v>13</v>
      </c>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16</v>
      </c>
      <c r="D197">
        <v>5</v>
      </c>
      <c r="E197">
        <v>16</v>
      </c>
      <c r="F197">
        <v>6</v>
      </c>
      <c r="G197">
        <v>15</v>
      </c>
      <c r="H197">
        <v>6</v>
      </c>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22</v>
      </c>
      <c r="D198">
        <v>10</v>
      </c>
      <c r="E198">
        <v>25</v>
      </c>
      <c r="F198">
        <v>15</v>
      </c>
      <c r="G198">
        <v>26</v>
      </c>
      <c r="H198">
        <v>19</v>
      </c>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28</v>
      </c>
      <c r="D199">
        <v>10</v>
      </c>
      <c r="E199">
        <v>27</v>
      </c>
      <c r="F199">
        <v>11</v>
      </c>
      <c r="G199">
        <v>29</v>
      </c>
      <c r="H199">
        <v>13</v>
      </c>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348</v>
      </c>
      <c r="B200" s="186"/>
      <c r="C200">
        <v>22</v>
      </c>
      <c r="D200">
        <v>15</v>
      </c>
      <c r="E200">
        <v>22</v>
      </c>
      <c r="F200">
        <v>21</v>
      </c>
      <c r="G200">
        <v>22</v>
      </c>
      <c r="H200">
        <v>19</v>
      </c>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349</v>
      </c>
      <c r="B201" s="186"/>
      <c r="C201">
        <v>13</v>
      </c>
      <c r="D201">
        <v>7</v>
      </c>
      <c r="E201">
        <v>18</v>
      </c>
      <c r="F201">
        <v>7</v>
      </c>
      <c r="G201">
        <v>16</v>
      </c>
      <c r="H201">
        <v>8</v>
      </c>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34</v>
      </c>
      <c r="D202">
        <v>8</v>
      </c>
      <c r="E202">
        <v>38</v>
      </c>
      <c r="F202">
        <v>12</v>
      </c>
      <c r="G202">
        <v>39</v>
      </c>
      <c r="H202">
        <v>15</v>
      </c>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14</v>
      </c>
      <c r="D203">
        <v>11</v>
      </c>
      <c r="E203">
        <v>11</v>
      </c>
      <c r="F203">
        <v>14</v>
      </c>
      <c r="G203">
        <v>12</v>
      </c>
      <c r="H203">
        <v>11</v>
      </c>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19</v>
      </c>
      <c r="D204">
        <v>7</v>
      </c>
      <c r="E204">
        <v>20</v>
      </c>
      <c r="F204">
        <v>8</v>
      </c>
      <c r="G204">
        <v>20</v>
      </c>
      <c r="H204">
        <v>9</v>
      </c>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32</v>
      </c>
      <c r="D205">
        <v>42</v>
      </c>
      <c r="E205">
        <v>25</v>
      </c>
      <c r="F205">
        <v>29</v>
      </c>
      <c r="G205">
        <v>23</v>
      </c>
      <c r="H205">
        <v>28</v>
      </c>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17</v>
      </c>
      <c r="D206">
        <v>11</v>
      </c>
      <c r="E206">
        <v>13</v>
      </c>
      <c r="F206">
        <v>9</v>
      </c>
      <c r="G206">
        <v>19</v>
      </c>
      <c r="H206">
        <v>15</v>
      </c>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20</v>
      </c>
      <c r="D207">
        <v>10</v>
      </c>
      <c r="E207">
        <v>20</v>
      </c>
      <c r="F207">
        <v>11</v>
      </c>
      <c r="G207">
        <v>18</v>
      </c>
      <c r="H207">
        <v>13</v>
      </c>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26</v>
      </c>
      <c r="D208">
        <v>10</v>
      </c>
      <c r="E208">
        <v>31</v>
      </c>
      <c r="F208">
        <v>10</v>
      </c>
      <c r="G208">
        <v>30</v>
      </c>
      <c r="H208">
        <v>10</v>
      </c>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16</v>
      </c>
      <c r="D209">
        <v>9</v>
      </c>
      <c r="E209">
        <v>15</v>
      </c>
      <c r="F209">
        <v>9</v>
      </c>
      <c r="G209">
        <v>14</v>
      </c>
      <c r="H209">
        <v>11</v>
      </c>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29</v>
      </c>
      <c r="D210">
        <v>9</v>
      </c>
      <c r="E210">
        <v>25</v>
      </c>
      <c r="F210">
        <v>8</v>
      </c>
      <c r="G210">
        <v>24</v>
      </c>
      <c r="H210">
        <v>8</v>
      </c>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23</v>
      </c>
      <c r="D211">
        <v>12</v>
      </c>
      <c r="E211">
        <v>23</v>
      </c>
      <c r="F211">
        <v>13</v>
      </c>
      <c r="G211">
        <v>23</v>
      </c>
      <c r="H211">
        <v>17</v>
      </c>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28</v>
      </c>
      <c r="D212">
        <v>4</v>
      </c>
      <c r="E212">
        <v>26</v>
      </c>
      <c r="F212">
        <v>4</v>
      </c>
      <c r="G212">
        <v>26</v>
      </c>
      <c r="H212">
        <v>6</v>
      </c>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812</v>
      </c>
      <c r="B213" s="247"/>
      <c r="C213">
        <v>19</v>
      </c>
      <c r="D213">
        <v>6</v>
      </c>
      <c r="E213">
        <v>20</v>
      </c>
      <c r="F213">
        <v>7</v>
      </c>
      <c r="G213">
        <v>19</v>
      </c>
      <c r="H213">
        <v>8</v>
      </c>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17</v>
      </c>
      <c r="D214">
        <v>5</v>
      </c>
      <c r="E214">
        <v>17</v>
      </c>
      <c r="F214">
        <v>6</v>
      </c>
      <c r="G214">
        <v>16</v>
      </c>
      <c r="H214">
        <v>7</v>
      </c>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350</v>
      </c>
      <c r="B215" s="247"/>
      <c r="C215">
        <v>19</v>
      </c>
      <c r="D215">
        <v>4</v>
      </c>
      <c r="E215">
        <v>18</v>
      </c>
      <c r="F215">
        <v>4</v>
      </c>
      <c r="G215">
        <v>22</v>
      </c>
      <c r="H215">
        <v>8</v>
      </c>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22</v>
      </c>
      <c r="D216">
        <v>7</v>
      </c>
      <c r="E216">
        <v>18</v>
      </c>
      <c r="F216">
        <v>7</v>
      </c>
      <c r="G216">
        <v>19</v>
      </c>
      <c r="H216">
        <v>8</v>
      </c>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396</v>
      </c>
      <c r="B217" s="247"/>
      <c r="C217">
        <v>24</v>
      </c>
      <c r="D217">
        <v>7</v>
      </c>
      <c r="E217">
        <v>22</v>
      </c>
      <c r="F217">
        <v>6</v>
      </c>
      <c r="G217">
        <v>18</v>
      </c>
      <c r="H217">
        <v>9</v>
      </c>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45</v>
      </c>
      <c r="D218">
        <v>12</v>
      </c>
      <c r="E218">
        <v>38</v>
      </c>
      <c r="F218">
        <v>8</v>
      </c>
      <c r="G218">
        <v>25</v>
      </c>
      <c r="H218">
        <v>6</v>
      </c>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33</v>
      </c>
      <c r="D219">
        <v>16</v>
      </c>
      <c r="E219">
        <v>37</v>
      </c>
      <c r="F219">
        <v>17</v>
      </c>
      <c r="G219">
        <v>30</v>
      </c>
      <c r="H219">
        <v>16</v>
      </c>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33</v>
      </c>
      <c r="D220">
        <v>14</v>
      </c>
      <c r="E220" t="str">
        <f>""</f>
        <v/>
      </c>
      <c r="F220">
        <v>17</v>
      </c>
      <c r="G220">
        <v>16</v>
      </c>
      <c r="H220">
        <v>12</v>
      </c>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32</v>
      </c>
      <c r="D221">
        <v>8</v>
      </c>
      <c r="E221">
        <v>28</v>
      </c>
      <c r="F221">
        <v>12</v>
      </c>
      <c r="G221">
        <v>29</v>
      </c>
      <c r="H221">
        <v>11</v>
      </c>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43</v>
      </c>
      <c r="D222">
        <v>21</v>
      </c>
      <c r="E222">
        <v>31</v>
      </c>
      <c r="F222">
        <v>16</v>
      </c>
      <c r="G222">
        <v>32</v>
      </c>
      <c r="H222">
        <v>19</v>
      </c>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23</v>
      </c>
      <c r="D223">
        <v>8</v>
      </c>
      <c r="E223">
        <v>19</v>
      </c>
      <c r="F223">
        <v>11</v>
      </c>
      <c r="G223">
        <v>19</v>
      </c>
      <c r="H223">
        <v>10</v>
      </c>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20</v>
      </c>
      <c r="D224">
        <v>10</v>
      </c>
      <c r="E224">
        <v>19</v>
      </c>
      <c r="F224">
        <v>9</v>
      </c>
      <c r="G224">
        <v>20</v>
      </c>
      <c r="H224">
        <v>12</v>
      </c>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18</v>
      </c>
      <c r="D225">
        <v>5</v>
      </c>
      <c r="E225">
        <v>17</v>
      </c>
      <c r="F225">
        <v>4</v>
      </c>
      <c r="G225">
        <v>16</v>
      </c>
      <c r="H225">
        <v>4</v>
      </c>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13</v>
      </c>
      <c r="D226">
        <v>6</v>
      </c>
      <c r="E226">
        <v>13</v>
      </c>
      <c r="F226">
        <v>5</v>
      </c>
      <c r="G226">
        <v>10</v>
      </c>
      <c r="H226">
        <v>7</v>
      </c>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5</v>
      </c>
      <c r="D227">
        <v>1</v>
      </c>
      <c r="E227">
        <v>5</v>
      </c>
      <c r="F227">
        <v>1</v>
      </c>
      <c r="G227">
        <v>5</v>
      </c>
      <c r="H227">
        <v>2</v>
      </c>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22</v>
      </c>
      <c r="D228">
        <v>8</v>
      </c>
      <c r="E228">
        <v>20</v>
      </c>
      <c r="F228">
        <v>7</v>
      </c>
      <c r="G228">
        <v>22</v>
      </c>
      <c r="H228">
        <v>8</v>
      </c>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63</v>
      </c>
      <c r="D229">
        <v>9</v>
      </c>
      <c r="E229">
        <v>33</v>
      </c>
      <c r="F229">
        <v>8</v>
      </c>
      <c r="G229">
        <v>23</v>
      </c>
      <c r="H229">
        <v>15</v>
      </c>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36</v>
      </c>
      <c r="D230">
        <v>17</v>
      </c>
      <c r="E230">
        <v>45</v>
      </c>
      <c r="F230">
        <v>18</v>
      </c>
      <c r="G230">
        <v>42</v>
      </c>
      <c r="H230">
        <v>13</v>
      </c>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23</v>
      </c>
      <c r="D231">
        <v>8</v>
      </c>
      <c r="E231">
        <v>22</v>
      </c>
      <c r="F231">
        <v>8</v>
      </c>
      <c r="G231">
        <v>22</v>
      </c>
      <c r="H231">
        <v>8</v>
      </c>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21</v>
      </c>
      <c r="D232">
        <v>8</v>
      </c>
      <c r="E232">
        <v>18</v>
      </c>
      <c r="F232">
        <v>7</v>
      </c>
      <c r="G232">
        <v>22</v>
      </c>
      <c r="H232">
        <v>8</v>
      </c>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11</v>
      </c>
      <c r="D233">
        <v>7</v>
      </c>
      <c r="E233">
        <v>7</v>
      </c>
      <c r="F233">
        <v>6</v>
      </c>
      <c r="G233">
        <v>6</v>
      </c>
      <c r="H233">
        <v>5</v>
      </c>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28</v>
      </c>
      <c r="D234">
        <v>13</v>
      </c>
      <c r="E234">
        <v>25</v>
      </c>
      <c r="F234">
        <v>8</v>
      </c>
      <c r="G234">
        <v>25</v>
      </c>
      <c r="H234">
        <v>14</v>
      </c>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29</v>
      </c>
      <c r="D235">
        <v>7</v>
      </c>
      <c r="E235">
        <v>27</v>
      </c>
      <c r="F235">
        <v>8</v>
      </c>
      <c r="G235">
        <v>23</v>
      </c>
      <c r="H235">
        <v>7</v>
      </c>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26</v>
      </c>
      <c r="D236">
        <v>12</v>
      </c>
      <c r="E236">
        <v>26</v>
      </c>
      <c r="F236">
        <v>10</v>
      </c>
      <c r="G236">
        <v>24</v>
      </c>
      <c r="H236">
        <v>14</v>
      </c>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24</v>
      </c>
      <c r="D237">
        <v>11</v>
      </c>
      <c r="E237">
        <v>22</v>
      </c>
      <c r="F237">
        <v>15</v>
      </c>
      <c r="G237">
        <v>21</v>
      </c>
      <c r="H237">
        <v>17</v>
      </c>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18</v>
      </c>
      <c r="D238">
        <v>7</v>
      </c>
      <c r="E238">
        <v>19</v>
      </c>
      <c r="F238">
        <v>7</v>
      </c>
      <c r="G238">
        <v>18</v>
      </c>
      <c r="H238">
        <v>5</v>
      </c>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41</v>
      </c>
      <c r="D239">
        <v>12</v>
      </c>
      <c r="E239">
        <v>24</v>
      </c>
      <c r="F239">
        <v>10</v>
      </c>
      <c r="G239">
        <v>25</v>
      </c>
      <c r="H239">
        <v>12</v>
      </c>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28</v>
      </c>
      <c r="D240">
        <v>12</v>
      </c>
      <c r="E240">
        <v>21</v>
      </c>
      <c r="F240">
        <v>11</v>
      </c>
      <c r="G240">
        <v>16</v>
      </c>
      <c r="H240">
        <v>12</v>
      </c>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23</v>
      </c>
      <c r="D241">
        <v>6</v>
      </c>
      <c r="E241">
        <v>22</v>
      </c>
      <c r="F241">
        <v>6</v>
      </c>
      <c r="G241">
        <v>20</v>
      </c>
      <c r="H241">
        <v>8</v>
      </c>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28</v>
      </c>
      <c r="D242">
        <v>18</v>
      </c>
      <c r="E242">
        <v>23</v>
      </c>
      <c r="F242">
        <v>13</v>
      </c>
      <c r="G242">
        <v>16</v>
      </c>
      <c r="H242">
        <v>14</v>
      </c>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19</v>
      </c>
      <c r="D243">
        <v>14</v>
      </c>
      <c r="E243">
        <v>17</v>
      </c>
      <c r="F243">
        <v>11</v>
      </c>
      <c r="G243">
        <v>18</v>
      </c>
      <c r="H243">
        <v>10</v>
      </c>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28</v>
      </c>
      <c r="D244">
        <v>29</v>
      </c>
      <c r="E244">
        <v>60</v>
      </c>
      <c r="F244" t="str">
        <f>""</f>
        <v/>
      </c>
      <c r="G244">
        <v>49</v>
      </c>
      <c r="H244">
        <v>39</v>
      </c>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27</v>
      </c>
      <c r="D245">
        <v>8</v>
      </c>
      <c r="E245">
        <v>21</v>
      </c>
      <c r="F245">
        <v>7</v>
      </c>
      <c r="G245">
        <v>26</v>
      </c>
      <c r="H245">
        <v>10</v>
      </c>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23</v>
      </c>
      <c r="D246">
        <v>12</v>
      </c>
      <c r="E246">
        <v>18</v>
      </c>
      <c r="F246">
        <v>12</v>
      </c>
      <c r="G246">
        <v>20</v>
      </c>
      <c r="H246">
        <v>10</v>
      </c>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31</v>
      </c>
      <c r="D247">
        <v>24</v>
      </c>
      <c r="E247">
        <v>21</v>
      </c>
      <c r="F247">
        <v>23</v>
      </c>
      <c r="G247">
        <v>22</v>
      </c>
      <c r="H247">
        <v>20</v>
      </c>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10</v>
      </c>
      <c r="D248">
        <v>4</v>
      </c>
      <c r="E248">
        <v>11</v>
      </c>
      <c r="F248">
        <v>4</v>
      </c>
      <c r="G248">
        <v>11</v>
      </c>
      <c r="H248">
        <v>4</v>
      </c>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24</v>
      </c>
      <c r="D249">
        <v>11</v>
      </c>
      <c r="E249">
        <v>25</v>
      </c>
      <c r="F249">
        <v>14</v>
      </c>
      <c r="G249">
        <v>26</v>
      </c>
      <c r="H249">
        <v>15</v>
      </c>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15</v>
      </c>
      <c r="D250">
        <v>6</v>
      </c>
      <c r="E250">
        <v>13</v>
      </c>
      <c r="F250">
        <v>6</v>
      </c>
      <c r="G250">
        <v>10</v>
      </c>
      <c r="H250">
        <v>6</v>
      </c>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12</v>
      </c>
      <c r="D251">
        <v>5</v>
      </c>
      <c r="E251">
        <v>11</v>
      </c>
      <c r="F251">
        <v>4</v>
      </c>
      <c r="G251">
        <v>9</v>
      </c>
      <c r="H251">
        <v>6</v>
      </c>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17</v>
      </c>
      <c r="D252">
        <v>7</v>
      </c>
      <c r="E252">
        <v>16</v>
      </c>
      <c r="F252">
        <v>7</v>
      </c>
      <c r="G252">
        <v>16</v>
      </c>
      <c r="H252">
        <v>5</v>
      </c>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19</v>
      </c>
      <c r="D253">
        <v>9</v>
      </c>
      <c r="E253">
        <v>22</v>
      </c>
      <c r="F253">
        <v>13</v>
      </c>
      <c r="G253">
        <v>26</v>
      </c>
      <c r="H253">
        <v>18</v>
      </c>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30</v>
      </c>
      <c r="D254">
        <v>6</v>
      </c>
      <c r="E254">
        <v>22</v>
      </c>
      <c r="F254">
        <v>6</v>
      </c>
      <c r="G254">
        <v>15</v>
      </c>
      <c r="H254">
        <v>7</v>
      </c>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17</v>
      </c>
      <c r="D255">
        <v>5</v>
      </c>
      <c r="E255">
        <v>13</v>
      </c>
      <c r="F255">
        <v>5</v>
      </c>
      <c r="G255">
        <v>14</v>
      </c>
      <c r="H255">
        <v>5</v>
      </c>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21</v>
      </c>
      <c r="D256">
        <v>14</v>
      </c>
      <c r="E256">
        <v>21</v>
      </c>
      <c r="F256">
        <v>12</v>
      </c>
      <c r="G256">
        <v>21</v>
      </c>
      <c r="H256">
        <v>12</v>
      </c>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16</v>
      </c>
      <c r="D257">
        <v>7</v>
      </c>
      <c r="E257">
        <v>18</v>
      </c>
      <c r="F257">
        <v>9</v>
      </c>
      <c r="G257">
        <v>18</v>
      </c>
      <c r="H257">
        <v>10</v>
      </c>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37</v>
      </c>
      <c r="D258">
        <v>1</v>
      </c>
      <c r="E258">
        <v>34</v>
      </c>
      <c r="F258">
        <v>3</v>
      </c>
      <c r="G258">
        <v>27</v>
      </c>
      <c r="H258">
        <v>10</v>
      </c>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19</v>
      </c>
      <c r="D259">
        <v>6</v>
      </c>
      <c r="E259">
        <v>21</v>
      </c>
      <c r="F259">
        <v>7</v>
      </c>
      <c r="G259">
        <v>22</v>
      </c>
      <c r="H259">
        <v>10</v>
      </c>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27</v>
      </c>
      <c r="D260">
        <v>15</v>
      </c>
      <c r="E260">
        <v>25</v>
      </c>
      <c r="F260">
        <v>20</v>
      </c>
      <c r="G260">
        <v>25</v>
      </c>
      <c r="H260">
        <v>13</v>
      </c>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24</v>
      </c>
      <c r="D261">
        <v>9</v>
      </c>
      <c r="E261">
        <v>21</v>
      </c>
      <c r="F261">
        <v>7</v>
      </c>
      <c r="G261">
        <v>24</v>
      </c>
      <c r="H261">
        <v>8</v>
      </c>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17</v>
      </c>
      <c r="D262">
        <v>6</v>
      </c>
      <c r="E262">
        <v>16</v>
      </c>
      <c r="F262">
        <v>5</v>
      </c>
      <c r="G262">
        <v>14</v>
      </c>
      <c r="H262">
        <v>6</v>
      </c>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27</v>
      </c>
      <c r="D263">
        <v>11</v>
      </c>
      <c r="E263">
        <v>25</v>
      </c>
      <c r="F263">
        <v>10</v>
      </c>
      <c r="G263">
        <v>25</v>
      </c>
      <c r="H263">
        <v>10</v>
      </c>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17</v>
      </c>
      <c r="D264">
        <v>8</v>
      </c>
      <c r="E264">
        <v>19</v>
      </c>
      <c r="F264">
        <v>8</v>
      </c>
      <c r="G264">
        <v>17</v>
      </c>
      <c r="H264">
        <v>14</v>
      </c>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20</v>
      </c>
      <c r="D265">
        <v>8</v>
      </c>
      <c r="E265">
        <v>17</v>
      </c>
      <c r="F265">
        <v>8</v>
      </c>
      <c r="G265">
        <v>17</v>
      </c>
      <c r="H265">
        <v>7</v>
      </c>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27</v>
      </c>
      <c r="D266">
        <v>9</v>
      </c>
      <c r="E266">
        <v>29</v>
      </c>
      <c r="F266">
        <v>21</v>
      </c>
      <c r="G266">
        <v>24</v>
      </c>
      <c r="H266">
        <v>13</v>
      </c>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22</v>
      </c>
      <c r="D267">
        <v>13</v>
      </c>
      <c r="E267">
        <v>21</v>
      </c>
      <c r="F267">
        <v>12</v>
      </c>
      <c r="G267">
        <v>24</v>
      </c>
      <c r="H267">
        <v>16</v>
      </c>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17</v>
      </c>
      <c r="D268">
        <v>11</v>
      </c>
      <c r="E268">
        <v>16</v>
      </c>
      <c r="F268">
        <v>13</v>
      </c>
      <c r="G268">
        <v>17</v>
      </c>
      <c r="H268">
        <v>10</v>
      </c>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18</v>
      </c>
      <c r="D269">
        <v>6</v>
      </c>
      <c r="E269">
        <v>15</v>
      </c>
      <c r="F269">
        <v>9</v>
      </c>
      <c r="G269">
        <v>13</v>
      </c>
      <c r="H269">
        <v>8</v>
      </c>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18</v>
      </c>
      <c r="D270">
        <v>9</v>
      </c>
      <c r="E270">
        <v>16</v>
      </c>
      <c r="F270">
        <v>7</v>
      </c>
      <c r="G270">
        <v>16</v>
      </c>
      <c r="H270">
        <v>5</v>
      </c>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16</v>
      </c>
      <c r="D271">
        <v>7</v>
      </c>
      <c r="E271">
        <v>12</v>
      </c>
      <c r="F271">
        <v>6</v>
      </c>
      <c r="G271">
        <v>14</v>
      </c>
      <c r="H271">
        <v>9</v>
      </c>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24</v>
      </c>
      <c r="D272">
        <v>7</v>
      </c>
      <c r="E272">
        <v>27</v>
      </c>
      <c r="F272">
        <v>7</v>
      </c>
      <c r="G272">
        <v>31</v>
      </c>
      <c r="H272">
        <v>10</v>
      </c>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26</v>
      </c>
      <c r="D273">
        <v>9</v>
      </c>
      <c r="E273">
        <v>27</v>
      </c>
      <c r="F273">
        <v>14</v>
      </c>
      <c r="G273">
        <v>25</v>
      </c>
      <c r="H273">
        <v>13</v>
      </c>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26</v>
      </c>
      <c r="D274">
        <v>9</v>
      </c>
      <c r="E274">
        <v>26</v>
      </c>
      <c r="F274">
        <v>10</v>
      </c>
      <c r="G274">
        <v>23</v>
      </c>
      <c r="H274">
        <v>9</v>
      </c>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24</v>
      </c>
      <c r="D275">
        <v>6</v>
      </c>
      <c r="E275">
        <v>23</v>
      </c>
      <c r="F275">
        <v>8</v>
      </c>
      <c r="G275">
        <v>21</v>
      </c>
      <c r="H275">
        <v>11</v>
      </c>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16</v>
      </c>
      <c r="D276">
        <v>5</v>
      </c>
      <c r="E276">
        <v>14</v>
      </c>
      <c r="F276">
        <v>5</v>
      </c>
      <c r="G276">
        <v>15</v>
      </c>
      <c r="H276">
        <v>6</v>
      </c>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17</v>
      </c>
      <c r="D277">
        <v>4</v>
      </c>
      <c r="E277">
        <v>16</v>
      </c>
      <c r="F277">
        <v>6</v>
      </c>
      <c r="G277">
        <v>16</v>
      </c>
      <c r="H277">
        <v>6</v>
      </c>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25</v>
      </c>
      <c r="D278">
        <v>18</v>
      </c>
      <c r="E278">
        <v>25</v>
      </c>
      <c r="F278">
        <v>10</v>
      </c>
      <c r="G278">
        <v>25</v>
      </c>
      <c r="H278">
        <v>16</v>
      </c>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31</v>
      </c>
      <c r="D279">
        <v>11</v>
      </c>
      <c r="E279">
        <v>33</v>
      </c>
      <c r="F279">
        <v>13</v>
      </c>
      <c r="G279">
        <v>33</v>
      </c>
      <c r="H279" t="str">
        <f>""</f>
        <v/>
      </c>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23</v>
      </c>
      <c r="D280">
        <v>10</v>
      </c>
      <c r="E280">
        <v>22</v>
      </c>
      <c r="F280">
        <v>11</v>
      </c>
      <c r="G280">
        <v>27</v>
      </c>
      <c r="H280">
        <v>14</v>
      </c>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16</v>
      </c>
      <c r="D281">
        <v>5</v>
      </c>
      <c r="E281">
        <v>19</v>
      </c>
      <c r="F281">
        <v>6</v>
      </c>
      <c r="G281">
        <v>18</v>
      </c>
      <c r="H281">
        <v>8</v>
      </c>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13</v>
      </c>
      <c r="D282">
        <v>6</v>
      </c>
      <c r="E282">
        <v>11</v>
      </c>
      <c r="F282">
        <v>6</v>
      </c>
      <c r="G282">
        <v>15</v>
      </c>
      <c r="H282">
        <v>8</v>
      </c>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818</v>
      </c>
      <c r="B283" s="247"/>
      <c r="C283">
        <v>11</v>
      </c>
      <c r="D283">
        <v>9</v>
      </c>
      <c r="E283">
        <v>11</v>
      </c>
      <c r="F283">
        <v>10</v>
      </c>
      <c r="G283">
        <v>10</v>
      </c>
      <c r="H283">
        <v>9</v>
      </c>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7</v>
      </c>
      <c r="D284">
        <v>3</v>
      </c>
      <c r="E284">
        <v>7</v>
      </c>
      <c r="F284">
        <v>3</v>
      </c>
      <c r="G284">
        <v>8</v>
      </c>
      <c r="H284">
        <v>3</v>
      </c>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21</v>
      </c>
      <c r="D285">
        <v>8</v>
      </c>
      <c r="E285">
        <v>23</v>
      </c>
      <c r="F285">
        <v>9</v>
      </c>
      <c r="G285">
        <v>20</v>
      </c>
      <c r="H285">
        <v>9</v>
      </c>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27</v>
      </c>
      <c r="D286">
        <v>13</v>
      </c>
      <c r="E286">
        <v>20</v>
      </c>
      <c r="F286">
        <v>15</v>
      </c>
      <c r="G286">
        <v>11</v>
      </c>
      <c r="H286">
        <v>12</v>
      </c>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17</v>
      </c>
      <c r="D287">
        <v>7</v>
      </c>
      <c r="E287">
        <v>19</v>
      </c>
      <c r="F287">
        <v>7</v>
      </c>
      <c r="G287">
        <v>15</v>
      </c>
      <c r="H287">
        <v>8</v>
      </c>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17</v>
      </c>
      <c r="D288">
        <v>13</v>
      </c>
      <c r="E288">
        <v>16</v>
      </c>
      <c r="F288">
        <v>15</v>
      </c>
      <c r="G288">
        <v>19</v>
      </c>
      <c r="H288">
        <v>22</v>
      </c>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31</v>
      </c>
      <c r="D289">
        <v>8</v>
      </c>
      <c r="E289">
        <v>29</v>
      </c>
      <c r="F289">
        <v>8</v>
      </c>
      <c r="G289">
        <v>18</v>
      </c>
      <c r="H289">
        <v>10</v>
      </c>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351</v>
      </c>
      <c r="B290" s="247"/>
      <c r="C290">
        <v>32</v>
      </c>
      <c r="D290">
        <v>8</v>
      </c>
      <c r="E290">
        <v>17</v>
      </c>
      <c r="F290">
        <v>6</v>
      </c>
      <c r="G290">
        <v>11</v>
      </c>
      <c r="H290">
        <v>6</v>
      </c>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38</v>
      </c>
      <c r="D291">
        <v>8</v>
      </c>
      <c r="E291">
        <v>36</v>
      </c>
      <c r="F291">
        <v>10</v>
      </c>
      <c r="G291">
        <v>42</v>
      </c>
      <c r="H291">
        <v>12</v>
      </c>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16</v>
      </c>
      <c r="D292">
        <v>5</v>
      </c>
      <c r="E292">
        <v>15</v>
      </c>
      <c r="F292">
        <v>6</v>
      </c>
      <c r="G292">
        <v>16</v>
      </c>
      <c r="H292">
        <v>7</v>
      </c>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22</v>
      </c>
      <c r="D293">
        <v>4</v>
      </c>
      <c r="E293">
        <v>22</v>
      </c>
      <c r="F293">
        <v>4</v>
      </c>
      <c r="G293">
        <v>23</v>
      </c>
      <c r="H293">
        <v>6</v>
      </c>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16</v>
      </c>
      <c r="D294">
        <v>9</v>
      </c>
      <c r="E294">
        <v>16</v>
      </c>
      <c r="F294">
        <v>7</v>
      </c>
      <c r="G294">
        <v>14</v>
      </c>
      <c r="H294">
        <v>11</v>
      </c>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19</v>
      </c>
      <c r="D295">
        <v>9</v>
      </c>
      <c r="E295">
        <v>16</v>
      </c>
      <c r="F295">
        <v>9</v>
      </c>
      <c r="G295">
        <v>17</v>
      </c>
      <c r="H295">
        <v>8</v>
      </c>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20</v>
      </c>
      <c r="D296">
        <v>7</v>
      </c>
      <c r="E296">
        <v>23</v>
      </c>
      <c r="F296">
        <v>6</v>
      </c>
      <c r="G296">
        <v>21</v>
      </c>
      <c r="H296">
        <v>7</v>
      </c>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16</v>
      </c>
      <c r="D297">
        <v>9</v>
      </c>
      <c r="E297">
        <v>15</v>
      </c>
      <c r="F297">
        <v>6</v>
      </c>
      <c r="G297">
        <v>12</v>
      </c>
      <c r="H297">
        <v>7</v>
      </c>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25</v>
      </c>
      <c r="D298">
        <v>11</v>
      </c>
      <c r="E298">
        <v>22</v>
      </c>
      <c r="F298">
        <v>9</v>
      </c>
      <c r="G298">
        <v>22</v>
      </c>
      <c r="H298">
        <v>12</v>
      </c>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36</v>
      </c>
      <c r="D299">
        <v>7</v>
      </c>
      <c r="E299">
        <v>32</v>
      </c>
      <c r="F299">
        <v>9</v>
      </c>
      <c r="G299">
        <v>30</v>
      </c>
      <c r="H299">
        <v>8</v>
      </c>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24</v>
      </c>
      <c r="D300">
        <v>8</v>
      </c>
      <c r="E300">
        <v>23</v>
      </c>
      <c r="F300">
        <v>8</v>
      </c>
      <c r="G300">
        <v>21</v>
      </c>
      <c r="H300">
        <v>10</v>
      </c>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26</v>
      </c>
      <c r="D301">
        <v>13</v>
      </c>
      <c r="E301">
        <v>24</v>
      </c>
      <c r="F301">
        <v>14</v>
      </c>
      <c r="G301">
        <v>24</v>
      </c>
      <c r="H301">
        <v>18</v>
      </c>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31</v>
      </c>
      <c r="D302">
        <v>11</v>
      </c>
      <c r="E302">
        <v>28</v>
      </c>
      <c r="F302">
        <v>10</v>
      </c>
      <c r="G302">
        <v>17</v>
      </c>
      <c r="H302">
        <v>8</v>
      </c>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28</v>
      </c>
      <c r="D303">
        <v>10</v>
      </c>
      <c r="E303">
        <v>23</v>
      </c>
      <c r="F303">
        <v>7</v>
      </c>
      <c r="G303">
        <v>27</v>
      </c>
      <c r="H303">
        <v>8</v>
      </c>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15</v>
      </c>
      <c r="D304">
        <v>13</v>
      </c>
      <c r="E304">
        <v>15</v>
      </c>
      <c r="F304">
        <v>17</v>
      </c>
      <c r="G304">
        <v>20</v>
      </c>
      <c r="H304">
        <v>25</v>
      </c>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30</v>
      </c>
      <c r="D305">
        <v>10</v>
      </c>
      <c r="E305">
        <v>29</v>
      </c>
      <c r="F305">
        <v>13</v>
      </c>
      <c r="G305">
        <v>29</v>
      </c>
      <c r="H305">
        <v>11</v>
      </c>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21</v>
      </c>
      <c r="D306">
        <v>9</v>
      </c>
      <c r="E306">
        <v>20</v>
      </c>
      <c r="F306">
        <v>9</v>
      </c>
      <c r="G306">
        <v>20</v>
      </c>
      <c r="H306">
        <v>8</v>
      </c>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33</v>
      </c>
      <c r="D307">
        <v>14</v>
      </c>
      <c r="E307">
        <v>28</v>
      </c>
      <c r="F307">
        <v>18</v>
      </c>
      <c r="G307">
        <v>25</v>
      </c>
      <c r="H307">
        <v>22</v>
      </c>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20</v>
      </c>
      <c r="D308">
        <v>9</v>
      </c>
      <c r="E308">
        <v>19</v>
      </c>
      <c r="F308">
        <v>9</v>
      </c>
      <c r="G308">
        <v>20</v>
      </c>
      <c r="H308">
        <v>11</v>
      </c>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19</v>
      </c>
      <c r="D309">
        <v>8</v>
      </c>
      <c r="E309">
        <v>12</v>
      </c>
      <c r="F309">
        <v>8</v>
      </c>
      <c r="G309">
        <v>12</v>
      </c>
      <c r="H309">
        <v>6</v>
      </c>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20</v>
      </c>
      <c r="D310">
        <v>10</v>
      </c>
      <c r="E310">
        <v>18</v>
      </c>
      <c r="F310">
        <v>5</v>
      </c>
      <c r="G310">
        <v>19</v>
      </c>
      <c r="H310">
        <v>6</v>
      </c>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21</v>
      </c>
      <c r="D311">
        <v>10</v>
      </c>
      <c r="E311">
        <v>21</v>
      </c>
      <c r="F311">
        <v>12</v>
      </c>
      <c r="G311">
        <v>21</v>
      </c>
      <c r="H311">
        <v>9</v>
      </c>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24</v>
      </c>
      <c r="D312">
        <v>10</v>
      </c>
      <c r="E312">
        <v>19</v>
      </c>
      <c r="F312">
        <v>8</v>
      </c>
      <c r="G312">
        <v>18</v>
      </c>
      <c r="H312">
        <v>10</v>
      </c>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24</v>
      </c>
      <c r="D313">
        <v>7</v>
      </c>
      <c r="E313">
        <v>36</v>
      </c>
      <c r="F313">
        <v>7</v>
      </c>
      <c r="G313">
        <v>29</v>
      </c>
      <c r="H313">
        <v>9</v>
      </c>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26</v>
      </c>
      <c r="D314">
        <v>9</v>
      </c>
      <c r="E314">
        <v>22</v>
      </c>
      <c r="F314">
        <v>7</v>
      </c>
      <c r="G314">
        <v>18</v>
      </c>
      <c r="H314">
        <v>5</v>
      </c>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11</v>
      </c>
      <c r="D315">
        <v>5</v>
      </c>
      <c r="E315">
        <v>13</v>
      </c>
      <c r="F315">
        <v>7</v>
      </c>
      <c r="G315">
        <v>15</v>
      </c>
      <c r="H315">
        <v>7</v>
      </c>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28</v>
      </c>
      <c r="D316">
        <v>8</v>
      </c>
      <c r="E316">
        <v>20</v>
      </c>
      <c r="F316">
        <v>7</v>
      </c>
      <c r="G316">
        <v>20</v>
      </c>
      <c r="H316">
        <v>7</v>
      </c>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27</v>
      </c>
      <c r="D317">
        <v>12</v>
      </c>
      <c r="E317">
        <v>30</v>
      </c>
      <c r="F317">
        <v>15</v>
      </c>
      <c r="G317">
        <v>31</v>
      </c>
      <c r="H317">
        <v>22</v>
      </c>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352</v>
      </c>
      <c r="B318" s="247"/>
      <c r="C318">
        <v>23</v>
      </c>
      <c r="D318">
        <v>9</v>
      </c>
      <c r="E318">
        <v>20</v>
      </c>
      <c r="F318">
        <v>8</v>
      </c>
      <c r="G318">
        <v>20</v>
      </c>
      <c r="H318">
        <v>11</v>
      </c>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44</v>
      </c>
      <c r="D319">
        <v>8</v>
      </c>
      <c r="E319">
        <v>37</v>
      </c>
      <c r="F319">
        <v>13</v>
      </c>
      <c r="G319">
        <v>54</v>
      </c>
      <c r="H319">
        <v>13</v>
      </c>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30</v>
      </c>
      <c r="D320">
        <v>7</v>
      </c>
      <c r="E320">
        <v>26</v>
      </c>
      <c r="F320">
        <v>7</v>
      </c>
      <c r="G320">
        <v>19</v>
      </c>
      <c r="H320">
        <v>6</v>
      </c>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20</v>
      </c>
      <c r="D321">
        <v>6</v>
      </c>
      <c r="E321">
        <v>19</v>
      </c>
      <c r="F321">
        <v>8</v>
      </c>
      <c r="G321">
        <v>18</v>
      </c>
      <c r="H321">
        <v>7</v>
      </c>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819</v>
      </c>
      <c r="B322" s="247"/>
      <c r="C322">
        <v>31</v>
      </c>
      <c r="D322">
        <v>11</v>
      </c>
      <c r="E322">
        <v>29</v>
      </c>
      <c r="F322">
        <v>20</v>
      </c>
      <c r="G322">
        <v>23</v>
      </c>
      <c r="H322">
        <v>17</v>
      </c>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33</v>
      </c>
      <c r="D323">
        <v>17</v>
      </c>
      <c r="E323">
        <v>26</v>
      </c>
      <c r="F323">
        <v>22</v>
      </c>
      <c r="G323">
        <v>24</v>
      </c>
      <c r="H323">
        <v>19</v>
      </c>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23</v>
      </c>
      <c r="D324">
        <v>11</v>
      </c>
      <c r="E324">
        <v>23</v>
      </c>
      <c r="F324">
        <v>8</v>
      </c>
      <c r="G324">
        <v>19</v>
      </c>
      <c r="H324">
        <v>6</v>
      </c>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32</v>
      </c>
      <c r="D325">
        <v>12</v>
      </c>
      <c r="E325">
        <v>29</v>
      </c>
      <c r="F325">
        <v>11</v>
      </c>
      <c r="G325">
        <v>26</v>
      </c>
      <c r="H325">
        <v>12</v>
      </c>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14</v>
      </c>
      <c r="D326">
        <v>9</v>
      </c>
      <c r="E326">
        <v>16</v>
      </c>
      <c r="F326">
        <v>9</v>
      </c>
      <c r="G326">
        <v>15</v>
      </c>
      <c r="H326">
        <v>10</v>
      </c>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20</v>
      </c>
      <c r="D327">
        <v>10</v>
      </c>
      <c r="E327">
        <v>24</v>
      </c>
      <c r="F327">
        <v>11</v>
      </c>
      <c r="G327">
        <v>21</v>
      </c>
      <c r="H327">
        <v>12</v>
      </c>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20</v>
      </c>
      <c r="D328">
        <v>10</v>
      </c>
      <c r="E328">
        <v>17</v>
      </c>
      <c r="F328">
        <v>8</v>
      </c>
      <c r="G328">
        <v>19</v>
      </c>
      <c r="H328">
        <v>12</v>
      </c>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22</v>
      </c>
      <c r="D329">
        <v>11</v>
      </c>
      <c r="E329">
        <v>29</v>
      </c>
      <c r="F329">
        <v>12</v>
      </c>
      <c r="G329">
        <v>23</v>
      </c>
      <c r="H329">
        <v>13</v>
      </c>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24</v>
      </c>
      <c r="D330">
        <v>14</v>
      </c>
      <c r="E330">
        <v>21</v>
      </c>
      <c r="F330">
        <v>13</v>
      </c>
      <c r="G330">
        <v>20</v>
      </c>
      <c r="H330">
        <v>13</v>
      </c>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17</v>
      </c>
      <c r="D331">
        <v>3</v>
      </c>
      <c r="E331">
        <v>16</v>
      </c>
      <c r="F331">
        <v>3</v>
      </c>
      <c r="G331">
        <v>18</v>
      </c>
      <c r="H331">
        <v>4</v>
      </c>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25</v>
      </c>
      <c r="D332">
        <v>7</v>
      </c>
      <c r="E332">
        <v>23</v>
      </c>
      <c r="F332">
        <v>5</v>
      </c>
      <c r="G332">
        <v>30</v>
      </c>
      <c r="H332">
        <v>8</v>
      </c>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24</v>
      </c>
      <c r="D333">
        <v>6</v>
      </c>
      <c r="E333">
        <v>22</v>
      </c>
      <c r="F333">
        <v>8</v>
      </c>
      <c r="G333">
        <v>18</v>
      </c>
      <c r="H333">
        <v>7</v>
      </c>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E330" activePane="bottomRight" state="frozen"/>
      <selection activeCell="N70" sqref="N70"/>
      <selection pane="topRight" activeCell="N70" sqref="N70"/>
      <selection pane="bottomLeft" activeCell="N70" sqref="N70"/>
      <selection pane="bottomRight" activeCell="H351" sqref="H351"/>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406</v>
      </c>
      <c r="C1" s="29" t="s">
        <v>415</v>
      </c>
      <c r="D1" s="29" t="s">
        <v>414</v>
      </c>
      <c r="E1" s="30" t="s">
        <v>340</v>
      </c>
      <c r="F1" s="30" t="s">
        <v>400</v>
      </c>
      <c r="G1" s="30" t="s">
        <v>380</v>
      </c>
      <c r="H1" s="29" t="s">
        <v>381</v>
      </c>
      <c r="I1" s="29" t="s">
        <v>382</v>
      </c>
      <c r="J1" s="29" t="s">
        <v>302</v>
      </c>
      <c r="K1" s="29" t="s">
        <v>375</v>
      </c>
      <c r="M1">
        <f>SUBTOTAL(3,K:K)</f>
        <v>126</v>
      </c>
    </row>
    <row r="2" spans="1:13" ht="15">
      <c r="A2" s="28" t="str">
        <f>F2&amp;(COUNTIFS(F$2:F2,F2,K$2:K2,"Sparse"))</f>
        <v>SD0</v>
      </c>
      <c r="B2" s="28" t="str">
        <f>J2&amp;(COUNTIF(J$2:J2,J2))</f>
        <v>West Sussex1</v>
      </c>
      <c r="C2" s="31" t="s">
        <v>4</v>
      </c>
      <c r="D2" s="31" t="s">
        <v>4</v>
      </c>
      <c r="E2" s="32" t="s">
        <v>0</v>
      </c>
      <c r="F2" s="32" t="s">
        <v>383</v>
      </c>
      <c r="G2" s="32" t="s">
        <v>5</v>
      </c>
      <c r="H2" s="33" t="s">
        <v>897</v>
      </c>
      <c r="I2" s="34" t="s">
        <v>386</v>
      </c>
      <c r="J2" t="s">
        <v>332</v>
      </c>
      <c r="K2" s="44"/>
    </row>
    <row r="3" spans="1:13" ht="15">
      <c r="A3" s="28" t="str">
        <f>F3&amp;(COUNTIFS(F$2:F3,F3,K$2:K3,"Sparse"))</f>
        <v>SD1</v>
      </c>
      <c r="B3" s="28" t="str">
        <f>J3&amp;(COUNTIF(J$2:J3,J3))</f>
        <v>Cumbria1</v>
      </c>
      <c r="C3" s="31" t="s">
        <v>6</v>
      </c>
      <c r="D3" s="31" t="s">
        <v>6</v>
      </c>
      <c r="E3" s="32" t="s">
        <v>378</v>
      </c>
      <c r="F3" s="32" t="s">
        <v>383</v>
      </c>
      <c r="G3" s="32" t="s">
        <v>5</v>
      </c>
      <c r="H3" s="33" t="s">
        <v>898</v>
      </c>
      <c r="I3" s="34" t="s">
        <v>384</v>
      </c>
      <c r="J3" t="s">
        <v>307</v>
      </c>
      <c r="K3" s="44" t="s">
        <v>336</v>
      </c>
    </row>
    <row r="4" spans="1:13" ht="15">
      <c r="A4" s="28" t="str">
        <f>F4&amp;(COUNTIFS(F$2:F4,F4,K$2:K4,"Sparse"))</f>
        <v>SD1</v>
      </c>
      <c r="B4" s="28" t="str">
        <f>J4&amp;(COUNTIF(J$2:J4,J4))</f>
        <v>Derbyshire1</v>
      </c>
      <c r="C4" s="31" t="s">
        <v>7</v>
      </c>
      <c r="D4" s="31" t="s">
        <v>7</v>
      </c>
      <c r="E4" s="32" t="s">
        <v>369</v>
      </c>
      <c r="F4" s="32" t="s">
        <v>383</v>
      </c>
      <c r="G4" s="32" t="s">
        <v>5</v>
      </c>
      <c r="H4" s="35" t="s">
        <v>899</v>
      </c>
      <c r="I4" s="34" t="s">
        <v>386</v>
      </c>
      <c r="J4" t="s">
        <v>308</v>
      </c>
      <c r="K4" s="44"/>
    </row>
    <row r="5" spans="1:13" ht="15">
      <c r="A5" s="28" t="str">
        <f>F5&amp;(COUNTIFS(F$2:F5,F5,K$2:K5,"Sparse"))</f>
        <v>SD1</v>
      </c>
      <c r="B5" s="28" t="str">
        <f>J5&amp;(COUNTIF(J$2:J5,J5))</f>
        <v>West Sussex2</v>
      </c>
      <c r="C5" s="31" t="s">
        <v>8</v>
      </c>
      <c r="D5" s="31" t="s">
        <v>8</v>
      </c>
      <c r="E5" s="32" t="s">
        <v>0</v>
      </c>
      <c r="F5" s="32" t="s">
        <v>383</v>
      </c>
      <c r="G5" s="32" t="s">
        <v>5</v>
      </c>
      <c r="H5" s="33" t="s">
        <v>897</v>
      </c>
      <c r="I5" s="34" t="s">
        <v>386</v>
      </c>
      <c r="J5" t="s">
        <v>332</v>
      </c>
      <c r="K5" s="44"/>
    </row>
    <row r="6" spans="1:13" ht="15">
      <c r="A6" s="28" t="str">
        <f>F6&amp;(COUNTIFS(F$2:F6,F6,K$2:K6,"Sparse"))</f>
        <v>SD1</v>
      </c>
      <c r="B6" s="28" t="str">
        <f>J6&amp;(COUNTIF(J$2:J6,J6))</f>
        <v>Nottinghamshire1</v>
      </c>
      <c r="C6" s="31" t="s">
        <v>9</v>
      </c>
      <c r="D6" s="31" t="s">
        <v>9</v>
      </c>
      <c r="E6" s="32" t="s">
        <v>369</v>
      </c>
      <c r="F6" s="32" t="s">
        <v>383</v>
      </c>
      <c r="G6" s="32" t="s">
        <v>5</v>
      </c>
      <c r="H6" s="33" t="s">
        <v>897</v>
      </c>
      <c r="I6" s="34" t="s">
        <v>386</v>
      </c>
      <c r="J6" t="s">
        <v>324</v>
      </c>
      <c r="K6" s="44"/>
    </row>
    <row r="7" spans="1:13" ht="15">
      <c r="A7" s="28" t="str">
        <f>F7&amp;(COUNTIFS(F$2:F7,F7,K$2:K7,"Sparse"))</f>
        <v>SD2</v>
      </c>
      <c r="B7" s="28" t="str">
        <f>J7&amp;(COUNTIF(J$2:J7,J7))</f>
        <v>Kent1</v>
      </c>
      <c r="C7" s="31" t="s">
        <v>10</v>
      </c>
      <c r="D7" s="31" t="s">
        <v>10</v>
      </c>
      <c r="E7" s="32" t="s">
        <v>0</v>
      </c>
      <c r="F7" s="32" t="s">
        <v>383</v>
      </c>
      <c r="G7" s="32" t="s">
        <v>5</v>
      </c>
      <c r="H7" s="35" t="s">
        <v>900</v>
      </c>
      <c r="I7" s="34" t="s">
        <v>373</v>
      </c>
      <c r="J7" t="s">
        <v>316</v>
      </c>
      <c r="K7" s="44" t="s">
        <v>336</v>
      </c>
    </row>
    <row r="8" spans="1:13" ht="15">
      <c r="A8" s="28" t="str">
        <f>F8&amp;(COUNTIFS(F$2:F8,F8,K$2:K8,"Sparse"))</f>
        <v>SD3</v>
      </c>
      <c r="B8" s="28" t="str">
        <f>J8&amp;(COUNTIF(J$2:J8,J8))</f>
        <v>Buckinghamshire1</v>
      </c>
      <c r="C8" s="31" t="s">
        <v>11</v>
      </c>
      <c r="D8" s="31" t="s">
        <v>11</v>
      </c>
      <c r="E8" s="32" t="s">
        <v>0</v>
      </c>
      <c r="F8" s="32" t="s">
        <v>383</v>
      </c>
      <c r="G8" s="32" t="s">
        <v>5</v>
      </c>
      <c r="H8" s="33" t="s">
        <v>901</v>
      </c>
      <c r="I8" s="34" t="s">
        <v>384</v>
      </c>
      <c r="J8" t="s">
        <v>301</v>
      </c>
      <c r="K8" s="44" t="s">
        <v>336</v>
      </c>
    </row>
    <row r="9" spans="1:13" ht="15">
      <c r="A9" s="28" t="str">
        <f>F9&amp;(COUNTIFS(F$2:F9,F9,K$2:K9,"Sparse"))</f>
        <v>SD4</v>
      </c>
      <c r="B9" s="28" t="str">
        <f>J9&amp;(COUNTIF(J$2:J9,J9))</f>
        <v>Suffolk1</v>
      </c>
      <c r="C9" s="31" t="s">
        <v>12</v>
      </c>
      <c r="D9" s="31" t="s">
        <v>12</v>
      </c>
      <c r="E9" s="32" t="s">
        <v>371</v>
      </c>
      <c r="F9" s="32" t="s">
        <v>383</v>
      </c>
      <c r="G9" s="32" t="s">
        <v>5</v>
      </c>
      <c r="H9" s="33" t="s">
        <v>898</v>
      </c>
      <c r="I9" s="34" t="s">
        <v>384</v>
      </c>
      <c r="J9" t="s">
        <v>329</v>
      </c>
      <c r="K9" s="44" t="s">
        <v>336</v>
      </c>
    </row>
    <row r="10" spans="1:13" ht="15">
      <c r="A10" s="28" t="str">
        <f>F10&amp;(COUNTIFS(F$2:F10,F10,K$2:K10,"Sparse"))</f>
        <v>L0</v>
      </c>
      <c r="B10" s="28" t="str">
        <f>J10&amp;(COUNTIF(J$2:J10,J10))</f>
        <v>London1</v>
      </c>
      <c r="C10" s="31" t="s">
        <v>339</v>
      </c>
      <c r="D10" s="31" t="s">
        <v>339</v>
      </c>
      <c r="E10" s="32" t="s">
        <v>385</v>
      </c>
      <c r="F10" s="32" t="s">
        <v>360</v>
      </c>
      <c r="G10" s="32" t="s">
        <v>385</v>
      </c>
      <c r="H10" s="33" t="s">
        <v>902</v>
      </c>
      <c r="I10" s="34" t="s">
        <v>386</v>
      </c>
      <c r="J10" t="str">
        <f>G10</f>
        <v>London</v>
      </c>
      <c r="K10" s="44"/>
    </row>
    <row r="11" spans="1:13" ht="15">
      <c r="A11" s="28" t="str">
        <f>F11&amp;(COUNTIFS(F$2:F11,F11,K$2:K11,"Sparse"))</f>
        <v>L0</v>
      </c>
      <c r="B11" s="28" t="str">
        <f>J11&amp;(COUNTIF(J$2:J11,J11))</f>
        <v>London2</v>
      </c>
      <c r="C11" s="31" t="s">
        <v>197</v>
      </c>
      <c r="D11" s="31" t="s">
        <v>197</v>
      </c>
      <c r="E11" s="32" t="s">
        <v>385</v>
      </c>
      <c r="F11" s="32" t="s">
        <v>360</v>
      </c>
      <c r="G11" s="32" t="s">
        <v>385</v>
      </c>
      <c r="H11" s="33" t="s">
        <v>902</v>
      </c>
      <c r="I11" s="34" t="s">
        <v>386</v>
      </c>
      <c r="J11" t="str">
        <f>G11</f>
        <v>London</v>
      </c>
      <c r="K11" s="44"/>
    </row>
    <row r="12" spans="1:13" ht="15">
      <c r="A12" s="28" t="str">
        <f>F12&amp;(COUNTIFS(F$2:F12,F12,K$2:K12,"Sparse"))</f>
        <v>MD0</v>
      </c>
      <c r="B12" s="28" t="str">
        <f>J12&amp;(COUNTIF(J$2:J12,J12))</f>
        <v>Barnsley1</v>
      </c>
      <c r="C12" s="31" t="s">
        <v>223</v>
      </c>
      <c r="D12" s="31" t="s">
        <v>223</v>
      </c>
      <c r="E12" s="32" t="s">
        <v>387</v>
      </c>
      <c r="F12" s="32" t="s">
        <v>388</v>
      </c>
      <c r="G12" s="32" t="s">
        <v>399</v>
      </c>
      <c r="H12" s="33" t="s">
        <v>899</v>
      </c>
      <c r="I12" s="34" t="s">
        <v>386</v>
      </c>
      <c r="J12" t="str">
        <f>C12</f>
        <v>Barnsley</v>
      </c>
      <c r="K12" s="44"/>
    </row>
    <row r="13" spans="1:13" ht="15">
      <c r="A13" s="28" t="str">
        <f>F13&amp;(COUNTIFS(F$2:F13,F13,K$2:K13,"Sparse"))</f>
        <v>SD4</v>
      </c>
      <c r="B13" s="28" t="str">
        <f>J13&amp;(COUNTIF(J$2:J13,J13))</f>
        <v>Cumbria2</v>
      </c>
      <c r="C13" s="31" t="s">
        <v>13</v>
      </c>
      <c r="D13" s="31" t="s">
        <v>13</v>
      </c>
      <c r="E13" s="32" t="s">
        <v>378</v>
      </c>
      <c r="F13" s="32" t="s">
        <v>383</v>
      </c>
      <c r="G13" s="32" t="s">
        <v>5</v>
      </c>
      <c r="H13" s="33" t="s">
        <v>900</v>
      </c>
      <c r="I13" s="34" t="s">
        <v>373</v>
      </c>
      <c r="J13" t="s">
        <v>307</v>
      </c>
      <c r="K13" s="44"/>
    </row>
    <row r="14" spans="1:13" ht="15">
      <c r="A14" s="28" t="str">
        <f>F14&amp;(COUNTIFS(F$2:F14,F14,K$2:K14,"Sparse"))</f>
        <v>SD4</v>
      </c>
      <c r="B14" s="28" t="str">
        <f>J14&amp;(COUNTIF(J$2:J14,J14))</f>
        <v>Essex1</v>
      </c>
      <c r="C14" s="31" t="s">
        <v>14</v>
      </c>
      <c r="D14" s="31" t="s">
        <v>14</v>
      </c>
      <c r="E14" s="32" t="s">
        <v>371</v>
      </c>
      <c r="F14" s="32" t="s">
        <v>383</v>
      </c>
      <c r="G14" s="32" t="s">
        <v>5</v>
      </c>
      <c r="H14" s="33" t="s">
        <v>897</v>
      </c>
      <c r="I14" s="34" t="s">
        <v>386</v>
      </c>
      <c r="J14" t="s">
        <v>312</v>
      </c>
      <c r="K14" s="44"/>
    </row>
    <row r="15" spans="1:13" ht="15">
      <c r="A15" s="28" t="str">
        <f>F15&amp;(COUNTIFS(F$2:F15,F15,K$2:K15,"Sparse"))</f>
        <v>SD4</v>
      </c>
      <c r="B15" s="28" t="str">
        <f>J15&amp;(COUNTIF(J$2:J15,J15))</f>
        <v>Hampshire1</v>
      </c>
      <c r="C15" s="31" t="s">
        <v>344</v>
      </c>
      <c r="D15" s="31" t="s">
        <v>344</v>
      </c>
      <c r="E15" s="32" t="s">
        <v>0</v>
      </c>
      <c r="F15" s="32" t="s">
        <v>383</v>
      </c>
      <c r="G15" s="32" t="s">
        <v>5</v>
      </c>
      <c r="H15" s="35" t="s">
        <v>900</v>
      </c>
      <c r="I15" s="34" t="s">
        <v>373</v>
      </c>
      <c r="J15" t="s">
        <v>314</v>
      </c>
      <c r="K15" s="44"/>
    </row>
    <row r="16" spans="1:13" ht="15">
      <c r="A16" s="28" t="str">
        <f>F16&amp;(COUNTIFS(F$2:F16,F16,K$2:K16,"Sparse"))</f>
        <v>SD5</v>
      </c>
      <c r="B16" s="28" t="str">
        <f>J16&amp;(COUNTIF(J$2:J16,J16))</f>
        <v>Nottinghamshire2</v>
      </c>
      <c r="C16" s="31" t="s">
        <v>15</v>
      </c>
      <c r="D16" s="31" t="s">
        <v>15</v>
      </c>
      <c r="E16" s="32" t="s">
        <v>369</v>
      </c>
      <c r="F16" s="32" t="s">
        <v>383</v>
      </c>
      <c r="G16" s="32" t="s">
        <v>5</v>
      </c>
      <c r="H16" s="33" t="s">
        <v>901</v>
      </c>
      <c r="I16" s="34" t="s">
        <v>384</v>
      </c>
      <c r="J16" t="s">
        <v>324</v>
      </c>
      <c r="K16" s="44" t="s">
        <v>336</v>
      </c>
    </row>
    <row r="17" spans="1:11" ht="15">
      <c r="A17" s="28" t="str">
        <f>F17&amp;(COUNTIFS(F$2:F17,F17,K$2:K17,"Sparse"))</f>
        <v>UA1</v>
      </c>
      <c r="B17" s="28" t="str">
        <f>J17&amp;(COUNTIF(J$2:J17,J17))</f>
        <v>Unitary1</v>
      </c>
      <c r="C17" s="31" t="s">
        <v>259</v>
      </c>
      <c r="D17" s="31" t="s">
        <v>259</v>
      </c>
      <c r="E17" s="32" t="s">
        <v>1</v>
      </c>
      <c r="F17" s="32" t="s">
        <v>389</v>
      </c>
      <c r="G17" s="32" t="s">
        <v>398</v>
      </c>
      <c r="H17" s="35" t="s">
        <v>900</v>
      </c>
      <c r="I17" s="34" t="s">
        <v>373</v>
      </c>
      <c r="J17" s="45" t="s">
        <v>398</v>
      </c>
      <c r="K17" s="44" t="s">
        <v>336</v>
      </c>
    </row>
    <row r="18" spans="1:11" ht="15">
      <c r="A18" s="28" t="str">
        <f>F18&amp;(COUNTIFS(F$2:F18,F18,K$2:K18,"Sparse"))</f>
        <v>UA1</v>
      </c>
      <c r="B18" s="28" t="str">
        <f>J18&amp;(COUNTIF(J$2:J18,J18))</f>
        <v>Unitary2</v>
      </c>
      <c r="C18" s="31" t="s">
        <v>260</v>
      </c>
      <c r="D18" s="31" t="s">
        <v>260</v>
      </c>
      <c r="E18" s="32" t="s">
        <v>371</v>
      </c>
      <c r="F18" s="32" t="s">
        <v>389</v>
      </c>
      <c r="G18" s="32" t="s">
        <v>398</v>
      </c>
      <c r="H18" s="35" t="s">
        <v>900</v>
      </c>
      <c r="I18" s="34" t="s">
        <v>373</v>
      </c>
      <c r="J18" s="45" t="s">
        <v>398</v>
      </c>
      <c r="K18" s="44"/>
    </row>
    <row r="19" spans="1:11" ht="15">
      <c r="A19" s="28" t="str">
        <f>F19&amp;(COUNTIFS(F$2:F19,F19,K$2:K19,"Sparse"))</f>
        <v>L0</v>
      </c>
      <c r="B19" s="28" t="str">
        <f>J19&amp;(COUNTIF(J$2:J19,J19))</f>
        <v>London3</v>
      </c>
      <c r="C19" s="31" t="s">
        <v>198</v>
      </c>
      <c r="D19" s="31" t="s">
        <v>198</v>
      </c>
      <c r="E19" s="32" t="s">
        <v>385</v>
      </c>
      <c r="F19" s="32" t="s">
        <v>360</v>
      </c>
      <c r="G19" s="32" t="s">
        <v>385</v>
      </c>
      <c r="H19" s="33" t="s">
        <v>902</v>
      </c>
      <c r="I19" s="34" t="s">
        <v>386</v>
      </c>
      <c r="J19" t="str">
        <f>G19</f>
        <v>London</v>
      </c>
      <c r="K19" s="44"/>
    </row>
    <row r="20" spans="1:11" ht="15">
      <c r="A20" s="28" t="str">
        <f>F20&amp;(COUNTIFS(F$2:F20,F20,K$2:K20,"Sparse"))</f>
        <v>MD0</v>
      </c>
      <c r="B20" s="28" t="str">
        <f>J20&amp;(COUNTIF(J$2:J20,J20))</f>
        <v>Birmingham1</v>
      </c>
      <c r="C20" s="31" t="s">
        <v>224</v>
      </c>
      <c r="D20" s="31" t="s">
        <v>224</v>
      </c>
      <c r="E20" s="32" t="s">
        <v>370</v>
      </c>
      <c r="F20" s="32" t="s">
        <v>388</v>
      </c>
      <c r="G20" s="32" t="s">
        <v>399</v>
      </c>
      <c r="H20" s="33" t="s">
        <v>902</v>
      </c>
      <c r="I20" s="34" t="s">
        <v>386</v>
      </c>
      <c r="J20" t="str">
        <f>C20</f>
        <v>Birmingham</v>
      </c>
      <c r="K20" s="44"/>
    </row>
    <row r="21" spans="1:11" ht="15">
      <c r="A21" s="28" t="str">
        <f>F21&amp;(COUNTIFS(F$2:F21,F21,K$2:K21,"Sparse"))</f>
        <v>SD5</v>
      </c>
      <c r="B21" s="28" t="str">
        <f>J21&amp;(COUNTIF(J$2:J21,J21))</f>
        <v>Leicestershire1</v>
      </c>
      <c r="C21" s="31" t="s">
        <v>16</v>
      </c>
      <c r="D21" s="31" t="s">
        <v>16</v>
      </c>
      <c r="E21" s="32" t="s">
        <v>369</v>
      </c>
      <c r="F21" s="32" t="s">
        <v>383</v>
      </c>
      <c r="G21" s="32" t="s">
        <v>5</v>
      </c>
      <c r="H21" s="33" t="s">
        <v>897</v>
      </c>
      <c r="I21" s="34" t="s">
        <v>386</v>
      </c>
      <c r="J21" t="s">
        <v>318</v>
      </c>
      <c r="K21" s="44"/>
    </row>
    <row r="22" spans="1:11" ht="15">
      <c r="A22" s="28" t="str">
        <f>F22&amp;(COUNTIFS(F$2:F22,F22,K$2:K22,"Sparse"))</f>
        <v>UA1</v>
      </c>
      <c r="B22" s="28" t="str">
        <f>J22&amp;(COUNTIF(J$2:J22,J22))</f>
        <v>Unitary3</v>
      </c>
      <c r="C22" s="31" t="s">
        <v>261</v>
      </c>
      <c r="D22" s="31" t="s">
        <v>261</v>
      </c>
      <c r="E22" s="32" t="s">
        <v>378</v>
      </c>
      <c r="F22" s="32" t="s">
        <v>389</v>
      </c>
      <c r="G22" s="32" t="s">
        <v>398</v>
      </c>
      <c r="H22" s="33" t="s">
        <v>897</v>
      </c>
      <c r="I22" s="34" t="s">
        <v>386</v>
      </c>
      <c r="J22" s="45" t="s">
        <v>398</v>
      </c>
      <c r="K22" s="44"/>
    </row>
    <row r="23" spans="1:11" ht="15">
      <c r="A23" s="28" t="str">
        <f>F23&amp;(COUNTIFS(F$2:F23,F23,K$2:K23,"Sparse"))</f>
        <v>UA1</v>
      </c>
      <c r="B23" s="28" t="str">
        <f>J23&amp;(COUNTIF(J$2:J23,J23))</f>
        <v>Unitary4</v>
      </c>
      <c r="C23" s="31" t="s">
        <v>262</v>
      </c>
      <c r="D23" s="31" t="s">
        <v>262</v>
      </c>
      <c r="E23" s="32" t="s">
        <v>378</v>
      </c>
      <c r="F23" s="32" t="s">
        <v>389</v>
      </c>
      <c r="G23" s="32" t="s">
        <v>398</v>
      </c>
      <c r="H23" s="33" t="s">
        <v>897</v>
      </c>
      <c r="I23" s="34" t="s">
        <v>386</v>
      </c>
      <c r="J23" s="45" t="s">
        <v>398</v>
      </c>
      <c r="K23" s="44"/>
    </row>
    <row r="24" spans="1:11" ht="15">
      <c r="A24" s="28" t="str">
        <f>F24&amp;(COUNTIFS(F$2:F24,F24,K$2:K24,"Sparse"))</f>
        <v>SD5</v>
      </c>
      <c r="B24" s="28" t="str">
        <f>J24&amp;(COUNTIF(J$2:J24,J24))</f>
        <v>Derbyshire2</v>
      </c>
      <c r="C24" s="31" t="s">
        <v>17</v>
      </c>
      <c r="D24" s="31" t="s">
        <v>17</v>
      </c>
      <c r="E24" s="32" t="s">
        <v>369</v>
      </c>
      <c r="F24" s="32" t="s">
        <v>383</v>
      </c>
      <c r="G24" s="32" t="s">
        <v>5</v>
      </c>
      <c r="H24" s="35" t="s">
        <v>900</v>
      </c>
      <c r="I24" s="34" t="s">
        <v>373</v>
      </c>
      <c r="J24" t="s">
        <v>308</v>
      </c>
      <c r="K24" s="44"/>
    </row>
    <row r="25" spans="1:11" ht="15">
      <c r="A25" s="28" t="str">
        <f>F25&amp;(COUNTIFS(F$2:F25,F25,K$2:K25,"Sparse"))</f>
        <v>MD0</v>
      </c>
      <c r="B25" s="28" t="str">
        <f>J25&amp;(COUNTIF(J$2:J25,J25))</f>
        <v>Bolton1</v>
      </c>
      <c r="C25" s="31" t="s">
        <v>225</v>
      </c>
      <c r="D25" s="31" t="s">
        <v>225</v>
      </c>
      <c r="E25" s="32" t="s">
        <v>378</v>
      </c>
      <c r="F25" s="32" t="s">
        <v>388</v>
      </c>
      <c r="G25" s="32" t="s">
        <v>399</v>
      </c>
      <c r="H25" s="33" t="s">
        <v>902</v>
      </c>
      <c r="I25" s="34" t="s">
        <v>386</v>
      </c>
      <c r="J25" t="str">
        <f>C25</f>
        <v>Bolton</v>
      </c>
      <c r="K25" s="44"/>
    </row>
    <row r="26" spans="1:11" ht="15">
      <c r="A26" s="28" t="str">
        <f>F26&amp;(COUNTIFS(F$2:F26,F26,K$2:K26,"Sparse"))</f>
        <v>SD6</v>
      </c>
      <c r="B26" s="28" t="str">
        <f>J26&amp;(COUNTIF(J$2:J26,J26))</f>
        <v>Lincolnshire1</v>
      </c>
      <c r="C26" s="31" t="s">
        <v>18</v>
      </c>
      <c r="D26" s="31" t="s">
        <v>18</v>
      </c>
      <c r="E26" s="32" t="s">
        <v>369</v>
      </c>
      <c r="F26" s="32" t="s">
        <v>383</v>
      </c>
      <c r="G26" s="32" t="s">
        <v>5</v>
      </c>
      <c r="H26" s="35" t="s">
        <v>900</v>
      </c>
      <c r="I26" s="34" t="s">
        <v>373</v>
      </c>
      <c r="J26" t="s">
        <v>319</v>
      </c>
      <c r="K26" s="44" t="s">
        <v>336</v>
      </c>
    </row>
    <row r="27" spans="1:11" ht="15">
      <c r="A27" s="28" t="str">
        <f>F27&amp;(COUNTIFS(F$2:F27,F27,K$2:K27,"Sparse"))</f>
        <v>UA1</v>
      </c>
      <c r="B27" s="28" t="str">
        <f>J27&amp;(COUNTIF(J$2:J27,J27))</f>
        <v>Unitary5</v>
      </c>
      <c r="C27" s="31" t="s">
        <v>263</v>
      </c>
      <c r="D27" s="31" t="s">
        <v>263</v>
      </c>
      <c r="E27" s="32" t="s">
        <v>1</v>
      </c>
      <c r="F27" s="32" t="s">
        <v>389</v>
      </c>
      <c r="G27" s="32" t="s">
        <v>398</v>
      </c>
      <c r="H27" s="33" t="s">
        <v>897</v>
      </c>
      <c r="I27" s="34" t="s">
        <v>386</v>
      </c>
      <c r="J27" s="45" t="s">
        <v>398</v>
      </c>
      <c r="K27" s="44"/>
    </row>
    <row r="28" spans="1:11" ht="15">
      <c r="A28" s="28" t="str">
        <f>F28&amp;(COUNTIFS(F$2:F28,F28,K$2:K28,"Sparse"))</f>
        <v>UA1</v>
      </c>
      <c r="B28" s="28" t="str">
        <f>J28&amp;(COUNTIF(J$2:J28,J28))</f>
        <v>Unitary6</v>
      </c>
      <c r="C28" s="31" t="s">
        <v>264</v>
      </c>
      <c r="D28" s="31" t="s">
        <v>264</v>
      </c>
      <c r="E28" s="32" t="s">
        <v>0</v>
      </c>
      <c r="F28" s="32" t="s">
        <v>389</v>
      </c>
      <c r="G28" s="32" t="s">
        <v>398</v>
      </c>
      <c r="H28" s="33" t="s">
        <v>897</v>
      </c>
      <c r="I28" s="34" t="s">
        <v>386</v>
      </c>
      <c r="J28" s="45" t="s">
        <v>398</v>
      </c>
      <c r="K28" s="44"/>
    </row>
    <row r="29" spans="1:11" ht="15">
      <c r="A29" s="28" t="str">
        <f>F29&amp;(COUNTIFS(F$2:F29,F29,K$2:K29,"Sparse"))</f>
        <v>MD0</v>
      </c>
      <c r="B29" s="28" t="str">
        <f>J29&amp;(COUNTIF(J$2:J29,J29))</f>
        <v>Bradford1</v>
      </c>
      <c r="C29" s="31" t="s">
        <v>226</v>
      </c>
      <c r="D29" s="31" t="s">
        <v>226</v>
      </c>
      <c r="E29" s="32" t="s">
        <v>387</v>
      </c>
      <c r="F29" s="32" t="s">
        <v>388</v>
      </c>
      <c r="G29" s="32" t="s">
        <v>399</v>
      </c>
      <c r="H29" s="33" t="s">
        <v>902</v>
      </c>
      <c r="I29" s="34" t="s">
        <v>386</v>
      </c>
      <c r="J29" t="str">
        <f>C29</f>
        <v>Bradford</v>
      </c>
      <c r="K29" s="44"/>
    </row>
    <row r="30" spans="1:11" ht="15">
      <c r="A30" s="28" t="str">
        <f>F30&amp;(COUNTIFS(F$2:F30,F30,K$2:K30,"Sparse"))</f>
        <v>SD7</v>
      </c>
      <c r="B30" s="28" t="str">
        <f>J30&amp;(COUNTIF(J$2:J30,J30))</f>
        <v>Essex2</v>
      </c>
      <c r="C30" s="31" t="s">
        <v>19</v>
      </c>
      <c r="D30" s="31" t="s">
        <v>19</v>
      </c>
      <c r="E30" s="32" t="s">
        <v>371</v>
      </c>
      <c r="F30" s="32" t="s">
        <v>383</v>
      </c>
      <c r="G30" s="32" t="s">
        <v>5</v>
      </c>
      <c r="H30" s="33" t="s">
        <v>901</v>
      </c>
      <c r="I30" s="34" t="s">
        <v>384</v>
      </c>
      <c r="J30" t="s">
        <v>312</v>
      </c>
      <c r="K30" s="44" t="s">
        <v>336</v>
      </c>
    </row>
    <row r="31" spans="1:11" ht="15">
      <c r="A31" s="28" t="str">
        <f>F31&amp;(COUNTIFS(F$2:F31,F31,K$2:K31,"Sparse"))</f>
        <v>SD8</v>
      </c>
      <c r="B31" s="28" t="str">
        <f>J31&amp;(COUNTIF(J$2:J31,J31))</f>
        <v>Norfolk1</v>
      </c>
      <c r="C31" s="31" t="s">
        <v>20</v>
      </c>
      <c r="D31" s="31" t="s">
        <v>20</v>
      </c>
      <c r="E31" s="32" t="s">
        <v>371</v>
      </c>
      <c r="F31" s="32" t="s">
        <v>383</v>
      </c>
      <c r="G31" s="32" t="s">
        <v>5</v>
      </c>
      <c r="H31" s="33" t="s">
        <v>898</v>
      </c>
      <c r="I31" s="34" t="s">
        <v>384</v>
      </c>
      <c r="J31" t="s">
        <v>320</v>
      </c>
      <c r="K31" s="44" t="s">
        <v>336</v>
      </c>
    </row>
    <row r="32" spans="1:11" ht="15">
      <c r="A32" s="28" t="str">
        <f>F32&amp;(COUNTIFS(F$2:F32,F32,K$2:K32,"Sparse"))</f>
        <v>L0</v>
      </c>
      <c r="B32" s="28" t="str">
        <f>J32&amp;(COUNTIF(J$2:J32,J32))</f>
        <v>London4</v>
      </c>
      <c r="C32" s="31" t="s">
        <v>199</v>
      </c>
      <c r="D32" s="31" t="s">
        <v>199</v>
      </c>
      <c r="E32" s="32" t="s">
        <v>385</v>
      </c>
      <c r="F32" s="32" t="s">
        <v>360</v>
      </c>
      <c r="G32" s="32" t="s">
        <v>385</v>
      </c>
      <c r="H32" s="33" t="s">
        <v>902</v>
      </c>
      <c r="I32" s="34" t="s">
        <v>386</v>
      </c>
      <c r="J32" t="str">
        <f>G32</f>
        <v>London</v>
      </c>
      <c r="K32" s="44"/>
    </row>
    <row r="33" spans="1:11" ht="15">
      <c r="A33" s="28" t="str">
        <f>F33&amp;(COUNTIFS(F$2:F33,F33,K$2:K33,"Sparse"))</f>
        <v>SD8</v>
      </c>
      <c r="B33" s="28" t="str">
        <f>J33&amp;(COUNTIF(J$2:J33,J33))</f>
        <v>Essex3</v>
      </c>
      <c r="C33" s="31" t="s">
        <v>21</v>
      </c>
      <c r="D33" s="31" t="s">
        <v>21</v>
      </c>
      <c r="E33" s="32" t="s">
        <v>371</v>
      </c>
      <c r="F33" s="32" t="s">
        <v>383</v>
      </c>
      <c r="G33" s="32" t="s">
        <v>5</v>
      </c>
      <c r="H33" s="35" t="s">
        <v>900</v>
      </c>
      <c r="I33" s="34" t="s">
        <v>373</v>
      </c>
      <c r="J33" t="s">
        <v>312</v>
      </c>
      <c r="K33" s="44"/>
    </row>
    <row r="34" spans="1:11" ht="15">
      <c r="A34" s="28" t="str">
        <f>F34&amp;(COUNTIFS(F$2:F34,F34,K$2:K34,"Sparse"))</f>
        <v>UA1</v>
      </c>
      <c r="B34" s="28" t="str">
        <f>J34&amp;(COUNTIF(J$2:J34,J34))</f>
        <v>Unitary7</v>
      </c>
      <c r="C34" s="31" t="s">
        <v>816</v>
      </c>
      <c r="D34" s="31" t="s">
        <v>816</v>
      </c>
      <c r="E34" s="32" t="s">
        <v>0</v>
      </c>
      <c r="F34" s="32" t="s">
        <v>389</v>
      </c>
      <c r="G34" s="32" t="s">
        <v>398</v>
      </c>
      <c r="H34" s="33" t="s">
        <v>897</v>
      </c>
      <c r="I34" s="34" t="s">
        <v>386</v>
      </c>
      <c r="J34" s="45" t="s">
        <v>398</v>
      </c>
      <c r="K34" s="44"/>
    </row>
    <row r="35" spans="1:11" ht="15">
      <c r="A35" s="28" t="str">
        <f>F35&amp;(COUNTIFS(F$2:F35,F35,K$2:K35,"Sparse"))</f>
        <v>UA1</v>
      </c>
      <c r="B35" s="28" t="str">
        <f>J35&amp;(COUNTIF(J$2:J35,J35))</f>
        <v>Unitary8</v>
      </c>
      <c r="C35" s="31" t="s">
        <v>820</v>
      </c>
      <c r="D35" s="31" t="s">
        <v>390</v>
      </c>
      <c r="E35" s="32" t="s">
        <v>1</v>
      </c>
      <c r="F35" s="32" t="s">
        <v>389</v>
      </c>
      <c r="G35" s="32" t="s">
        <v>398</v>
      </c>
      <c r="H35" s="33" t="s">
        <v>897</v>
      </c>
      <c r="I35" s="34" t="s">
        <v>386</v>
      </c>
      <c r="J35" s="45" t="s">
        <v>398</v>
      </c>
      <c r="K35" s="44"/>
    </row>
    <row r="36" spans="1:11" ht="15">
      <c r="A36" s="28" t="str">
        <f>F36&amp;(COUNTIFS(F$2:F36,F36,K$2:K36,"Sparse"))</f>
        <v>SD9</v>
      </c>
      <c r="B36" s="28" t="str">
        <f>J36&amp;(COUNTIF(J$2:J36,J36))</f>
        <v>Norfolk2</v>
      </c>
      <c r="C36" s="31" t="s">
        <v>22</v>
      </c>
      <c r="D36" s="31" t="s">
        <v>22</v>
      </c>
      <c r="E36" s="32" t="s">
        <v>371</v>
      </c>
      <c r="F36" s="32" t="s">
        <v>383</v>
      </c>
      <c r="G36" s="32" t="s">
        <v>5</v>
      </c>
      <c r="H36" s="35" t="s">
        <v>900</v>
      </c>
      <c r="I36" s="34" t="s">
        <v>373</v>
      </c>
      <c r="J36" t="s">
        <v>320</v>
      </c>
      <c r="K36" s="44" t="s">
        <v>336</v>
      </c>
    </row>
    <row r="37" spans="1:11" ht="15">
      <c r="A37" s="28" t="str">
        <f>F37&amp;(COUNTIFS(F$2:F37,F37,K$2:K37,"Sparse"))</f>
        <v>L0</v>
      </c>
      <c r="B37" s="28" t="str">
        <f>J37&amp;(COUNTIF(J$2:J37,J37))</f>
        <v>London5</v>
      </c>
      <c r="C37" s="31" t="s">
        <v>200</v>
      </c>
      <c r="D37" s="31" t="s">
        <v>200</v>
      </c>
      <c r="E37" s="32" t="s">
        <v>385</v>
      </c>
      <c r="F37" s="32" t="s">
        <v>360</v>
      </c>
      <c r="G37" s="32" t="s">
        <v>385</v>
      </c>
      <c r="H37" s="33" t="s">
        <v>902</v>
      </c>
      <c r="I37" s="34" t="s">
        <v>386</v>
      </c>
      <c r="J37" t="str">
        <f>G37</f>
        <v>London</v>
      </c>
      <c r="K37" s="44"/>
    </row>
    <row r="38" spans="1:11" ht="15">
      <c r="A38" s="28" t="str">
        <f>F38&amp;(COUNTIFS(F$2:F38,F38,K$2:K38,"Sparse"))</f>
        <v>SD9</v>
      </c>
      <c r="B38" s="28" t="str">
        <f>J38&amp;(COUNTIF(J$2:J38,J38))</f>
        <v>Worcestershire1</v>
      </c>
      <c r="C38" s="31" t="s">
        <v>23</v>
      </c>
      <c r="D38" s="31" t="s">
        <v>23</v>
      </c>
      <c r="E38" s="32" t="s">
        <v>370</v>
      </c>
      <c r="F38" s="32" t="s">
        <v>383</v>
      </c>
      <c r="G38" s="32" t="s">
        <v>5</v>
      </c>
      <c r="H38" s="35" t="s">
        <v>897</v>
      </c>
      <c r="I38" s="34" t="s">
        <v>386</v>
      </c>
      <c r="J38" t="s">
        <v>333</v>
      </c>
      <c r="K38" s="44"/>
    </row>
    <row r="39" spans="1:11" ht="15">
      <c r="A39" s="28" t="str">
        <f>F39&amp;(COUNTIFS(F$2:F39,F39,K$2:K39,"Sparse"))</f>
        <v>SD9</v>
      </c>
      <c r="B39" s="28" t="str">
        <f>J39&amp;(COUNTIF(J$2:J39,J39))</f>
        <v>Hertfordshire1</v>
      </c>
      <c r="C39" s="31" t="s">
        <v>24</v>
      </c>
      <c r="D39" s="31" t="s">
        <v>24</v>
      </c>
      <c r="E39" s="32" t="s">
        <v>371</v>
      </c>
      <c r="F39" s="32" t="s">
        <v>383</v>
      </c>
      <c r="G39" s="32" t="s">
        <v>5</v>
      </c>
      <c r="H39" s="33" t="s">
        <v>902</v>
      </c>
      <c r="I39" s="34" t="s">
        <v>386</v>
      </c>
      <c r="J39" t="s">
        <v>315</v>
      </c>
      <c r="K39" s="44"/>
    </row>
    <row r="40" spans="1:11" ht="15">
      <c r="A40" s="28" t="str">
        <f>F40&amp;(COUNTIFS(F$2:F40,F40,K$2:K40,"Sparse"))</f>
        <v>SD9</v>
      </c>
      <c r="B40" s="28" t="str">
        <f>J40&amp;(COUNTIF(J$2:J40,J40))</f>
        <v>Nottinghamshire3</v>
      </c>
      <c r="C40" s="31" t="s">
        <v>25</v>
      </c>
      <c r="D40" s="31" t="s">
        <v>25</v>
      </c>
      <c r="E40" s="32" t="s">
        <v>369</v>
      </c>
      <c r="F40" s="32" t="s">
        <v>383</v>
      </c>
      <c r="G40" s="32" t="s">
        <v>5</v>
      </c>
      <c r="H40" s="33" t="s">
        <v>899</v>
      </c>
      <c r="I40" s="34" t="s">
        <v>386</v>
      </c>
      <c r="J40" t="s">
        <v>324</v>
      </c>
      <c r="K40" s="44"/>
    </row>
    <row r="41" spans="1:11" ht="15">
      <c r="A41" s="28" t="str">
        <f>F41&amp;(COUNTIFS(F$2:F41,F41,K$2:K41,"Sparse"))</f>
        <v>SC0</v>
      </c>
      <c r="B41" s="28" t="str">
        <f>J41&amp;(COUNTIF(J$2:J41,J41))</f>
        <v>Buckinghamshire2</v>
      </c>
      <c r="C41" s="31" t="s">
        <v>301</v>
      </c>
      <c r="D41" s="31" t="s">
        <v>301</v>
      </c>
      <c r="E41" s="32" t="s">
        <v>0</v>
      </c>
      <c r="F41" s="32" t="s">
        <v>391</v>
      </c>
      <c r="G41" s="32" t="s">
        <v>302</v>
      </c>
      <c r="H41" s="34" t="s">
        <v>373</v>
      </c>
      <c r="I41" s="34" t="s">
        <v>373</v>
      </c>
      <c r="J41" t="str">
        <f>C41</f>
        <v>Buckinghamshire</v>
      </c>
      <c r="K41" s="44"/>
    </row>
    <row r="42" spans="1:11" ht="15">
      <c r="A42" s="28" t="str">
        <f>F42&amp;(COUNTIFS(F$2:F42,F42,K$2:K42,"Sparse"))</f>
        <v>SD9</v>
      </c>
      <c r="B42" s="28" t="str">
        <f>J42&amp;(COUNTIF(J$2:J42,J42))</f>
        <v>Lancashire1</v>
      </c>
      <c r="C42" s="31" t="s">
        <v>26</v>
      </c>
      <c r="D42" s="31" t="s">
        <v>26</v>
      </c>
      <c r="E42" s="32" t="s">
        <v>378</v>
      </c>
      <c r="F42" s="32" t="s">
        <v>383</v>
      </c>
      <c r="G42" s="32" t="s">
        <v>5</v>
      </c>
      <c r="H42" s="33" t="s">
        <v>897</v>
      </c>
      <c r="I42" s="34" t="s">
        <v>386</v>
      </c>
      <c r="J42" t="s">
        <v>317</v>
      </c>
      <c r="K42" s="44"/>
    </row>
    <row r="43" spans="1:11" ht="15">
      <c r="A43" s="28" t="str">
        <f>F43&amp;(COUNTIFS(F$2:F43,F43,K$2:K43,"Sparse"))</f>
        <v>MD0</v>
      </c>
      <c r="B43" s="28" t="str">
        <f>J43&amp;(COUNTIF(J$2:J43,J43))</f>
        <v>Bury1</v>
      </c>
      <c r="C43" s="31" t="s">
        <v>227</v>
      </c>
      <c r="D43" s="31" t="s">
        <v>227</v>
      </c>
      <c r="E43" s="32" t="s">
        <v>378</v>
      </c>
      <c r="F43" s="32" t="s">
        <v>388</v>
      </c>
      <c r="G43" s="32" t="s">
        <v>399</v>
      </c>
      <c r="H43" s="33" t="s">
        <v>902</v>
      </c>
      <c r="I43" s="34" t="s">
        <v>386</v>
      </c>
      <c r="J43" t="str">
        <f>C43</f>
        <v>Bury</v>
      </c>
      <c r="K43" s="44"/>
    </row>
    <row r="44" spans="1:11" ht="15">
      <c r="A44" s="28" t="str">
        <f>F44&amp;(COUNTIFS(F$2:F44,F44,K$2:K44,"Sparse"))</f>
        <v>MD0</v>
      </c>
      <c r="B44" s="28" t="str">
        <f>J44&amp;(COUNTIF(J$2:J44,J44))</f>
        <v>Calderdale1</v>
      </c>
      <c r="C44" s="31" t="s">
        <v>228</v>
      </c>
      <c r="D44" s="31" t="s">
        <v>228</v>
      </c>
      <c r="E44" s="32" t="s">
        <v>387</v>
      </c>
      <c r="F44" s="32" t="s">
        <v>388</v>
      </c>
      <c r="G44" s="32" t="s">
        <v>399</v>
      </c>
      <c r="H44" s="35" t="s">
        <v>902</v>
      </c>
      <c r="I44" s="34" t="s">
        <v>386</v>
      </c>
      <c r="J44" t="str">
        <f>C44</f>
        <v>Calderdale</v>
      </c>
      <c r="K44" s="44"/>
    </row>
    <row r="45" spans="1:11" ht="15">
      <c r="A45" s="28" t="str">
        <f>F45&amp;(COUNTIFS(F$2:F45,F45,K$2:K45,"Sparse"))</f>
        <v>SD9</v>
      </c>
      <c r="B45" s="28" t="str">
        <f>J45&amp;(COUNTIF(J$2:J45,J45))</f>
        <v>Cambridgeshire1</v>
      </c>
      <c r="C45" s="31" t="s">
        <v>27</v>
      </c>
      <c r="D45" s="31" t="s">
        <v>27</v>
      </c>
      <c r="E45" s="32" t="s">
        <v>371</v>
      </c>
      <c r="F45" s="32" t="s">
        <v>383</v>
      </c>
      <c r="G45" s="32" t="s">
        <v>5</v>
      </c>
      <c r="H45" s="33" t="s">
        <v>897</v>
      </c>
      <c r="I45" s="34" t="s">
        <v>386</v>
      </c>
      <c r="J45" t="s">
        <v>303</v>
      </c>
      <c r="K45" s="44"/>
    </row>
    <row r="46" spans="1:11" ht="15">
      <c r="A46" s="28" t="str">
        <f>F46&amp;(COUNTIFS(F$2:F46,F46,K$2:K46,"Sparse"))</f>
        <v>SC0</v>
      </c>
      <c r="B46" s="28" t="str">
        <f>J46&amp;(COUNTIF(J$2:J46,J46))</f>
        <v>Cambridgeshire2</v>
      </c>
      <c r="C46" s="31" t="s">
        <v>303</v>
      </c>
      <c r="D46" s="31" t="s">
        <v>303</v>
      </c>
      <c r="E46" s="32" t="s">
        <v>371</v>
      </c>
      <c r="F46" s="32" t="s">
        <v>391</v>
      </c>
      <c r="G46" s="32" t="s">
        <v>302</v>
      </c>
      <c r="H46" s="34" t="s">
        <v>384</v>
      </c>
      <c r="I46" s="34" t="s">
        <v>384</v>
      </c>
      <c r="J46" t="str">
        <f>C46</f>
        <v>Cambridgeshire</v>
      </c>
      <c r="K46" s="44"/>
    </row>
    <row r="47" spans="1:11" ht="15">
      <c r="A47" s="28" t="str">
        <f>F47&amp;(COUNTIFS(F$2:F47,F47,K$2:K47,"Sparse"))</f>
        <v>L0</v>
      </c>
      <c r="B47" s="28" t="str">
        <f>J47&amp;(COUNTIF(J$2:J47,J47))</f>
        <v>London6</v>
      </c>
      <c r="C47" s="31" t="s">
        <v>201</v>
      </c>
      <c r="D47" s="31" t="s">
        <v>201</v>
      </c>
      <c r="E47" s="32" t="s">
        <v>385</v>
      </c>
      <c r="F47" s="32" t="s">
        <v>360</v>
      </c>
      <c r="G47" s="32" t="s">
        <v>385</v>
      </c>
      <c r="H47" s="33" t="s">
        <v>902</v>
      </c>
      <c r="I47" s="34" t="s">
        <v>386</v>
      </c>
      <c r="J47" t="str">
        <f>G47</f>
        <v>London</v>
      </c>
      <c r="K47" s="44"/>
    </row>
    <row r="48" spans="1:11" ht="15">
      <c r="A48" s="28" t="str">
        <f>F48&amp;(COUNTIFS(F$2:F48,F48,K$2:K48,"Sparse"))</f>
        <v>SD9</v>
      </c>
      <c r="B48" s="28" t="str">
        <f>J48&amp;(COUNTIF(J$2:J48,J48))</f>
        <v>Staffordshire1</v>
      </c>
      <c r="C48" s="31" t="s">
        <v>28</v>
      </c>
      <c r="D48" s="31" t="s">
        <v>28</v>
      </c>
      <c r="E48" s="32" t="s">
        <v>370</v>
      </c>
      <c r="F48" s="32" t="s">
        <v>383</v>
      </c>
      <c r="G48" s="32" t="s">
        <v>5</v>
      </c>
      <c r="H48" s="35" t="s">
        <v>900</v>
      </c>
      <c r="I48" s="34" t="s">
        <v>373</v>
      </c>
      <c r="J48" t="s">
        <v>328</v>
      </c>
      <c r="K48" s="44"/>
    </row>
    <row r="49" spans="1:11" ht="15">
      <c r="A49" s="28" t="str">
        <f>F49&amp;(COUNTIFS(F$2:F49,F49,K$2:K49,"Sparse"))</f>
        <v>SD9</v>
      </c>
      <c r="B49" s="28" t="str">
        <f>J49&amp;(COUNTIF(J$2:J49,J49))</f>
        <v>Kent2</v>
      </c>
      <c r="C49" s="31" t="s">
        <v>29</v>
      </c>
      <c r="D49" s="31" t="s">
        <v>29</v>
      </c>
      <c r="E49" s="32" t="s">
        <v>0</v>
      </c>
      <c r="F49" s="32" t="s">
        <v>383</v>
      </c>
      <c r="G49" s="32" t="s">
        <v>5</v>
      </c>
      <c r="H49" s="33" t="s">
        <v>897</v>
      </c>
      <c r="I49" s="34" t="s">
        <v>386</v>
      </c>
      <c r="J49" t="s">
        <v>316</v>
      </c>
      <c r="K49" s="44"/>
    </row>
    <row r="50" spans="1:11" ht="15">
      <c r="A50" s="28" t="str">
        <f>F50&amp;(COUNTIFS(F$2:F50,F50,K$2:K50,"Sparse"))</f>
        <v>SD9</v>
      </c>
      <c r="B50" s="28" t="str">
        <f>J50&amp;(COUNTIF(J$2:J50,J50))</f>
        <v>Cumbria3</v>
      </c>
      <c r="C50" s="31" t="s">
        <v>30</v>
      </c>
      <c r="D50" s="31" t="s">
        <v>30</v>
      </c>
      <c r="E50" s="32" t="s">
        <v>378</v>
      </c>
      <c r="F50" s="32" t="s">
        <v>383</v>
      </c>
      <c r="G50" s="32" t="s">
        <v>5</v>
      </c>
      <c r="H50" s="35" t="s">
        <v>900</v>
      </c>
      <c r="I50" s="34" t="s">
        <v>373</v>
      </c>
      <c r="J50" t="s">
        <v>307</v>
      </c>
      <c r="K50" s="44"/>
    </row>
    <row r="51" spans="1:11" ht="15">
      <c r="A51" s="28" t="str">
        <f>F51&amp;(COUNTIFS(F$2:F51,F51,K$2:K51,"Sparse"))</f>
        <v>SD9</v>
      </c>
      <c r="B51" s="28" t="str">
        <f>J51&amp;(COUNTIF(J$2:J51,J51))</f>
        <v>Essex4</v>
      </c>
      <c r="C51" s="31" t="s">
        <v>31</v>
      </c>
      <c r="D51" s="31" t="s">
        <v>31</v>
      </c>
      <c r="E51" s="32" t="s">
        <v>371</v>
      </c>
      <c r="F51" s="32" t="s">
        <v>383</v>
      </c>
      <c r="G51" s="32" t="s">
        <v>5</v>
      </c>
      <c r="H51" s="33" t="s">
        <v>897</v>
      </c>
      <c r="I51" s="34" t="s">
        <v>386</v>
      </c>
      <c r="J51" t="s">
        <v>312</v>
      </c>
      <c r="K51" s="44"/>
    </row>
    <row r="52" spans="1:11" ht="15">
      <c r="A52" s="28" t="str">
        <f>F52&amp;(COUNTIFS(F$2:F52,F52,K$2:K52,"Sparse"))</f>
        <v>UA1</v>
      </c>
      <c r="B52" s="28" t="str">
        <f>J52&amp;(COUNTIF(J$2:J52,J52))</f>
        <v>Unitary9</v>
      </c>
      <c r="C52" s="31" t="s">
        <v>304</v>
      </c>
      <c r="D52" s="31" t="s">
        <v>304</v>
      </c>
      <c r="E52" s="32" t="s">
        <v>371</v>
      </c>
      <c r="F52" s="32" t="s">
        <v>389</v>
      </c>
      <c r="G52" s="32" t="s">
        <v>398</v>
      </c>
      <c r="H52" s="35" t="s">
        <v>901</v>
      </c>
      <c r="I52" s="34" t="s">
        <v>384</v>
      </c>
      <c r="J52" s="45" t="s">
        <v>398</v>
      </c>
      <c r="K52" s="44"/>
    </row>
    <row r="53" spans="1:11" ht="15">
      <c r="A53" s="28" t="str">
        <f>F53&amp;(COUNTIFS(F$2:F53,F53,K$2:K53,"Sparse"))</f>
        <v>SD9</v>
      </c>
      <c r="B53" s="28" t="str">
        <f>J53&amp;(COUNTIF(J$2:J53,J53))</f>
        <v>Leicestershire2</v>
      </c>
      <c r="C53" s="31" t="s">
        <v>32</v>
      </c>
      <c r="D53" s="31" t="s">
        <v>32</v>
      </c>
      <c r="E53" s="32" t="s">
        <v>369</v>
      </c>
      <c r="F53" s="32" t="s">
        <v>383</v>
      </c>
      <c r="G53" s="32" t="s">
        <v>5</v>
      </c>
      <c r="H53" s="33" t="s">
        <v>897</v>
      </c>
      <c r="I53" s="34" t="s">
        <v>386</v>
      </c>
      <c r="J53" t="s">
        <v>318</v>
      </c>
      <c r="K53" s="44"/>
    </row>
    <row r="54" spans="1:11" ht="15">
      <c r="A54" s="28" t="str">
        <f>F54&amp;(COUNTIFS(F$2:F54,F54,K$2:K54,"Sparse"))</f>
        <v>SD9</v>
      </c>
      <c r="B54" s="28" t="str">
        <f>J54&amp;(COUNTIF(J$2:J54,J54))</f>
        <v>Essex5</v>
      </c>
      <c r="C54" s="31" t="s">
        <v>33</v>
      </c>
      <c r="D54" s="31" t="s">
        <v>33</v>
      </c>
      <c r="E54" s="32" t="s">
        <v>371</v>
      </c>
      <c r="F54" s="32" t="s">
        <v>383</v>
      </c>
      <c r="G54" s="32" t="s">
        <v>5</v>
      </c>
      <c r="H54" s="33" t="s">
        <v>897</v>
      </c>
      <c r="I54" s="34" t="s">
        <v>386</v>
      </c>
      <c r="J54" t="s">
        <v>312</v>
      </c>
      <c r="K54" s="44"/>
    </row>
    <row r="55" spans="1:11" ht="15">
      <c r="A55" s="28" t="str">
        <f>F55&amp;(COUNTIFS(F$2:F55,F55,K$2:K55,"Sparse"))</f>
        <v>SD9</v>
      </c>
      <c r="B55" s="28" t="str">
        <f>J55&amp;(COUNTIF(J$2:J55,J55))</f>
        <v>Gloucestershire1</v>
      </c>
      <c r="C55" s="31" t="s">
        <v>34</v>
      </c>
      <c r="D55" s="31" t="s">
        <v>34</v>
      </c>
      <c r="E55" s="32" t="s">
        <v>1</v>
      </c>
      <c r="F55" s="32" t="s">
        <v>383</v>
      </c>
      <c r="G55" s="32" t="s">
        <v>5</v>
      </c>
      <c r="H55" s="33" t="s">
        <v>897</v>
      </c>
      <c r="I55" s="34" t="s">
        <v>386</v>
      </c>
      <c r="J55" t="s">
        <v>313</v>
      </c>
      <c r="K55" s="44"/>
    </row>
    <row r="56" spans="1:11" ht="15">
      <c r="A56" s="28" t="str">
        <f>F56&amp;(COUNTIFS(F$2:F56,F56,K$2:K56,"Sparse"))</f>
        <v>SD10</v>
      </c>
      <c r="B56" s="28" t="str">
        <f>J56&amp;(COUNTIF(J$2:J56,J56))</f>
        <v>Oxfordshire1</v>
      </c>
      <c r="C56" s="31" t="s">
        <v>35</v>
      </c>
      <c r="D56" s="31" t="s">
        <v>35</v>
      </c>
      <c r="E56" s="32" t="s">
        <v>0</v>
      </c>
      <c r="F56" s="32" t="s">
        <v>383</v>
      </c>
      <c r="G56" s="32" t="s">
        <v>5</v>
      </c>
      <c r="H56" s="35" t="s">
        <v>900</v>
      </c>
      <c r="I56" s="34" t="s">
        <v>373</v>
      </c>
      <c r="J56" t="s">
        <v>325</v>
      </c>
      <c r="K56" s="44" t="s">
        <v>336</v>
      </c>
    </row>
    <row r="57" spans="1:11" ht="15">
      <c r="A57" s="28" t="str">
        <f>F57&amp;(COUNTIFS(F$2:F57,F57,K$2:K57,"Sparse"))</f>
        <v>UA2</v>
      </c>
      <c r="B57" s="28" t="str">
        <f>J57&amp;(COUNTIF(J$2:J57,J57))</f>
        <v>Unitary10</v>
      </c>
      <c r="C57" s="31" t="s">
        <v>305</v>
      </c>
      <c r="D57" s="31" t="s">
        <v>305</v>
      </c>
      <c r="E57" s="32" t="s">
        <v>378</v>
      </c>
      <c r="F57" s="32" t="s">
        <v>389</v>
      </c>
      <c r="G57" s="32" t="s">
        <v>398</v>
      </c>
      <c r="H57" s="35" t="s">
        <v>900</v>
      </c>
      <c r="I57" s="34" t="s">
        <v>373</v>
      </c>
      <c r="J57" s="45" t="s">
        <v>398</v>
      </c>
      <c r="K57" s="44" t="s">
        <v>336</v>
      </c>
    </row>
    <row r="58" spans="1:11" ht="15">
      <c r="A58" s="28" t="str">
        <f>F58&amp;(COUNTIFS(F$2:F58,F58,K$2:K58,"Sparse"))</f>
        <v>UA3</v>
      </c>
      <c r="B58" s="28" t="str">
        <f>J58&amp;(COUNTIF(J$2:J58,J58))</f>
        <v>Unitary11</v>
      </c>
      <c r="C58" s="31" t="s">
        <v>817</v>
      </c>
      <c r="D58" s="31" t="s">
        <v>817</v>
      </c>
      <c r="E58" s="32" t="s">
        <v>378</v>
      </c>
      <c r="F58" s="32" t="s">
        <v>389</v>
      </c>
      <c r="G58" s="32" t="s">
        <v>398</v>
      </c>
      <c r="H58" s="35" t="s">
        <v>900</v>
      </c>
      <c r="I58" s="34" t="s">
        <v>373</v>
      </c>
      <c r="J58" s="45" t="s">
        <v>398</v>
      </c>
      <c r="K58" s="44" t="s">
        <v>336</v>
      </c>
    </row>
    <row r="59" spans="1:11" ht="15">
      <c r="A59" s="28" t="str">
        <f>F59&amp;(COUNTIFS(F$2:F59,F59,K$2:K59,"Sparse"))</f>
        <v>SD10</v>
      </c>
      <c r="B59" s="28" t="str">
        <f>J59&amp;(COUNTIF(J$2:J59,J59))</f>
        <v>Derbyshire3</v>
      </c>
      <c r="C59" s="31" t="s">
        <v>36</v>
      </c>
      <c r="D59" s="31" t="s">
        <v>36</v>
      </c>
      <c r="E59" s="32" t="s">
        <v>369</v>
      </c>
      <c r="F59" s="32" t="s">
        <v>383</v>
      </c>
      <c r="G59" s="32" t="s">
        <v>5</v>
      </c>
      <c r="H59" s="33" t="s">
        <v>897</v>
      </c>
      <c r="I59" s="34" t="s">
        <v>386</v>
      </c>
      <c r="J59" t="s">
        <v>308</v>
      </c>
      <c r="K59" s="44"/>
    </row>
    <row r="60" spans="1:11" ht="15">
      <c r="A60" s="28" t="str">
        <f>F60&amp;(COUNTIFS(F$2:F60,F60,K$2:K60,"Sparse"))</f>
        <v>SD11</v>
      </c>
      <c r="B60" s="28" t="str">
        <f>J60&amp;(COUNTIF(J$2:J60,J60))</f>
        <v>West Sussex3</v>
      </c>
      <c r="C60" s="31" t="s">
        <v>37</v>
      </c>
      <c r="D60" s="31" t="s">
        <v>37</v>
      </c>
      <c r="E60" s="32" t="s">
        <v>0</v>
      </c>
      <c r="F60" s="32" t="s">
        <v>383</v>
      </c>
      <c r="G60" s="32" t="s">
        <v>5</v>
      </c>
      <c r="H60" s="33" t="s">
        <v>901</v>
      </c>
      <c r="I60" s="34" t="s">
        <v>384</v>
      </c>
      <c r="J60" t="s">
        <v>332</v>
      </c>
      <c r="K60" s="44" t="s">
        <v>336</v>
      </c>
    </row>
    <row r="61" spans="1:11" ht="15">
      <c r="A61" s="28" t="str">
        <f>F61&amp;(COUNTIFS(F$2:F61,F61,K$2:K61,"Sparse"))</f>
        <v>SD11</v>
      </c>
      <c r="B61" s="28" t="str">
        <f>J61&amp;(COUNTIF(J$2:J61,J61))</f>
        <v>Buckinghamshire3</v>
      </c>
      <c r="C61" s="31" t="s">
        <v>38</v>
      </c>
      <c r="D61" s="31" t="s">
        <v>38</v>
      </c>
      <c r="E61" s="32" t="s">
        <v>0</v>
      </c>
      <c r="F61" s="32" t="s">
        <v>383</v>
      </c>
      <c r="G61" s="32" t="s">
        <v>5</v>
      </c>
      <c r="H61" s="35" t="s">
        <v>900</v>
      </c>
      <c r="I61" s="34" t="s">
        <v>373</v>
      </c>
      <c r="J61" t="s">
        <v>301</v>
      </c>
      <c r="K61" s="44"/>
    </row>
    <row r="62" spans="1:11" ht="15">
      <c r="A62" s="28" t="str">
        <f>F62&amp;(COUNTIFS(F$2:F62,F62,K$2:K62,"Sparse"))</f>
        <v>SD11</v>
      </c>
      <c r="B62" s="28" t="str">
        <f>J62&amp;(COUNTIF(J$2:J62,J62))</f>
        <v>Lancashire2</v>
      </c>
      <c r="C62" s="31" t="s">
        <v>39</v>
      </c>
      <c r="D62" s="31" t="s">
        <v>39</v>
      </c>
      <c r="E62" s="32" t="s">
        <v>378</v>
      </c>
      <c r="F62" s="32" t="s">
        <v>383</v>
      </c>
      <c r="G62" s="32" t="s">
        <v>5</v>
      </c>
      <c r="H62" s="35" t="s">
        <v>900</v>
      </c>
      <c r="I62" s="34" t="s">
        <v>373</v>
      </c>
      <c r="J62" t="s">
        <v>317</v>
      </c>
      <c r="K62" s="44"/>
    </row>
    <row r="63" spans="1:11" ht="15">
      <c r="A63" s="28" t="str">
        <f>F63&amp;(COUNTIFS(F$2:F63,F63,K$2:K63,"Sparse"))</f>
        <v>SD11</v>
      </c>
      <c r="B63" s="28" t="str">
        <f>J63&amp;(COUNTIF(J$2:J63,J63))</f>
        <v>Dorset1</v>
      </c>
      <c r="C63" s="31" t="s">
        <v>40</v>
      </c>
      <c r="D63" s="31" t="s">
        <v>40</v>
      </c>
      <c r="E63" s="32" t="s">
        <v>1</v>
      </c>
      <c r="F63" s="32" t="s">
        <v>383</v>
      </c>
      <c r="G63" s="32" t="s">
        <v>5</v>
      </c>
      <c r="H63" s="33" t="s">
        <v>897</v>
      </c>
      <c r="I63" s="34" t="s">
        <v>386</v>
      </c>
      <c r="J63" t="s">
        <v>310</v>
      </c>
      <c r="K63" s="44"/>
    </row>
    <row r="64" spans="1:11" ht="15">
      <c r="A64" s="28" t="str">
        <f>F64&amp;(COUNTIFS(F$2:F64,F64,K$2:K64,"Sparse"))</f>
        <v>L0</v>
      </c>
      <c r="B64" s="28" t="str">
        <f>J64&amp;(COUNTIF(J$2:J64,J64))</f>
        <v>London7</v>
      </c>
      <c r="C64" s="31" t="s">
        <v>372</v>
      </c>
      <c r="D64" s="31" t="s">
        <v>372</v>
      </c>
      <c r="E64" s="32" t="s">
        <v>385</v>
      </c>
      <c r="F64" s="32" t="s">
        <v>360</v>
      </c>
      <c r="G64" s="32" t="s">
        <v>385</v>
      </c>
      <c r="H64" s="36" t="s">
        <v>902</v>
      </c>
      <c r="I64" s="34" t="s">
        <v>386</v>
      </c>
      <c r="J64" t="str">
        <f>G64</f>
        <v>London</v>
      </c>
      <c r="K64" s="44"/>
    </row>
    <row r="65" spans="1:11" ht="15">
      <c r="A65" s="28" t="str">
        <f>F65&amp;(COUNTIFS(F$2:F65,F65,K$2:K65,"Sparse"))</f>
        <v>SD11</v>
      </c>
      <c r="B65" s="28" t="str">
        <f>J65&amp;(COUNTIF(J$2:J65,J65))</f>
        <v>Essex6</v>
      </c>
      <c r="C65" s="31" t="s">
        <v>41</v>
      </c>
      <c r="D65" s="31" t="s">
        <v>41</v>
      </c>
      <c r="E65" s="32" t="s">
        <v>371</v>
      </c>
      <c r="F65" s="32" t="s">
        <v>383</v>
      </c>
      <c r="G65" s="32" t="s">
        <v>5</v>
      </c>
      <c r="H65" s="35" t="s">
        <v>900</v>
      </c>
      <c r="I65" s="34" t="s">
        <v>373</v>
      </c>
      <c r="J65" t="s">
        <v>312</v>
      </c>
      <c r="K65" s="44"/>
    </row>
    <row r="66" spans="1:11" ht="15">
      <c r="A66" s="28" t="str">
        <f>F66&amp;(COUNTIFS(F$2:F66,F66,K$2:K66,"Sparse"))</f>
        <v>SD11</v>
      </c>
      <c r="B66" s="28" t="str">
        <f>J66&amp;(COUNTIF(J$2:J66,J66))</f>
        <v>Cumbria4</v>
      </c>
      <c r="C66" s="31" t="s">
        <v>42</v>
      </c>
      <c r="D66" s="31" t="s">
        <v>42</v>
      </c>
      <c r="E66" s="32" t="s">
        <v>378</v>
      </c>
      <c r="F66" s="32" t="s">
        <v>383</v>
      </c>
      <c r="G66" s="32" t="s">
        <v>5</v>
      </c>
      <c r="H66" s="33" t="s">
        <v>898</v>
      </c>
      <c r="I66" s="34" t="s">
        <v>384</v>
      </c>
      <c r="J66" t="s">
        <v>307</v>
      </c>
      <c r="K66" s="44"/>
    </row>
    <row r="67" spans="1:11" ht="15">
      <c r="A67" s="28" t="str">
        <f>F67&amp;(COUNTIFS(F$2:F67,F67,K$2:K67,"Sparse"))</f>
        <v>SD11</v>
      </c>
      <c r="B67" s="28" t="str">
        <f>J67&amp;(COUNTIF(J$2:J67,J67))</f>
        <v>Northamptonshire1</v>
      </c>
      <c r="C67" s="31" t="s">
        <v>43</v>
      </c>
      <c r="D67" s="31" t="s">
        <v>43</v>
      </c>
      <c r="E67" s="32" t="s">
        <v>369</v>
      </c>
      <c r="F67" s="32" t="s">
        <v>383</v>
      </c>
      <c r="G67" s="32" t="s">
        <v>5</v>
      </c>
      <c r="H67" s="33" t="s">
        <v>897</v>
      </c>
      <c r="I67" s="34" t="s">
        <v>386</v>
      </c>
      <c r="J67" t="s">
        <v>322</v>
      </c>
      <c r="K67" s="44"/>
    </row>
    <row r="68" spans="1:11" ht="15">
      <c r="A68" s="28" t="str">
        <f>F68&amp;(COUNTIFS(F$2:F68,F68,K$2:K68,"Sparse"))</f>
        <v>UA4</v>
      </c>
      <c r="B68" s="28" t="str">
        <f>J68&amp;(COUNTIF(J$2:J68,J68))</f>
        <v>Unitary12</v>
      </c>
      <c r="C68" s="31" t="s">
        <v>306</v>
      </c>
      <c r="D68" s="31" t="s">
        <v>306</v>
      </c>
      <c r="E68" s="32" t="s">
        <v>1</v>
      </c>
      <c r="F68" s="32" t="s">
        <v>389</v>
      </c>
      <c r="G68" s="32" t="s">
        <v>398</v>
      </c>
      <c r="H68" s="35" t="s">
        <v>898</v>
      </c>
      <c r="I68" s="34" t="s">
        <v>384</v>
      </c>
      <c r="J68" s="45" t="s">
        <v>398</v>
      </c>
      <c r="K68" s="44" t="s">
        <v>336</v>
      </c>
    </row>
    <row r="69" spans="1:11" ht="15">
      <c r="A69" s="28" t="str">
        <f>F69&amp;(COUNTIFS(F$2:F69,F69,K$2:K69,"Sparse"))</f>
        <v>SD12</v>
      </c>
      <c r="B69" s="28" t="str">
        <f>J69&amp;(COUNTIF(J$2:J69,J69))</f>
        <v>Gloucestershire2</v>
      </c>
      <c r="C69" s="31" t="s">
        <v>44</v>
      </c>
      <c r="D69" s="31" t="s">
        <v>44</v>
      </c>
      <c r="E69" s="32" t="s">
        <v>1</v>
      </c>
      <c r="F69" s="32" t="s">
        <v>383</v>
      </c>
      <c r="G69" s="32" t="s">
        <v>5</v>
      </c>
      <c r="H69" s="33" t="s">
        <v>898</v>
      </c>
      <c r="I69" s="34" t="s">
        <v>384</v>
      </c>
      <c r="J69" t="s">
        <v>313</v>
      </c>
      <c r="K69" s="44" t="s">
        <v>336</v>
      </c>
    </row>
    <row r="70" spans="1:11" ht="15">
      <c r="A70" s="28" t="str">
        <f>F70&amp;(COUNTIFS(F$2:F70,F70,K$2:K70,"Sparse"))</f>
        <v>MD0</v>
      </c>
      <c r="B70" s="28" t="str">
        <f>J70&amp;(COUNTIF(J$2:J70,J70))</f>
        <v>Coventry1</v>
      </c>
      <c r="C70" s="31" t="s">
        <v>229</v>
      </c>
      <c r="D70" s="31" t="s">
        <v>229</v>
      </c>
      <c r="E70" s="32" t="s">
        <v>370</v>
      </c>
      <c r="F70" s="32" t="s">
        <v>388</v>
      </c>
      <c r="G70" s="32" t="s">
        <v>399</v>
      </c>
      <c r="H70" s="33" t="s">
        <v>897</v>
      </c>
      <c r="I70" s="34" t="s">
        <v>386</v>
      </c>
      <c r="J70" t="str">
        <f>C70</f>
        <v>Coventry</v>
      </c>
      <c r="K70" s="44"/>
    </row>
    <row r="71" spans="1:11" ht="15">
      <c r="A71" s="28" t="str">
        <f>F71&amp;(COUNTIFS(F$2:F71,F71,K$2:K71,"Sparse"))</f>
        <v>SD13</v>
      </c>
      <c r="B71" s="28" t="str">
        <f>J71&amp;(COUNTIF(J$2:J71,J71))</f>
        <v>North Yorkshire1</v>
      </c>
      <c r="C71" s="31" t="s">
        <v>45</v>
      </c>
      <c r="D71" s="31" t="s">
        <v>45</v>
      </c>
      <c r="E71" s="32" t="s">
        <v>387</v>
      </c>
      <c r="F71" s="32" t="s">
        <v>383</v>
      </c>
      <c r="G71" s="32" t="s">
        <v>5</v>
      </c>
      <c r="H71" s="33" t="s">
        <v>898</v>
      </c>
      <c r="I71" s="34" t="s">
        <v>384</v>
      </c>
      <c r="J71" t="s">
        <v>321</v>
      </c>
      <c r="K71" s="44" t="s">
        <v>336</v>
      </c>
    </row>
    <row r="72" spans="1:11" ht="15">
      <c r="A72" s="28" t="str">
        <f>F72&amp;(COUNTIFS(F$2:F72,F72,K$2:K72,"Sparse"))</f>
        <v>SD13</v>
      </c>
      <c r="B72" s="28" t="str">
        <f>J72&amp;(COUNTIF(J$2:J72,J72))</f>
        <v>West Sussex4</v>
      </c>
      <c r="C72" s="31" t="s">
        <v>46</v>
      </c>
      <c r="D72" s="31" t="s">
        <v>46</v>
      </c>
      <c r="E72" s="32" t="s">
        <v>0</v>
      </c>
      <c r="F72" s="32" t="s">
        <v>383</v>
      </c>
      <c r="G72" s="32" t="s">
        <v>5</v>
      </c>
      <c r="H72" s="33" t="s">
        <v>897</v>
      </c>
      <c r="I72" s="34" t="s">
        <v>386</v>
      </c>
      <c r="J72" t="s">
        <v>332</v>
      </c>
      <c r="K72" s="44"/>
    </row>
    <row r="73" spans="1:11" ht="15">
      <c r="A73" s="28" t="str">
        <f>F73&amp;(COUNTIFS(F$2:F73,F73,K$2:K73,"Sparse"))</f>
        <v>L0</v>
      </c>
      <c r="B73" s="28" t="str">
        <f>J73&amp;(COUNTIF(J$2:J73,J73))</f>
        <v>London8</v>
      </c>
      <c r="C73" s="31" t="s">
        <v>202</v>
      </c>
      <c r="D73" s="31" t="s">
        <v>202</v>
      </c>
      <c r="E73" s="32" t="s">
        <v>385</v>
      </c>
      <c r="F73" s="32" t="s">
        <v>360</v>
      </c>
      <c r="G73" s="32" t="s">
        <v>385</v>
      </c>
      <c r="H73" s="33" t="s">
        <v>902</v>
      </c>
      <c r="I73" s="34" t="s">
        <v>386</v>
      </c>
      <c r="J73" t="str">
        <f>G73</f>
        <v>London</v>
      </c>
      <c r="K73" s="44"/>
    </row>
    <row r="74" spans="1:11" ht="15">
      <c r="A74" s="28" t="str">
        <f>F74&amp;(COUNTIFS(F$2:F74,F74,K$2:K74,"Sparse"))</f>
        <v>SC1</v>
      </c>
      <c r="B74" s="28" t="str">
        <f>J74&amp;(COUNTIF(J$2:J74,J74))</f>
        <v>Cumbria5</v>
      </c>
      <c r="C74" s="31" t="s">
        <v>307</v>
      </c>
      <c r="D74" s="31" t="s">
        <v>307</v>
      </c>
      <c r="E74" s="32" t="s">
        <v>378</v>
      </c>
      <c r="F74" s="32" t="s">
        <v>391</v>
      </c>
      <c r="G74" s="32" t="s">
        <v>302</v>
      </c>
      <c r="H74" s="34" t="s">
        <v>384</v>
      </c>
      <c r="I74" s="34" t="s">
        <v>384</v>
      </c>
      <c r="J74" t="str">
        <f>C74</f>
        <v>Cumbria</v>
      </c>
      <c r="K74" s="44" t="s">
        <v>336</v>
      </c>
    </row>
    <row r="75" spans="1:11" ht="15">
      <c r="A75" s="28" t="str">
        <f>F75&amp;(COUNTIFS(F$2:F75,F75,K$2:K75,"Sparse"))</f>
        <v>SD13</v>
      </c>
      <c r="B75" s="28" t="str">
        <f>J75&amp;(COUNTIF(J$2:J75,J75))</f>
        <v>Hertfordshire2</v>
      </c>
      <c r="C75" s="31" t="s">
        <v>47</v>
      </c>
      <c r="D75" s="31" t="s">
        <v>47</v>
      </c>
      <c r="E75" s="32" t="s">
        <v>371</v>
      </c>
      <c r="F75" s="32" t="s">
        <v>383</v>
      </c>
      <c r="G75" s="32" t="s">
        <v>5</v>
      </c>
      <c r="H75" s="35" t="s">
        <v>900</v>
      </c>
      <c r="I75" s="34" t="s">
        <v>373</v>
      </c>
      <c r="J75" t="s">
        <v>315</v>
      </c>
      <c r="K75" s="44"/>
    </row>
    <row r="76" spans="1:11" ht="15">
      <c r="A76" s="28" t="str">
        <f>F76&amp;(COUNTIFS(F$2:F76,F76,K$2:K76,"Sparse"))</f>
        <v>UA4</v>
      </c>
      <c r="B76" s="28" t="str">
        <f>J76&amp;(COUNTIF(J$2:J76,J76))</f>
        <v>Unitary13</v>
      </c>
      <c r="C76" s="31" t="s">
        <v>265</v>
      </c>
      <c r="D76" s="31" t="s">
        <v>265</v>
      </c>
      <c r="E76" s="32" t="s">
        <v>392</v>
      </c>
      <c r="F76" s="32" t="s">
        <v>389</v>
      </c>
      <c r="G76" s="32" t="s">
        <v>398</v>
      </c>
      <c r="H76" s="33" t="s">
        <v>897</v>
      </c>
      <c r="I76" s="34" t="s">
        <v>386</v>
      </c>
      <c r="J76" s="45" t="s">
        <v>398</v>
      </c>
      <c r="K76" s="44"/>
    </row>
    <row r="77" spans="1:11" ht="15">
      <c r="A77" s="28" t="str">
        <f>F77&amp;(COUNTIFS(F$2:F77,F77,K$2:K77,"Sparse"))</f>
        <v>SD13</v>
      </c>
      <c r="B77" s="28" t="str">
        <f>J77&amp;(COUNTIF(J$2:J77,J77))</f>
        <v>Kent3</v>
      </c>
      <c r="C77" s="31" t="s">
        <v>48</v>
      </c>
      <c r="D77" s="31" t="s">
        <v>48</v>
      </c>
      <c r="E77" s="32" t="s">
        <v>0</v>
      </c>
      <c r="F77" s="32" t="s">
        <v>383</v>
      </c>
      <c r="G77" s="32" t="s">
        <v>5</v>
      </c>
      <c r="H77" s="33" t="s">
        <v>902</v>
      </c>
      <c r="I77" s="34" t="s">
        <v>386</v>
      </c>
      <c r="J77" t="s">
        <v>316</v>
      </c>
      <c r="K77" s="44"/>
    </row>
    <row r="78" spans="1:11" ht="15">
      <c r="A78" s="28" t="str">
        <f>F78&amp;(COUNTIFS(F$2:F78,F78,K$2:K78,"Sparse"))</f>
        <v>SD14</v>
      </c>
      <c r="B78" s="28" t="str">
        <f>J78&amp;(COUNTIF(J$2:J78,J78))</f>
        <v>Northamptonshire2</v>
      </c>
      <c r="C78" s="31" t="s">
        <v>49</v>
      </c>
      <c r="D78" s="31" t="s">
        <v>49</v>
      </c>
      <c r="E78" s="32" t="s">
        <v>369</v>
      </c>
      <c r="F78" s="32" t="s">
        <v>383</v>
      </c>
      <c r="G78" s="32" t="s">
        <v>5</v>
      </c>
      <c r="H78" s="33" t="s">
        <v>898</v>
      </c>
      <c r="I78" s="34" t="s">
        <v>384</v>
      </c>
      <c r="J78" t="s">
        <v>322</v>
      </c>
      <c r="K78" s="44" t="s">
        <v>336</v>
      </c>
    </row>
    <row r="79" spans="1:11" ht="15">
      <c r="A79" s="28" t="str">
        <f>F79&amp;(COUNTIFS(F$2:F79,F79,K$2:K79,"Sparse"))</f>
        <v>UA4</v>
      </c>
      <c r="B79" s="28" t="str">
        <f>J79&amp;(COUNTIF(J$2:J79,J79))</f>
        <v>Unitary14</v>
      </c>
      <c r="C79" s="31" t="s">
        <v>266</v>
      </c>
      <c r="D79" s="31" t="s">
        <v>266</v>
      </c>
      <c r="E79" s="32" t="s">
        <v>369</v>
      </c>
      <c r="F79" s="32" t="s">
        <v>389</v>
      </c>
      <c r="G79" s="32" t="s">
        <v>398</v>
      </c>
      <c r="H79" s="33" t="s">
        <v>897</v>
      </c>
      <c r="I79" s="34" t="s">
        <v>386</v>
      </c>
      <c r="J79" s="45" t="s">
        <v>398</v>
      </c>
      <c r="K79" s="44"/>
    </row>
    <row r="80" spans="1:11" ht="15">
      <c r="A80" s="28" t="str">
        <f>F80&amp;(COUNTIFS(F$2:F80,F80,K$2:K80,"Sparse"))</f>
        <v>SC1</v>
      </c>
      <c r="B80" s="28" t="str">
        <f>J80&amp;(COUNTIF(J$2:J80,J80))</f>
        <v>Derbyshire4</v>
      </c>
      <c r="C80" s="31" t="s">
        <v>308</v>
      </c>
      <c r="D80" s="31" t="s">
        <v>308</v>
      </c>
      <c r="E80" s="32" t="s">
        <v>369</v>
      </c>
      <c r="F80" s="32" t="s">
        <v>391</v>
      </c>
      <c r="G80" s="32" t="s">
        <v>302</v>
      </c>
      <c r="H80" s="34" t="s">
        <v>373</v>
      </c>
      <c r="I80" s="34" t="s">
        <v>373</v>
      </c>
      <c r="J80" t="str">
        <f>C80</f>
        <v>Derbyshire</v>
      </c>
      <c r="K80" s="44"/>
    </row>
    <row r="81" spans="1:11" ht="15">
      <c r="A81" s="28" t="str">
        <f>F81&amp;(COUNTIFS(F$2:F81,F81,K$2:K81,"Sparse"))</f>
        <v>SD15</v>
      </c>
      <c r="B81" s="28" t="str">
        <f>J81&amp;(COUNTIF(J$2:J81,J81))</f>
        <v>Derbyshire5</v>
      </c>
      <c r="C81" s="31" t="s">
        <v>50</v>
      </c>
      <c r="D81" s="31" t="s">
        <v>50</v>
      </c>
      <c r="E81" s="32" t="s">
        <v>369</v>
      </c>
      <c r="F81" s="32" t="s">
        <v>383</v>
      </c>
      <c r="G81" s="32" t="s">
        <v>5</v>
      </c>
      <c r="H81" s="33" t="s">
        <v>898</v>
      </c>
      <c r="I81" s="34" t="s">
        <v>384</v>
      </c>
      <c r="J81" t="s">
        <v>308</v>
      </c>
      <c r="K81" s="44" t="s">
        <v>336</v>
      </c>
    </row>
    <row r="82" spans="1:11" ht="15">
      <c r="A82" s="28" t="str">
        <f>F82&amp;(COUNTIFS(F$2:F82,F82,K$2:K82,"Sparse"))</f>
        <v>SC2</v>
      </c>
      <c r="B82" s="28" t="str">
        <f>J82&amp;(COUNTIF(J$2:J82,J82))</f>
        <v>Devon1</v>
      </c>
      <c r="C82" s="31" t="s">
        <v>309</v>
      </c>
      <c r="D82" s="31" t="s">
        <v>309</v>
      </c>
      <c r="E82" s="32" t="s">
        <v>1</v>
      </c>
      <c r="F82" s="32" t="s">
        <v>391</v>
      </c>
      <c r="G82" s="32" t="s">
        <v>302</v>
      </c>
      <c r="H82" s="34" t="s">
        <v>384</v>
      </c>
      <c r="I82" s="34" t="s">
        <v>384</v>
      </c>
      <c r="J82" t="str">
        <f>C82</f>
        <v>Devon</v>
      </c>
      <c r="K82" s="44" t="s">
        <v>336</v>
      </c>
    </row>
    <row r="83" spans="1:11" ht="15">
      <c r="A83" s="28" t="str">
        <f>F83&amp;(COUNTIFS(F$2:F83,F83,K$2:K83,"Sparse"))</f>
        <v>MD0</v>
      </c>
      <c r="B83" s="28" t="str">
        <f>J83&amp;(COUNTIF(J$2:J83,J83))</f>
        <v>Doncaster1</v>
      </c>
      <c r="C83" s="31" t="s">
        <v>230</v>
      </c>
      <c r="D83" s="31" t="s">
        <v>230</v>
      </c>
      <c r="E83" s="32" t="s">
        <v>387</v>
      </c>
      <c r="F83" s="32" t="s">
        <v>388</v>
      </c>
      <c r="G83" s="32" t="s">
        <v>399</v>
      </c>
      <c r="H83" s="33" t="s">
        <v>899</v>
      </c>
      <c r="I83" s="34" t="s">
        <v>386</v>
      </c>
      <c r="J83" t="str">
        <f>C83</f>
        <v>Doncaster</v>
      </c>
      <c r="K83" s="44"/>
    </row>
    <row r="84" spans="1:11" ht="15">
      <c r="A84" s="28" t="str">
        <f>F84&amp;(COUNTIFS(F$2:F84,F84,K$2:K84,"Sparse"))</f>
        <v>SC2</v>
      </c>
      <c r="B84" s="28" t="str">
        <f>J84&amp;(COUNTIF(J$2:J84,J84))</f>
        <v>Dorset2</v>
      </c>
      <c r="C84" s="31" t="s">
        <v>310</v>
      </c>
      <c r="D84" s="31" t="s">
        <v>310</v>
      </c>
      <c r="E84" s="32" t="s">
        <v>1</v>
      </c>
      <c r="F84" s="32" t="s">
        <v>391</v>
      </c>
      <c r="G84" s="32" t="s">
        <v>302</v>
      </c>
      <c r="H84" s="34" t="s">
        <v>384</v>
      </c>
      <c r="I84" s="34" t="s">
        <v>384</v>
      </c>
      <c r="J84" t="str">
        <f>C84</f>
        <v>Dorset</v>
      </c>
      <c r="K84" s="44"/>
    </row>
    <row r="85" spans="1:11" ht="15">
      <c r="A85" s="28" t="str">
        <f>F85&amp;(COUNTIFS(F$2:F85,F85,K$2:K85,"Sparse"))</f>
        <v>SD16</v>
      </c>
      <c r="B85" s="28" t="str">
        <f>J85&amp;(COUNTIF(J$2:J85,J85))</f>
        <v>Kent4</v>
      </c>
      <c r="C85" s="42" t="s">
        <v>51</v>
      </c>
      <c r="D85" s="42" t="s">
        <v>51</v>
      </c>
      <c r="E85" s="32" t="s">
        <v>0</v>
      </c>
      <c r="F85" s="32" t="s">
        <v>383</v>
      </c>
      <c r="G85" s="32" t="s">
        <v>5</v>
      </c>
      <c r="H85" s="33" t="s">
        <v>900</v>
      </c>
      <c r="I85" s="34" t="s">
        <v>373</v>
      </c>
      <c r="J85" t="s">
        <v>316</v>
      </c>
      <c r="K85" s="44" t="s">
        <v>336</v>
      </c>
    </row>
    <row r="86" spans="1:11" ht="15">
      <c r="A86" s="28" t="str">
        <f>F86&amp;(COUNTIFS(F$2:F86,F86,K$2:K86,"Sparse"))</f>
        <v>UA5</v>
      </c>
      <c r="B86" s="28" t="str">
        <f>J86&amp;(COUNTIF(J$2:J86,J86))</f>
        <v>Unitary15</v>
      </c>
      <c r="C86" s="44" t="s">
        <v>267</v>
      </c>
      <c r="D86" s="42" t="s">
        <v>267</v>
      </c>
      <c r="E86" s="32" t="s">
        <v>392</v>
      </c>
      <c r="F86" s="32" t="s">
        <v>389</v>
      </c>
      <c r="G86" s="32" t="s">
        <v>398</v>
      </c>
      <c r="H86" s="35" t="s">
        <v>901</v>
      </c>
      <c r="I86" s="34" t="s">
        <v>384</v>
      </c>
      <c r="J86" s="45" t="s">
        <v>398</v>
      </c>
      <c r="K86" s="44" t="s">
        <v>336</v>
      </c>
    </row>
    <row r="87" spans="1:11" ht="15">
      <c r="A87" s="28" t="str">
        <f>F87&amp;(COUNTIFS(F$2:F87,F87,K$2:K87,"Sparse"))</f>
        <v>MD0</v>
      </c>
      <c r="B87" s="28" t="str">
        <f>J87&amp;(COUNTIF(J$2:J87,J87))</f>
        <v>Dudley1</v>
      </c>
      <c r="C87" s="31" t="s">
        <v>231</v>
      </c>
      <c r="D87" s="31" t="s">
        <v>231</v>
      </c>
      <c r="E87" s="32" t="s">
        <v>370</v>
      </c>
      <c r="F87" s="32" t="s">
        <v>388</v>
      </c>
      <c r="G87" s="32" t="s">
        <v>399</v>
      </c>
      <c r="H87" s="33" t="s">
        <v>902</v>
      </c>
      <c r="I87" s="34" t="s">
        <v>386</v>
      </c>
      <c r="J87" t="str">
        <f>C87</f>
        <v>Dudley</v>
      </c>
      <c r="K87" s="44"/>
    </row>
    <row r="88" spans="1:11" ht="15">
      <c r="A88" s="28" t="str">
        <f>F88&amp;(COUNTIFS(F$2:F88,F88,K$2:K88,"Sparse"))</f>
        <v>L0</v>
      </c>
      <c r="B88" s="28" t="str">
        <f>J88&amp;(COUNTIF(J$2:J88,J88))</f>
        <v>London9</v>
      </c>
      <c r="C88" s="31" t="s">
        <v>203</v>
      </c>
      <c r="D88" s="31" t="s">
        <v>203</v>
      </c>
      <c r="E88" s="32" t="s">
        <v>385</v>
      </c>
      <c r="F88" s="32" t="s">
        <v>360</v>
      </c>
      <c r="G88" s="32" t="s">
        <v>385</v>
      </c>
      <c r="H88" s="33" t="s">
        <v>902</v>
      </c>
      <c r="I88" s="34" t="s">
        <v>386</v>
      </c>
      <c r="J88" t="str">
        <f>G88</f>
        <v>London</v>
      </c>
      <c r="K88" s="44"/>
    </row>
    <row r="89" spans="1:11" ht="15">
      <c r="A89" s="28" t="str">
        <f>F89&amp;(COUNTIFS(F$2:F89,F89,K$2:K89,"Sparse"))</f>
        <v>SD17</v>
      </c>
      <c r="B89" s="28" t="str">
        <f>J89&amp;(COUNTIF(J$2:J89,J89))</f>
        <v>Cambridgeshire3</v>
      </c>
      <c r="C89" s="31" t="s">
        <v>52</v>
      </c>
      <c r="D89" s="31" t="s">
        <v>52</v>
      </c>
      <c r="E89" s="32" t="s">
        <v>371</v>
      </c>
      <c r="F89" s="32" t="s">
        <v>383</v>
      </c>
      <c r="G89" s="32" t="s">
        <v>5</v>
      </c>
      <c r="H89" s="33" t="s">
        <v>898</v>
      </c>
      <c r="I89" s="34" t="s">
        <v>384</v>
      </c>
      <c r="J89" t="s">
        <v>303</v>
      </c>
      <c r="K89" s="44" t="s">
        <v>336</v>
      </c>
    </row>
    <row r="90" spans="1:11" ht="15">
      <c r="A90" s="28" t="str">
        <f>F90&amp;(COUNTIFS(F$2:F90,F90,K$2:K90,"Sparse"))</f>
        <v>SD18</v>
      </c>
      <c r="B90" s="28" t="str">
        <f>J90&amp;(COUNTIF(J$2:J90,J90))</f>
        <v>Devon2</v>
      </c>
      <c r="C90" s="31" t="s">
        <v>53</v>
      </c>
      <c r="D90" s="31" t="s">
        <v>53</v>
      </c>
      <c r="E90" s="32" t="s">
        <v>1</v>
      </c>
      <c r="F90" s="32" t="s">
        <v>383</v>
      </c>
      <c r="G90" s="32" t="s">
        <v>5</v>
      </c>
      <c r="H90" s="33" t="s">
        <v>901</v>
      </c>
      <c r="I90" s="34" t="s">
        <v>384</v>
      </c>
      <c r="J90" t="s">
        <v>309</v>
      </c>
      <c r="K90" s="44" t="s">
        <v>336</v>
      </c>
    </row>
    <row r="91" spans="1:11" ht="15">
      <c r="A91" s="28" t="str">
        <f>F91&amp;(COUNTIFS(F$2:F91,F91,K$2:K91,"Sparse"))</f>
        <v>SD18</v>
      </c>
      <c r="B91" s="28" t="str">
        <f>J91&amp;(COUNTIF(J$2:J91,J91))</f>
        <v>Dorset3</v>
      </c>
      <c r="C91" s="31" t="s">
        <v>54</v>
      </c>
      <c r="D91" s="31" t="s">
        <v>54</v>
      </c>
      <c r="E91" s="32" t="s">
        <v>1</v>
      </c>
      <c r="F91" s="32" t="s">
        <v>383</v>
      </c>
      <c r="G91" s="32" t="s">
        <v>5</v>
      </c>
      <c r="H91" s="33" t="s">
        <v>900</v>
      </c>
      <c r="I91" s="34" t="s">
        <v>373</v>
      </c>
      <c r="J91" t="s">
        <v>310</v>
      </c>
      <c r="K91" s="44"/>
    </row>
    <row r="92" spans="1:11" ht="15">
      <c r="A92" s="28" t="str">
        <f>F92&amp;(COUNTIFS(F$2:F92,F92,K$2:K92,"Sparse"))</f>
        <v>SD19</v>
      </c>
      <c r="B92" s="28" t="str">
        <f>J92&amp;(COUNTIF(J$2:J92,J92))</f>
        <v>Hampshire2</v>
      </c>
      <c r="C92" s="31" t="s">
        <v>55</v>
      </c>
      <c r="D92" s="31" t="s">
        <v>55</v>
      </c>
      <c r="E92" s="32" t="s">
        <v>0</v>
      </c>
      <c r="F92" s="32" t="s">
        <v>383</v>
      </c>
      <c r="G92" s="32" t="s">
        <v>5</v>
      </c>
      <c r="H92" s="33" t="s">
        <v>898</v>
      </c>
      <c r="I92" s="34" t="s">
        <v>384</v>
      </c>
      <c r="J92" t="s">
        <v>314</v>
      </c>
      <c r="K92" s="44" t="s">
        <v>336</v>
      </c>
    </row>
    <row r="93" spans="1:11" ht="15">
      <c r="A93" s="28" t="str">
        <f>F93&amp;(COUNTIFS(F$2:F93,F93,K$2:K93,"Sparse"))</f>
        <v>SD20</v>
      </c>
      <c r="B93" s="28" t="str">
        <f>J93&amp;(COUNTIF(J$2:J93,J93))</f>
        <v>Hertfordshire3</v>
      </c>
      <c r="C93" s="31" t="s">
        <v>56</v>
      </c>
      <c r="D93" s="31" t="s">
        <v>56</v>
      </c>
      <c r="E93" s="32" t="s">
        <v>371</v>
      </c>
      <c r="F93" s="32" t="s">
        <v>383</v>
      </c>
      <c r="G93" s="32" t="s">
        <v>5</v>
      </c>
      <c r="H93" s="35" t="s">
        <v>900</v>
      </c>
      <c r="I93" s="34" t="s">
        <v>373</v>
      </c>
      <c r="J93" t="s">
        <v>315</v>
      </c>
      <c r="K93" s="44" t="s">
        <v>336</v>
      </c>
    </row>
    <row r="94" spans="1:11" ht="15">
      <c r="A94" s="28" t="str">
        <f>F94&amp;(COUNTIFS(F$2:F94,F94,K$2:K94,"Sparse"))</f>
        <v>SD21</v>
      </c>
      <c r="B94" s="28" t="str">
        <f>J94&amp;(COUNTIF(J$2:J94,J94))</f>
        <v>Lincolnshire2</v>
      </c>
      <c r="C94" s="31" t="s">
        <v>57</v>
      </c>
      <c r="D94" s="31" t="s">
        <v>57</v>
      </c>
      <c r="E94" s="32" t="s">
        <v>369</v>
      </c>
      <c r="F94" s="32" t="s">
        <v>383</v>
      </c>
      <c r="G94" s="32" t="s">
        <v>5</v>
      </c>
      <c r="H94" s="33" t="s">
        <v>898</v>
      </c>
      <c r="I94" s="34" t="s">
        <v>384</v>
      </c>
      <c r="J94" t="s">
        <v>319</v>
      </c>
      <c r="K94" s="44" t="s">
        <v>336</v>
      </c>
    </row>
    <row r="95" spans="1:11" ht="15">
      <c r="A95" s="28" t="str">
        <f>F95&amp;(COUNTIFS(F$2:F95,F95,K$2:K95,"Sparse"))</f>
        <v>SD22</v>
      </c>
      <c r="B95" s="28" t="str">
        <f>J95&amp;(COUNTIF(J$2:J95,J95))</f>
        <v>Northamptonshire3</v>
      </c>
      <c r="C95" s="31" t="s">
        <v>58</v>
      </c>
      <c r="D95" s="31" t="s">
        <v>58</v>
      </c>
      <c r="E95" s="32" t="s">
        <v>369</v>
      </c>
      <c r="F95" s="32" t="s">
        <v>383</v>
      </c>
      <c r="G95" s="32" t="s">
        <v>5</v>
      </c>
      <c r="H95" s="33" t="s">
        <v>901</v>
      </c>
      <c r="I95" s="34" t="s">
        <v>384</v>
      </c>
      <c r="J95" t="s">
        <v>322</v>
      </c>
      <c r="K95" s="44" t="s">
        <v>336</v>
      </c>
    </row>
    <row r="96" spans="1:11" ht="15">
      <c r="A96" s="28" t="str">
        <f>F96&amp;(COUNTIFS(F$2:F96,F96,K$2:K96,"Sparse"))</f>
        <v>UA6</v>
      </c>
      <c r="B96" s="28" t="str">
        <f>J96&amp;(COUNTIF(J$2:J96,J96))</f>
        <v>Unitary16</v>
      </c>
      <c r="C96" s="31" t="s">
        <v>268</v>
      </c>
      <c r="D96" s="31" t="s">
        <v>268</v>
      </c>
      <c r="E96" s="32" t="s">
        <v>387</v>
      </c>
      <c r="F96" s="32" t="s">
        <v>389</v>
      </c>
      <c r="G96" s="32" t="s">
        <v>398</v>
      </c>
      <c r="H96" s="33" t="s">
        <v>901</v>
      </c>
      <c r="I96" s="34" t="s">
        <v>384</v>
      </c>
      <c r="J96" s="45" t="s">
        <v>398</v>
      </c>
      <c r="K96" s="44" t="s">
        <v>336</v>
      </c>
    </row>
    <row r="97" spans="1:11" ht="15">
      <c r="A97" s="28" t="str">
        <f>F97&amp;(COUNTIFS(F$2:F97,F97,K$2:K97,"Sparse"))</f>
        <v>SD22</v>
      </c>
      <c r="B97" s="28" t="str">
        <f>J97&amp;(COUNTIF(J$2:J97,J97))</f>
        <v>Staffordshire2</v>
      </c>
      <c r="C97" s="31" t="s">
        <v>59</v>
      </c>
      <c r="D97" s="31" t="s">
        <v>59</v>
      </c>
      <c r="E97" s="32" t="s">
        <v>370</v>
      </c>
      <c r="F97" s="32" t="s">
        <v>383</v>
      </c>
      <c r="G97" s="32" t="s">
        <v>5</v>
      </c>
      <c r="H97" s="35" t="s">
        <v>900</v>
      </c>
      <c r="I97" s="34" t="s">
        <v>373</v>
      </c>
      <c r="J97" t="s">
        <v>328</v>
      </c>
      <c r="K97" s="44"/>
    </row>
    <row r="98" spans="1:11" ht="15">
      <c r="A98" s="28" t="str">
        <f>F98&amp;(COUNTIFS(F$2:F98,F98,K$2:K98,"Sparse"))</f>
        <v>SC3</v>
      </c>
      <c r="B98" s="28" t="str">
        <f>J98&amp;(COUNTIF(J$2:J98,J98))</f>
        <v>East Sussex1</v>
      </c>
      <c r="C98" s="31" t="s">
        <v>311</v>
      </c>
      <c r="D98" s="31" t="s">
        <v>311</v>
      </c>
      <c r="E98" s="32" t="s">
        <v>0</v>
      </c>
      <c r="F98" s="32" t="s">
        <v>391</v>
      </c>
      <c r="G98" s="32" t="s">
        <v>302</v>
      </c>
      <c r="H98" s="34" t="s">
        <v>373</v>
      </c>
      <c r="I98" s="34" t="s">
        <v>373</v>
      </c>
      <c r="J98" t="str">
        <f>C98</f>
        <v>East Sussex</v>
      </c>
      <c r="K98" s="44" t="s">
        <v>336</v>
      </c>
    </row>
    <row r="99" spans="1:11" ht="15">
      <c r="A99" s="28" t="str">
        <f>F99&amp;(COUNTIFS(F$2:F99,F99,K$2:K99,"Sparse"))</f>
        <v>SD22</v>
      </c>
      <c r="B99" s="28" t="str">
        <f>J99&amp;(COUNTIF(J$2:J99,J99))</f>
        <v>East Sussex2</v>
      </c>
      <c r="C99" s="31" t="s">
        <v>60</v>
      </c>
      <c r="D99" s="31" t="s">
        <v>60</v>
      </c>
      <c r="E99" s="32" t="s">
        <v>0</v>
      </c>
      <c r="F99" s="32" t="s">
        <v>383</v>
      </c>
      <c r="G99" s="32" t="s">
        <v>5</v>
      </c>
      <c r="H99" s="33" t="s">
        <v>897</v>
      </c>
      <c r="I99" s="34" t="s">
        <v>386</v>
      </c>
      <c r="J99" t="s">
        <v>311</v>
      </c>
      <c r="K99" s="44"/>
    </row>
    <row r="100" spans="1:11" ht="15">
      <c r="A100" s="28" t="str">
        <f>F100&amp;(COUNTIFS(F$2:F100,F100,K$2:K100,"Sparse"))</f>
        <v>SD22</v>
      </c>
      <c r="B100" s="28" t="str">
        <f>J100&amp;(COUNTIF(J$2:J100,J100))</f>
        <v>Hampshire3</v>
      </c>
      <c r="C100" s="31" t="s">
        <v>61</v>
      </c>
      <c r="D100" s="31" t="s">
        <v>61</v>
      </c>
      <c r="E100" s="32" t="s">
        <v>0</v>
      </c>
      <c r="F100" s="32" t="s">
        <v>383</v>
      </c>
      <c r="G100" s="32" t="s">
        <v>5</v>
      </c>
      <c r="H100" s="35" t="s">
        <v>897</v>
      </c>
      <c r="I100" s="34" t="s">
        <v>386</v>
      </c>
      <c r="J100" t="s">
        <v>314</v>
      </c>
      <c r="K100" s="44"/>
    </row>
    <row r="101" spans="1:11" ht="15">
      <c r="A101" s="28" t="str">
        <f>F101&amp;(COUNTIFS(F$2:F101,F101,K$2:K101,"Sparse"))</f>
        <v>SD23</v>
      </c>
      <c r="B101" s="28" t="str">
        <f>J101&amp;(COUNTIF(J$2:J101,J101))</f>
        <v>Cumbria6</v>
      </c>
      <c r="C101" s="31" t="s">
        <v>62</v>
      </c>
      <c r="D101" s="31" t="s">
        <v>62</v>
      </c>
      <c r="E101" s="32" t="s">
        <v>378</v>
      </c>
      <c r="F101" s="32" t="s">
        <v>383</v>
      </c>
      <c r="G101" s="32" t="s">
        <v>5</v>
      </c>
      <c r="H101" s="33" t="s">
        <v>898</v>
      </c>
      <c r="I101" s="34" t="s">
        <v>384</v>
      </c>
      <c r="J101" t="s">
        <v>307</v>
      </c>
      <c r="K101" s="44" t="s">
        <v>336</v>
      </c>
    </row>
    <row r="102" spans="1:11" ht="15">
      <c r="A102" s="28" t="str">
        <f>F102&amp;(COUNTIFS(F$2:F102,F102,K$2:K102,"Sparse"))</f>
        <v>SD23</v>
      </c>
      <c r="B102" s="28" t="str">
        <f>J102&amp;(COUNTIF(J$2:J102,J102))</f>
        <v>Surrey1</v>
      </c>
      <c r="C102" s="31" t="s">
        <v>63</v>
      </c>
      <c r="D102" s="31" t="s">
        <v>63</v>
      </c>
      <c r="E102" s="32" t="s">
        <v>0</v>
      </c>
      <c r="F102" s="32" t="s">
        <v>383</v>
      </c>
      <c r="G102" s="32" t="s">
        <v>5</v>
      </c>
      <c r="H102" s="33" t="s">
        <v>902</v>
      </c>
      <c r="I102" s="34" t="s">
        <v>386</v>
      </c>
      <c r="J102" t="s">
        <v>330</v>
      </c>
      <c r="K102" s="44"/>
    </row>
    <row r="103" spans="1:11" ht="15">
      <c r="A103" s="28" t="str">
        <f>F103&amp;(COUNTIFS(F$2:F103,F103,K$2:K103,"Sparse"))</f>
        <v>L0</v>
      </c>
      <c r="B103" s="28" t="str">
        <f>J103&amp;(COUNTIF(J$2:J103,J103))</f>
        <v>London10</v>
      </c>
      <c r="C103" s="31" t="s">
        <v>204</v>
      </c>
      <c r="D103" s="31" t="s">
        <v>204</v>
      </c>
      <c r="E103" s="32" t="s">
        <v>385</v>
      </c>
      <c r="F103" s="32" t="s">
        <v>360</v>
      </c>
      <c r="G103" s="32" t="s">
        <v>385</v>
      </c>
      <c r="H103" s="33" t="s">
        <v>902</v>
      </c>
      <c r="I103" s="34" t="s">
        <v>386</v>
      </c>
      <c r="J103" t="str">
        <f>G103</f>
        <v>London</v>
      </c>
      <c r="K103" s="44"/>
    </row>
    <row r="104" spans="1:11" ht="15">
      <c r="A104" s="28" t="str">
        <f>F104&amp;(COUNTIFS(F$2:F104,F104,K$2:K104,"Sparse"))</f>
        <v>SD23</v>
      </c>
      <c r="B104" s="28" t="str">
        <f>J104&amp;(COUNTIF(J$2:J104,J104))</f>
        <v>Essex7</v>
      </c>
      <c r="C104" s="31" t="s">
        <v>64</v>
      </c>
      <c r="D104" s="31" t="s">
        <v>64</v>
      </c>
      <c r="E104" s="32" t="s">
        <v>371</v>
      </c>
      <c r="F104" s="32" t="s">
        <v>383</v>
      </c>
      <c r="G104" s="32" t="s">
        <v>5</v>
      </c>
      <c r="H104" s="35" t="s">
        <v>900</v>
      </c>
      <c r="I104" s="34" t="s">
        <v>373</v>
      </c>
      <c r="J104" t="s">
        <v>312</v>
      </c>
      <c r="K104" s="44"/>
    </row>
    <row r="105" spans="1:11" ht="15">
      <c r="A105" s="28" t="str">
        <f>F105&amp;(COUNTIFS(F$2:F105,F105,K$2:K105,"Sparse"))</f>
        <v>SD23</v>
      </c>
      <c r="B105" s="28" t="str">
        <f>J105&amp;(COUNTIF(J$2:J105,J105))</f>
        <v>Surrey2</v>
      </c>
      <c r="C105" s="31" t="s">
        <v>345</v>
      </c>
      <c r="D105" s="31" t="s">
        <v>345</v>
      </c>
      <c r="E105" s="32" t="s">
        <v>0</v>
      </c>
      <c r="F105" s="32" t="s">
        <v>383</v>
      </c>
      <c r="G105" s="32" t="s">
        <v>5</v>
      </c>
      <c r="H105" s="33" t="s">
        <v>902</v>
      </c>
      <c r="I105" s="34" t="s">
        <v>386</v>
      </c>
      <c r="J105" t="s">
        <v>330</v>
      </c>
      <c r="K105" s="44"/>
    </row>
    <row r="106" spans="1:11" ht="15">
      <c r="A106" s="28" t="str">
        <f>F106&amp;(COUNTIFS(F$2:F106,F106,K$2:K106,"Sparse"))</f>
        <v>SD23</v>
      </c>
      <c r="B106" s="28" t="str">
        <f>J106&amp;(COUNTIF(J$2:J106,J106))</f>
        <v>Derbyshire6</v>
      </c>
      <c r="C106" s="31" t="s">
        <v>65</v>
      </c>
      <c r="D106" s="31" t="s">
        <v>65</v>
      </c>
      <c r="E106" s="32" t="s">
        <v>369</v>
      </c>
      <c r="F106" s="32" t="s">
        <v>383</v>
      </c>
      <c r="G106" s="32" t="s">
        <v>5</v>
      </c>
      <c r="H106" s="33" t="s">
        <v>899</v>
      </c>
      <c r="I106" s="34" t="s">
        <v>386</v>
      </c>
      <c r="J106" t="s">
        <v>308</v>
      </c>
      <c r="K106" s="44"/>
    </row>
    <row r="107" spans="1:11" ht="15">
      <c r="A107" s="28" t="str">
        <f>F107&amp;(COUNTIFS(F$2:F107,F107,K$2:K107,"Sparse"))</f>
        <v>SC4</v>
      </c>
      <c r="B107" s="28" t="str">
        <f>J107&amp;(COUNTIF(J$2:J107,J107))</f>
        <v>Essex8</v>
      </c>
      <c r="C107" s="34" t="s">
        <v>312</v>
      </c>
      <c r="D107" s="34" t="s">
        <v>312</v>
      </c>
      <c r="E107" s="32" t="s">
        <v>371</v>
      </c>
      <c r="F107" s="32" t="s">
        <v>391</v>
      </c>
      <c r="G107" s="32" t="s">
        <v>302</v>
      </c>
      <c r="H107" s="34" t="s">
        <v>373</v>
      </c>
      <c r="I107" s="34" t="s">
        <v>373</v>
      </c>
      <c r="J107" t="str">
        <f>C107</f>
        <v>Essex</v>
      </c>
      <c r="K107" s="44" t="s">
        <v>336</v>
      </c>
    </row>
    <row r="108" spans="1:11" ht="15">
      <c r="A108" s="28" t="str">
        <f>F108&amp;(COUNTIFS(F$2:F108,F108,K$2:K108,"Sparse"))</f>
        <v>SD23</v>
      </c>
      <c r="B108" s="28" t="str">
        <f>J108&amp;(COUNTIF(J$2:J108,J108))</f>
        <v>Devon3</v>
      </c>
      <c r="C108" s="31" t="s">
        <v>66</v>
      </c>
      <c r="D108" s="31" t="s">
        <v>66</v>
      </c>
      <c r="E108" s="32" t="s">
        <v>1</v>
      </c>
      <c r="F108" s="32" t="s">
        <v>383</v>
      </c>
      <c r="G108" s="32" t="s">
        <v>5</v>
      </c>
      <c r="H108" s="33" t="s">
        <v>897</v>
      </c>
      <c r="I108" s="34" t="s">
        <v>386</v>
      </c>
      <c r="J108" t="s">
        <v>309</v>
      </c>
      <c r="K108" s="44"/>
    </row>
    <row r="109" spans="1:11" ht="15">
      <c r="A109" s="28" t="str">
        <f>F109&amp;(COUNTIFS(F$2:F109,F109,K$2:K109,"Sparse"))</f>
        <v>SD23</v>
      </c>
      <c r="B109" s="28" t="str">
        <f>J109&amp;(COUNTIF(J$2:J109,J109))</f>
        <v>Hampshire4</v>
      </c>
      <c r="C109" s="31" t="s">
        <v>67</v>
      </c>
      <c r="D109" s="31" t="s">
        <v>67</v>
      </c>
      <c r="E109" s="32" t="s">
        <v>0</v>
      </c>
      <c r="F109" s="32" t="s">
        <v>383</v>
      </c>
      <c r="G109" s="32" t="s">
        <v>5</v>
      </c>
      <c r="H109" s="33" t="s">
        <v>897</v>
      </c>
      <c r="I109" s="34" t="s">
        <v>386</v>
      </c>
      <c r="J109" t="s">
        <v>314</v>
      </c>
      <c r="K109" s="44"/>
    </row>
    <row r="110" spans="1:11" ht="15">
      <c r="A110" s="28" t="str">
        <f>F110&amp;(COUNTIFS(F$2:F110,F110,K$2:K110,"Sparse"))</f>
        <v>SD24</v>
      </c>
      <c r="B110" s="28" t="str">
        <f>J110&amp;(COUNTIF(J$2:J110,J110))</f>
        <v>Cambridgeshire4</v>
      </c>
      <c r="C110" s="31" t="s">
        <v>68</v>
      </c>
      <c r="D110" s="31" t="s">
        <v>68</v>
      </c>
      <c r="E110" s="32" t="s">
        <v>371</v>
      </c>
      <c r="F110" s="32" t="s">
        <v>383</v>
      </c>
      <c r="G110" s="32" t="s">
        <v>5</v>
      </c>
      <c r="H110" s="33" t="s">
        <v>901</v>
      </c>
      <c r="I110" s="34" t="s">
        <v>384</v>
      </c>
      <c r="J110" t="s">
        <v>303</v>
      </c>
      <c r="K110" s="44" t="s">
        <v>336</v>
      </c>
    </row>
    <row r="111" spans="1:11" ht="15">
      <c r="A111" s="28" t="str">
        <f>F111&amp;(COUNTIFS(F$2:F111,F111,K$2:K111,"Sparse"))</f>
        <v>SD25</v>
      </c>
      <c r="B111" s="28" t="str">
        <f>J111&amp;(COUNTIF(J$2:J111,J111))</f>
        <v>Suffolk2</v>
      </c>
      <c r="C111" s="31" t="s">
        <v>69</v>
      </c>
      <c r="D111" s="31" t="s">
        <v>69</v>
      </c>
      <c r="E111" s="32" t="s">
        <v>371</v>
      </c>
      <c r="F111" s="32" t="s">
        <v>383</v>
      </c>
      <c r="G111" s="32" t="s">
        <v>5</v>
      </c>
      <c r="H111" s="33" t="s">
        <v>898</v>
      </c>
      <c r="I111" s="34" t="s">
        <v>384</v>
      </c>
      <c r="J111" t="s">
        <v>329</v>
      </c>
      <c r="K111" s="44" t="s">
        <v>336</v>
      </c>
    </row>
    <row r="112" spans="1:11" ht="15">
      <c r="A112" s="28" t="str">
        <f>F112&amp;(COUNTIFS(F$2:F112,F112,K$2:K112,"Sparse"))</f>
        <v>SD26</v>
      </c>
      <c r="B112" s="28" t="str">
        <f>J112&amp;(COUNTIF(J$2:J112,J112))</f>
        <v>Gloucestershire3</v>
      </c>
      <c r="C112" s="31" t="s">
        <v>70</v>
      </c>
      <c r="D112" s="31" t="s">
        <v>70</v>
      </c>
      <c r="E112" s="32" t="s">
        <v>1</v>
      </c>
      <c r="F112" s="32" t="s">
        <v>383</v>
      </c>
      <c r="G112" s="32" t="s">
        <v>5</v>
      </c>
      <c r="H112" s="33" t="s">
        <v>898</v>
      </c>
      <c r="I112" s="34" t="s">
        <v>384</v>
      </c>
      <c r="J112" t="s">
        <v>313</v>
      </c>
      <c r="K112" s="44" t="s">
        <v>336</v>
      </c>
    </row>
    <row r="113" spans="1:11" ht="15">
      <c r="A113" s="28" t="str">
        <f>F113&amp;(COUNTIFS(F$2:F113,F113,K$2:K113,"Sparse"))</f>
        <v>SD26</v>
      </c>
      <c r="B113" s="28" t="str">
        <f>J113&amp;(COUNTIF(J$2:J113,J113))</f>
        <v>Lancashire3</v>
      </c>
      <c r="C113" s="31" t="s">
        <v>71</v>
      </c>
      <c r="D113" s="31" t="s">
        <v>71</v>
      </c>
      <c r="E113" s="32" t="s">
        <v>378</v>
      </c>
      <c r="F113" s="32" t="s">
        <v>383</v>
      </c>
      <c r="G113" s="32" t="s">
        <v>5</v>
      </c>
      <c r="H113" s="35" t="s">
        <v>897</v>
      </c>
      <c r="I113" s="34" t="s">
        <v>386</v>
      </c>
      <c r="J113" t="s">
        <v>317</v>
      </c>
      <c r="K113" s="44"/>
    </row>
    <row r="114" spans="1:11" ht="15">
      <c r="A114" s="28" t="str">
        <f>F114&amp;(COUNTIFS(F$2:F114,F114,K$2:K114,"Sparse"))</f>
        <v>MD0</v>
      </c>
      <c r="B114" s="28" t="str">
        <f>J114&amp;(COUNTIF(J$2:J114,J114))</f>
        <v>Gateshead1</v>
      </c>
      <c r="C114" s="31" t="s">
        <v>232</v>
      </c>
      <c r="D114" s="31" t="s">
        <v>232</v>
      </c>
      <c r="E114" s="32" t="s">
        <v>392</v>
      </c>
      <c r="F114" s="32" t="s">
        <v>388</v>
      </c>
      <c r="G114" s="32" t="s">
        <v>399</v>
      </c>
      <c r="H114" s="33" t="s">
        <v>902</v>
      </c>
      <c r="I114" s="34" t="s">
        <v>386</v>
      </c>
      <c r="J114" t="str">
        <f>C114</f>
        <v>Gateshead</v>
      </c>
      <c r="K114" s="44"/>
    </row>
    <row r="115" spans="1:11" ht="15">
      <c r="A115" s="28" t="str">
        <f>F115&amp;(COUNTIFS(F$2:F115,F115,K$2:K115,"Sparse"))</f>
        <v>SD26</v>
      </c>
      <c r="B115" s="28" t="str">
        <f>J115&amp;(COUNTIF(J$2:J115,J115))</f>
        <v>Nottinghamshire4</v>
      </c>
      <c r="C115" s="31" t="s">
        <v>72</v>
      </c>
      <c r="D115" s="31" t="s">
        <v>72</v>
      </c>
      <c r="E115" s="32" t="s">
        <v>369</v>
      </c>
      <c r="F115" s="32" t="s">
        <v>383</v>
      </c>
      <c r="G115" s="32" t="s">
        <v>5</v>
      </c>
      <c r="H115" s="33" t="s">
        <v>899</v>
      </c>
      <c r="I115" s="34" t="s">
        <v>386</v>
      </c>
      <c r="J115" t="s">
        <v>324</v>
      </c>
      <c r="K115" s="44"/>
    </row>
    <row r="116" spans="1:11" ht="15">
      <c r="A116" s="28" t="str">
        <f>F116&amp;(COUNTIFS(F$2:F116,F116,K$2:K116,"Sparse"))</f>
        <v>SD26</v>
      </c>
      <c r="B116" s="28" t="str">
        <f>J116&amp;(COUNTIF(J$2:J116,J116))</f>
        <v>Gloucestershire4</v>
      </c>
      <c r="C116" s="31" t="s">
        <v>73</v>
      </c>
      <c r="D116" s="31" t="s">
        <v>73</v>
      </c>
      <c r="E116" s="32" t="s">
        <v>1</v>
      </c>
      <c r="F116" s="32" t="s">
        <v>383</v>
      </c>
      <c r="G116" s="32" t="s">
        <v>5</v>
      </c>
      <c r="H116" s="33" t="s">
        <v>897</v>
      </c>
      <c r="I116" s="34" t="s">
        <v>386</v>
      </c>
      <c r="J116" t="s">
        <v>313</v>
      </c>
      <c r="K116" s="44"/>
    </row>
    <row r="117" spans="1:11" ht="15">
      <c r="A117" s="28" t="str">
        <f>F117&amp;(COUNTIFS(F$2:F117,F117,K$2:K117,"Sparse"))</f>
        <v>SC4</v>
      </c>
      <c r="B117" s="28" t="str">
        <f>J117&amp;(COUNTIF(J$2:J117,J117))</f>
        <v>Gloucestershire5</v>
      </c>
      <c r="C117" s="34" t="s">
        <v>313</v>
      </c>
      <c r="D117" s="34" t="s">
        <v>313</v>
      </c>
      <c r="E117" s="32" t="s">
        <v>1</v>
      </c>
      <c r="F117" s="32" t="s">
        <v>391</v>
      </c>
      <c r="G117" s="32" t="s">
        <v>302</v>
      </c>
      <c r="H117" s="34" t="s">
        <v>373</v>
      </c>
      <c r="I117" s="34" t="s">
        <v>373</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383</v>
      </c>
      <c r="G118" s="32" t="s">
        <v>5</v>
      </c>
      <c r="H118" s="33" t="s">
        <v>897</v>
      </c>
      <c r="I118" s="34" t="s">
        <v>386</v>
      </c>
      <c r="J118" t="s">
        <v>314</v>
      </c>
      <c r="K118" s="44"/>
    </row>
    <row r="119" spans="1:11" ht="15">
      <c r="A119" s="28" t="str">
        <f>F119&amp;(COUNTIFS(F$2:F119,F119,K$2:K119,"Sparse"))</f>
        <v>SD26</v>
      </c>
      <c r="B119" s="28" t="str">
        <f>J119&amp;(COUNTIF(J$2:J119,J119))</f>
        <v>Kent5</v>
      </c>
      <c r="C119" s="31" t="s">
        <v>75</v>
      </c>
      <c r="D119" s="31" t="s">
        <v>75</v>
      </c>
      <c r="E119" s="32" t="s">
        <v>0</v>
      </c>
      <c r="F119" s="32" t="s">
        <v>383</v>
      </c>
      <c r="G119" s="32" t="s">
        <v>5</v>
      </c>
      <c r="H119" s="33" t="s">
        <v>902</v>
      </c>
      <c r="I119" s="34" t="s">
        <v>386</v>
      </c>
      <c r="J119" t="s">
        <v>316</v>
      </c>
      <c r="K119" s="44"/>
    </row>
    <row r="120" spans="1:11" ht="15">
      <c r="A120" s="28" t="str">
        <f>F120&amp;(COUNTIFS(F$2:F120,F120,K$2:K120,"Sparse"))</f>
        <v>SD26</v>
      </c>
      <c r="B120" s="28" t="str">
        <f>J120&amp;(COUNTIF(J$2:J120,J120))</f>
        <v>Norfolk3</v>
      </c>
      <c r="C120" s="31" t="s">
        <v>76</v>
      </c>
      <c r="D120" s="31" t="s">
        <v>76</v>
      </c>
      <c r="E120" s="32" t="s">
        <v>371</v>
      </c>
      <c r="F120" s="32" t="s">
        <v>383</v>
      </c>
      <c r="G120" s="32" t="s">
        <v>5</v>
      </c>
      <c r="H120" s="35" t="s">
        <v>900</v>
      </c>
      <c r="I120" s="34" t="s">
        <v>373</v>
      </c>
      <c r="J120" t="s">
        <v>320</v>
      </c>
      <c r="K120" s="44"/>
    </row>
    <row r="121" spans="1:11" ht="15">
      <c r="A121" s="28" t="str">
        <f>F121&amp;(COUNTIFS(F$2:F121,F121,K$2:K121,"Sparse"))</f>
        <v>L0</v>
      </c>
      <c r="B121" s="28" t="str">
        <f>J121&amp;(COUNTIF(J$2:J121,J121))</f>
        <v>London11</v>
      </c>
      <c r="C121" s="31" t="s">
        <v>205</v>
      </c>
      <c r="D121" s="31" t="s">
        <v>205</v>
      </c>
      <c r="E121" s="32" t="s">
        <v>385</v>
      </c>
      <c r="F121" s="32" t="s">
        <v>360</v>
      </c>
      <c r="G121" s="32" t="s">
        <v>385</v>
      </c>
      <c r="H121" s="33" t="s">
        <v>902</v>
      </c>
      <c r="I121" s="34" t="s">
        <v>386</v>
      </c>
      <c r="J121" t="str">
        <f>G121</f>
        <v>London</v>
      </c>
      <c r="K121" s="44"/>
    </row>
    <row r="122" spans="1:11" ht="15">
      <c r="A122" s="28" t="str">
        <f>F122&amp;(COUNTIFS(F$2:F122,F122,K$2:K122,"Sparse"))</f>
        <v>SD26</v>
      </c>
      <c r="B122" s="28" t="str">
        <f>J122&amp;(COUNTIF(J$2:J122,J122))</f>
        <v>Surrey3</v>
      </c>
      <c r="C122" s="31" t="s">
        <v>77</v>
      </c>
      <c r="D122" s="31" t="s">
        <v>77</v>
      </c>
      <c r="E122" s="32" t="s">
        <v>0</v>
      </c>
      <c r="F122" s="32" t="s">
        <v>383</v>
      </c>
      <c r="G122" s="32" t="s">
        <v>5</v>
      </c>
      <c r="H122" s="35" t="s">
        <v>897</v>
      </c>
      <c r="I122" s="34" t="s">
        <v>386</v>
      </c>
      <c r="J122" t="s">
        <v>330</v>
      </c>
      <c r="K122" s="44"/>
    </row>
    <row r="123" spans="1:11" ht="15">
      <c r="A123" s="28" t="str">
        <f>F123&amp;(COUNTIFS(F$2:F123,F123,K$2:K123,"Sparse"))</f>
        <v>L0</v>
      </c>
      <c r="B123" s="28" t="str">
        <f>J123&amp;(COUNTIF(J$2:J123,J123))</f>
        <v>London12</v>
      </c>
      <c r="C123" s="31" t="s">
        <v>206</v>
      </c>
      <c r="D123" s="31" t="s">
        <v>206</v>
      </c>
      <c r="E123" s="32" t="s">
        <v>385</v>
      </c>
      <c r="F123" s="32" t="s">
        <v>360</v>
      </c>
      <c r="G123" s="32" t="s">
        <v>385</v>
      </c>
      <c r="H123" s="33" t="s">
        <v>902</v>
      </c>
      <c r="I123" s="34" t="s">
        <v>386</v>
      </c>
      <c r="J123" t="str">
        <f>G123</f>
        <v>London</v>
      </c>
      <c r="K123" s="44"/>
    </row>
    <row r="124" spans="1:11" ht="15">
      <c r="A124" s="28" t="str">
        <f>F124&amp;(COUNTIFS(F$2:F124,F124,K$2:K124,"Sparse"))</f>
        <v>UA6</v>
      </c>
      <c r="B124" s="28" t="str">
        <f>J124&amp;(COUNTIF(J$2:J124,J124))</f>
        <v>Unitary17</v>
      </c>
      <c r="C124" s="31" t="s">
        <v>269</v>
      </c>
      <c r="D124" s="31" t="s">
        <v>269</v>
      </c>
      <c r="E124" s="32" t="s">
        <v>378</v>
      </c>
      <c r="F124" s="32" t="s">
        <v>389</v>
      </c>
      <c r="G124" s="32" t="s">
        <v>398</v>
      </c>
      <c r="H124" s="33" t="s">
        <v>897</v>
      </c>
      <c r="I124" s="34" t="s">
        <v>386</v>
      </c>
      <c r="J124" s="45" t="s">
        <v>398</v>
      </c>
      <c r="K124" s="44"/>
    </row>
    <row r="125" spans="1:11" ht="15">
      <c r="A125" s="28" t="str">
        <f>F125&amp;(COUNTIFS(F$2:F125,F125,K$2:K125,"Sparse"))</f>
        <v>SD27</v>
      </c>
      <c r="B125" s="28" t="str">
        <f>J125&amp;(COUNTIF(J$2:J125,J125))</f>
        <v>North Yorkshire2</v>
      </c>
      <c r="C125" s="31" t="s">
        <v>78</v>
      </c>
      <c r="D125" s="31" t="s">
        <v>78</v>
      </c>
      <c r="E125" s="32" t="s">
        <v>387</v>
      </c>
      <c r="F125" s="32" t="s">
        <v>383</v>
      </c>
      <c r="G125" s="32" t="s">
        <v>5</v>
      </c>
      <c r="H125" s="33" t="s">
        <v>898</v>
      </c>
      <c r="I125" s="34" t="s">
        <v>384</v>
      </c>
      <c r="J125" t="s">
        <v>321</v>
      </c>
      <c r="K125" s="44" t="s">
        <v>336</v>
      </c>
    </row>
    <row r="126" spans="1:11" ht="15">
      <c r="A126" s="28" t="str">
        <f>F126&amp;(COUNTIFS(F$2:F126,F126,K$2:K126,"Sparse"))</f>
        <v>L0</v>
      </c>
      <c r="B126" s="28" t="str">
        <f>J126&amp;(COUNTIF(J$2:J126,J126))</f>
        <v>London13</v>
      </c>
      <c r="C126" s="31" t="s">
        <v>337</v>
      </c>
      <c r="D126" s="31" t="s">
        <v>337</v>
      </c>
      <c r="E126" s="32" t="s">
        <v>385</v>
      </c>
      <c r="F126" s="32" t="s">
        <v>360</v>
      </c>
      <c r="G126" s="32" t="s">
        <v>385</v>
      </c>
      <c r="H126" s="33" t="s">
        <v>902</v>
      </c>
      <c r="I126" s="34" t="s">
        <v>386</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391</v>
      </c>
      <c r="G127" s="32" t="s">
        <v>302</v>
      </c>
      <c r="H127" s="34" t="s">
        <v>373</v>
      </c>
      <c r="I127" s="34" t="s">
        <v>373</v>
      </c>
      <c r="J127" t="str">
        <f>C127</f>
        <v>Hampshire</v>
      </c>
      <c r="K127" s="44" t="s">
        <v>336</v>
      </c>
    </row>
    <row r="128" spans="1:11" ht="15">
      <c r="A128" s="28" t="str">
        <f>F128&amp;(COUNTIFS(F$2:F128,F128,K$2:K128,"Sparse"))</f>
        <v>SD28</v>
      </c>
      <c r="B128" s="28" t="str">
        <f>J128&amp;(COUNTIF(J$2:J128,J128))</f>
        <v>Leicestershire3</v>
      </c>
      <c r="C128" s="31" t="s">
        <v>79</v>
      </c>
      <c r="D128" s="31" t="s">
        <v>79</v>
      </c>
      <c r="E128" s="32" t="s">
        <v>369</v>
      </c>
      <c r="F128" s="32" t="s">
        <v>383</v>
      </c>
      <c r="G128" s="32" t="s">
        <v>5</v>
      </c>
      <c r="H128" s="33" t="s">
        <v>898</v>
      </c>
      <c r="I128" s="34" t="s">
        <v>384</v>
      </c>
      <c r="J128" t="s">
        <v>318</v>
      </c>
      <c r="K128" s="44" t="s">
        <v>336</v>
      </c>
    </row>
    <row r="129" spans="1:11" ht="15">
      <c r="A129" s="28" t="str">
        <f>F129&amp;(COUNTIFS(F$2:F129,F129,K$2:K129,"Sparse"))</f>
        <v>L0</v>
      </c>
      <c r="B129" s="28" t="str">
        <f>J129&amp;(COUNTIF(J$2:J129,J129))</f>
        <v>London14</v>
      </c>
      <c r="C129" s="31" t="s">
        <v>207</v>
      </c>
      <c r="D129" s="31" t="s">
        <v>207</v>
      </c>
      <c r="E129" s="32" t="s">
        <v>385</v>
      </c>
      <c r="F129" s="32" t="s">
        <v>360</v>
      </c>
      <c r="G129" s="32" t="s">
        <v>385</v>
      </c>
      <c r="H129" s="33" t="s">
        <v>902</v>
      </c>
      <c r="I129" s="34" t="s">
        <v>386</v>
      </c>
      <c r="J129" t="str">
        <f>G129</f>
        <v>London</v>
      </c>
      <c r="K129" s="44"/>
    </row>
    <row r="130" spans="1:11" ht="15">
      <c r="A130" s="28" t="str">
        <f>F130&amp;(COUNTIFS(F$2:F130,F130,K$2:K130,"Sparse"))</f>
        <v>SD28</v>
      </c>
      <c r="B130" s="28" t="str">
        <f>J130&amp;(COUNTIF(J$2:J130,J130))</f>
        <v>Essex9</v>
      </c>
      <c r="C130" s="31" t="s">
        <v>80</v>
      </c>
      <c r="D130" s="31" t="s">
        <v>80</v>
      </c>
      <c r="E130" s="32" t="s">
        <v>371</v>
      </c>
      <c r="F130" s="32" t="s">
        <v>383</v>
      </c>
      <c r="G130" s="32" t="s">
        <v>5</v>
      </c>
      <c r="H130" s="33" t="s">
        <v>897</v>
      </c>
      <c r="I130" s="34" t="s">
        <v>386</v>
      </c>
      <c r="J130" t="s">
        <v>312</v>
      </c>
      <c r="K130" s="44"/>
    </row>
    <row r="131" spans="1:11" ht="15">
      <c r="A131" s="28" t="str">
        <f>F131&amp;(COUNTIFS(F$2:F131,F131,K$2:K131,"Sparse"))</f>
        <v>SD29</v>
      </c>
      <c r="B131" s="28" t="str">
        <f>J131&amp;(COUNTIF(J$2:J131,J131))</f>
        <v>North Yorkshire3</v>
      </c>
      <c r="C131" s="31" t="s">
        <v>81</v>
      </c>
      <c r="D131" s="31" t="s">
        <v>81</v>
      </c>
      <c r="E131" s="32" t="s">
        <v>387</v>
      </c>
      <c r="F131" s="32" t="s">
        <v>383</v>
      </c>
      <c r="G131" s="32" t="s">
        <v>5</v>
      </c>
      <c r="H131" s="35" t="s">
        <v>900</v>
      </c>
      <c r="I131" s="34" t="s">
        <v>373</v>
      </c>
      <c r="J131" t="s">
        <v>321</v>
      </c>
      <c r="K131" s="44" t="s">
        <v>336</v>
      </c>
    </row>
    <row r="132" spans="1:11" ht="15">
      <c r="A132" s="28" t="str">
        <f>F132&amp;(COUNTIFS(F$2:F132,F132,K$2:K132,"Sparse"))</f>
        <v>L0</v>
      </c>
      <c r="B132" s="28" t="str">
        <f>J132&amp;(COUNTIF(J$2:J132,J132))</f>
        <v>London15</v>
      </c>
      <c r="C132" s="31" t="s">
        <v>208</v>
      </c>
      <c r="D132" s="31" t="s">
        <v>208</v>
      </c>
      <c r="E132" s="32" t="s">
        <v>385</v>
      </c>
      <c r="F132" s="32" t="s">
        <v>360</v>
      </c>
      <c r="G132" s="32" t="s">
        <v>385</v>
      </c>
      <c r="H132" s="33" t="s">
        <v>902</v>
      </c>
      <c r="I132" s="34" t="s">
        <v>386</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383</v>
      </c>
      <c r="G133" s="32" t="s">
        <v>5</v>
      </c>
      <c r="H133" s="35" t="s">
        <v>900</v>
      </c>
      <c r="I133" s="34" t="s">
        <v>373</v>
      </c>
      <c r="J133" t="s">
        <v>314</v>
      </c>
      <c r="K133" s="44"/>
    </row>
    <row r="134" spans="1:11" ht="15">
      <c r="A134" s="28" t="str">
        <f>F134&amp;(COUNTIFS(F$2:F134,F134,K$2:K134,"Sparse"))</f>
        <v>UA6</v>
      </c>
      <c r="B134" s="28" t="str">
        <f>J134&amp;(COUNTIF(J$2:J134,J134))</f>
        <v>Unitary18</v>
      </c>
      <c r="C134" s="31" t="s">
        <v>270</v>
      </c>
      <c r="D134" s="31" t="s">
        <v>270</v>
      </c>
      <c r="E134" s="32" t="s">
        <v>392</v>
      </c>
      <c r="F134" s="32" t="s">
        <v>389</v>
      </c>
      <c r="G134" s="32" t="s">
        <v>398</v>
      </c>
      <c r="H134" s="33" t="s">
        <v>897</v>
      </c>
      <c r="I134" s="34" t="s">
        <v>386</v>
      </c>
      <c r="J134" s="45" t="s">
        <v>398</v>
      </c>
      <c r="K134" s="44"/>
    </row>
    <row r="135" spans="1:11" ht="15">
      <c r="A135" s="28" t="str">
        <f>F135&amp;(COUNTIFS(F$2:F135,F135,K$2:K135,"Sparse"))</f>
        <v>SD29</v>
      </c>
      <c r="B135" s="28" t="str">
        <f>J135&amp;(COUNTIF(J$2:J135,J135))</f>
        <v>East Sussex3</v>
      </c>
      <c r="C135" s="31" t="s">
        <v>83</v>
      </c>
      <c r="D135" s="31" t="s">
        <v>83</v>
      </c>
      <c r="E135" s="32" t="s">
        <v>0</v>
      </c>
      <c r="F135" s="32" t="s">
        <v>383</v>
      </c>
      <c r="G135" s="32" t="s">
        <v>5</v>
      </c>
      <c r="H135" s="33" t="s">
        <v>897</v>
      </c>
      <c r="I135" s="34" t="s">
        <v>386</v>
      </c>
      <c r="J135" t="s">
        <v>311</v>
      </c>
      <c r="K135" s="44"/>
    </row>
    <row r="136" spans="1:11" ht="15">
      <c r="A136" s="28" t="str">
        <f>F136&amp;(COUNTIFS(F$2:F136,F136,K$2:K136,"Sparse"))</f>
        <v>SD29</v>
      </c>
      <c r="B136" s="28" t="str">
        <f>J136&amp;(COUNTIF(J$2:J136,J136))</f>
        <v>Hampshire8</v>
      </c>
      <c r="C136" s="31" t="s">
        <v>84</v>
      </c>
      <c r="D136" s="31" t="s">
        <v>84</v>
      </c>
      <c r="E136" s="32" t="s">
        <v>0</v>
      </c>
      <c r="F136" s="32" t="s">
        <v>383</v>
      </c>
      <c r="G136" s="32" t="s">
        <v>5</v>
      </c>
      <c r="H136" s="33" t="s">
        <v>897</v>
      </c>
      <c r="I136" s="34" t="s">
        <v>386</v>
      </c>
      <c r="J136" t="s">
        <v>314</v>
      </c>
      <c r="K136" s="44"/>
    </row>
    <row r="137" spans="1:11" ht="15">
      <c r="A137" s="28" t="str">
        <f>F137&amp;(COUNTIFS(F$2:F137,F137,K$2:K137,"Sparse"))</f>
        <v>L0</v>
      </c>
      <c r="B137" s="28" t="str">
        <f>J137&amp;(COUNTIF(J$2:J137,J137))</f>
        <v>London16</v>
      </c>
      <c r="C137" s="31" t="s">
        <v>209</v>
      </c>
      <c r="D137" s="31" t="s">
        <v>209</v>
      </c>
      <c r="E137" s="32" t="s">
        <v>385</v>
      </c>
      <c r="F137" s="32" t="s">
        <v>360</v>
      </c>
      <c r="G137" s="32" t="s">
        <v>385</v>
      </c>
      <c r="H137" s="33" t="s">
        <v>902</v>
      </c>
      <c r="I137" s="34" t="s">
        <v>386</v>
      </c>
      <c r="J137" t="str">
        <f>G137</f>
        <v>London</v>
      </c>
      <c r="K137" s="44"/>
    </row>
    <row r="138" spans="1:11" ht="15">
      <c r="A138" s="28" t="str">
        <f>F138&amp;(COUNTIFS(F$2:F138,F138,K$2:K138,"Sparse"))</f>
        <v>UA7</v>
      </c>
      <c r="B138" s="28" t="str">
        <f>J138&amp;(COUNTIF(J$2:J138,J138))</f>
        <v>Unitary19</v>
      </c>
      <c r="C138" s="31" t="s">
        <v>821</v>
      </c>
      <c r="D138" s="31" t="s">
        <v>393</v>
      </c>
      <c r="E138" s="32" t="s">
        <v>370</v>
      </c>
      <c r="F138" s="32" t="s">
        <v>389</v>
      </c>
      <c r="G138" s="32" t="s">
        <v>398</v>
      </c>
      <c r="H138" s="33" t="s">
        <v>901</v>
      </c>
      <c r="I138" s="34" t="s">
        <v>384</v>
      </c>
      <c r="J138" s="45" t="s">
        <v>398</v>
      </c>
      <c r="K138" s="44" t="s">
        <v>336</v>
      </c>
    </row>
    <row r="139" spans="1:11" ht="15">
      <c r="A139" s="28" t="str">
        <f>F139&amp;(COUNTIFS(F$2:F139,F139,K$2:K139,"Sparse"))</f>
        <v>SC5</v>
      </c>
      <c r="B139" s="28" t="str">
        <f>J139&amp;(COUNTIF(J$2:J139,J139))</f>
        <v>Hertfordshire4</v>
      </c>
      <c r="C139" s="34" t="s">
        <v>315</v>
      </c>
      <c r="D139" s="34" t="s">
        <v>315</v>
      </c>
      <c r="E139" s="32" t="s">
        <v>371</v>
      </c>
      <c r="F139" s="32" t="s">
        <v>391</v>
      </c>
      <c r="G139" s="32" t="s">
        <v>302</v>
      </c>
      <c r="H139" s="34" t="s">
        <v>386</v>
      </c>
      <c r="I139" s="34" t="s">
        <v>386</v>
      </c>
      <c r="J139" t="str">
        <f>C139</f>
        <v>Hertfordshire</v>
      </c>
      <c r="K139" s="44"/>
    </row>
    <row r="140" spans="1:11" ht="15">
      <c r="A140" s="28" t="str">
        <f>F140&amp;(COUNTIFS(F$2:F140,F140,K$2:K140,"Sparse"))</f>
        <v>SD29</v>
      </c>
      <c r="B140" s="28" t="str">
        <f>J140&amp;(COUNTIF(J$2:J140,J140))</f>
        <v>Hertfordshire5</v>
      </c>
      <c r="C140" s="31" t="s">
        <v>85</v>
      </c>
      <c r="D140" s="31" t="s">
        <v>85</v>
      </c>
      <c r="E140" s="32" t="s">
        <v>371</v>
      </c>
      <c r="F140" s="32" t="s">
        <v>383</v>
      </c>
      <c r="G140" s="32" t="s">
        <v>5</v>
      </c>
      <c r="H140" s="35" t="s">
        <v>902</v>
      </c>
      <c r="I140" s="34" t="s">
        <v>386</v>
      </c>
      <c r="J140" t="s">
        <v>315</v>
      </c>
      <c r="K140" s="44"/>
    </row>
    <row r="141" spans="1:11" ht="15">
      <c r="A141" s="28" t="str">
        <f>F141&amp;(COUNTIFS(F$2:F141,F141,K$2:K141,"Sparse"))</f>
        <v>SD29</v>
      </c>
      <c r="B141" s="28" t="str">
        <f>J141&amp;(COUNTIF(J$2:J141,J141))</f>
        <v>Derbyshire7</v>
      </c>
      <c r="C141" s="31" t="s">
        <v>86</v>
      </c>
      <c r="D141" s="31" t="s">
        <v>86</v>
      </c>
      <c r="E141" s="32" t="s">
        <v>369</v>
      </c>
      <c r="F141" s="32" t="s">
        <v>383</v>
      </c>
      <c r="G141" s="32" t="s">
        <v>5</v>
      </c>
      <c r="H141" s="33" t="s">
        <v>901</v>
      </c>
      <c r="I141" s="34" t="s">
        <v>384</v>
      </c>
      <c r="J141" t="s">
        <v>308</v>
      </c>
      <c r="K141" s="44"/>
    </row>
    <row r="142" spans="1:11" ht="15">
      <c r="A142" s="28" t="str">
        <f>F142&amp;(COUNTIFS(F$2:F142,F142,K$2:K142,"Sparse"))</f>
        <v>L0</v>
      </c>
      <c r="B142" s="28" t="str">
        <f>J142&amp;(COUNTIF(J$2:J142,J142))</f>
        <v>London17</v>
      </c>
      <c r="C142" s="31" t="s">
        <v>210</v>
      </c>
      <c r="D142" s="31" t="s">
        <v>210</v>
      </c>
      <c r="E142" s="32" t="s">
        <v>385</v>
      </c>
      <c r="F142" s="32" t="s">
        <v>360</v>
      </c>
      <c r="G142" s="32" t="s">
        <v>385</v>
      </c>
      <c r="H142" s="33" t="s">
        <v>902</v>
      </c>
      <c r="I142" s="34" t="s">
        <v>386</v>
      </c>
      <c r="J142" t="str">
        <f>G142</f>
        <v>London</v>
      </c>
      <c r="K142" s="44"/>
    </row>
    <row r="143" spans="1:11" ht="15">
      <c r="A143" s="28" t="str">
        <f>F143&amp;(COUNTIFS(F$2:F143,F143,K$2:K143,"Sparse"))</f>
        <v>SD30</v>
      </c>
      <c r="B143" s="28" t="str">
        <f>J143&amp;(COUNTIF(J$2:J143,J143))</f>
        <v>Leicestershire4</v>
      </c>
      <c r="C143" s="31" t="s">
        <v>346</v>
      </c>
      <c r="D143" s="31" t="s">
        <v>346</v>
      </c>
      <c r="E143" s="32" t="s">
        <v>369</v>
      </c>
      <c r="F143" s="32" t="s">
        <v>383</v>
      </c>
      <c r="G143" s="32" t="s">
        <v>5</v>
      </c>
      <c r="H143" s="35" t="s">
        <v>901</v>
      </c>
      <c r="I143" s="34" t="s">
        <v>384</v>
      </c>
      <c r="J143" t="s">
        <v>318</v>
      </c>
      <c r="K143" s="44" t="s">
        <v>336</v>
      </c>
    </row>
    <row r="144" spans="1:11" ht="15">
      <c r="A144" s="28" t="str">
        <f>F144&amp;(COUNTIFS(F$2:F144,F144,K$2:K144,"Sparse"))</f>
        <v>SD31</v>
      </c>
      <c r="B144" s="28" t="str">
        <f>J144&amp;(COUNTIF(J$2:J144,J144))</f>
        <v>West Sussex5</v>
      </c>
      <c r="C144" s="31" t="s">
        <v>87</v>
      </c>
      <c r="D144" s="31" t="s">
        <v>87</v>
      </c>
      <c r="E144" s="32" t="s">
        <v>0</v>
      </c>
      <c r="F144" s="32" t="s">
        <v>383</v>
      </c>
      <c r="G144" s="32" t="s">
        <v>5</v>
      </c>
      <c r="H144" s="33" t="s">
        <v>901</v>
      </c>
      <c r="I144" s="34" t="s">
        <v>384</v>
      </c>
      <c r="J144" t="s">
        <v>332</v>
      </c>
      <c r="K144" s="44" t="s">
        <v>336</v>
      </c>
    </row>
    <row r="145" spans="1:11" ht="15">
      <c r="A145" s="28" t="str">
        <f>F145&amp;(COUNTIFS(F$2:F145,F145,K$2:K145,"Sparse"))</f>
        <v>L0</v>
      </c>
      <c r="B145" s="28" t="str">
        <f>J145&amp;(COUNTIF(J$2:J145,J145))</f>
        <v>London18</v>
      </c>
      <c r="C145" s="31" t="s">
        <v>211</v>
      </c>
      <c r="D145" s="31" t="s">
        <v>211</v>
      </c>
      <c r="E145" s="32" t="s">
        <v>385</v>
      </c>
      <c r="F145" s="32" t="s">
        <v>360</v>
      </c>
      <c r="G145" s="32" t="s">
        <v>385</v>
      </c>
      <c r="H145" s="33" t="s">
        <v>902</v>
      </c>
      <c r="I145" s="34" t="s">
        <v>386</v>
      </c>
      <c r="J145" t="str">
        <f>G145</f>
        <v>London</v>
      </c>
      <c r="K145" s="44"/>
    </row>
    <row r="146" spans="1:11" ht="15">
      <c r="A146" s="28" t="str">
        <f>F146&amp;(COUNTIFS(F$2:F146,F146,K$2:K146,"Sparse"))</f>
        <v>SD32</v>
      </c>
      <c r="B146" s="28" t="str">
        <f>J146&amp;(COUNTIF(J$2:J146,J146))</f>
        <v>Cambridgeshire5</v>
      </c>
      <c r="C146" s="31" t="s">
        <v>88</v>
      </c>
      <c r="D146" s="31" t="s">
        <v>88</v>
      </c>
      <c r="E146" s="32" t="s">
        <v>371</v>
      </c>
      <c r="F146" s="32" t="s">
        <v>383</v>
      </c>
      <c r="G146" s="32" t="s">
        <v>5</v>
      </c>
      <c r="H146" s="33" t="s">
        <v>898</v>
      </c>
      <c r="I146" s="34" t="s">
        <v>384</v>
      </c>
      <c r="J146" t="s">
        <v>303</v>
      </c>
      <c r="K146" s="44" t="s">
        <v>336</v>
      </c>
    </row>
    <row r="147" spans="1:11" ht="15">
      <c r="A147" s="28" t="str">
        <f>F147&amp;(COUNTIFS(F$2:F147,F147,K$2:K147,"Sparse"))</f>
        <v>SD32</v>
      </c>
      <c r="B147" s="28" t="str">
        <f>J147&amp;(COUNTIF(J$2:J147,J147))</f>
        <v>Lancashire4</v>
      </c>
      <c r="C147" s="31" t="s">
        <v>89</v>
      </c>
      <c r="D147" s="31" t="s">
        <v>89</v>
      </c>
      <c r="E147" s="32" t="s">
        <v>378</v>
      </c>
      <c r="F147" s="32" t="s">
        <v>383</v>
      </c>
      <c r="G147" s="32" t="s">
        <v>5</v>
      </c>
      <c r="H147" s="33" t="s">
        <v>897</v>
      </c>
      <c r="I147" s="34" t="s">
        <v>386</v>
      </c>
      <c r="J147" t="s">
        <v>317</v>
      </c>
      <c r="K147" s="44"/>
    </row>
    <row r="148" spans="1:11" ht="15">
      <c r="A148" s="28" t="str">
        <f>F148&amp;(COUNTIFS(F$2:F148,F148,K$2:K148,"Sparse"))</f>
        <v>SD32</v>
      </c>
      <c r="B148" s="28" t="str">
        <f>J148&amp;(COUNTIF(J$2:J148,J148))</f>
        <v>Suffolk3</v>
      </c>
      <c r="C148" s="31" t="s">
        <v>90</v>
      </c>
      <c r="D148" s="31" t="s">
        <v>90</v>
      </c>
      <c r="E148" s="32" t="s">
        <v>371</v>
      </c>
      <c r="F148" s="32" t="s">
        <v>383</v>
      </c>
      <c r="G148" s="32" t="s">
        <v>5</v>
      </c>
      <c r="H148" s="33" t="s">
        <v>897</v>
      </c>
      <c r="I148" s="34" t="s">
        <v>386</v>
      </c>
      <c r="J148" t="s">
        <v>329</v>
      </c>
      <c r="K148" s="44"/>
    </row>
    <row r="149" spans="1:11" ht="15">
      <c r="A149" s="28" t="str">
        <f>F149&amp;(COUNTIFS(F$2:F149,F149,K$2:K149,"Sparse"))</f>
        <v>UA8</v>
      </c>
      <c r="B149" s="28" t="str">
        <f>J149&amp;(COUNTIF(J$2:J149,J149))</f>
        <v>Unitary20</v>
      </c>
      <c r="C149" s="31" t="s">
        <v>271</v>
      </c>
      <c r="D149" s="31" t="s">
        <v>271</v>
      </c>
      <c r="E149" s="32" t="s">
        <v>0</v>
      </c>
      <c r="F149" s="32" t="s">
        <v>389</v>
      </c>
      <c r="G149" s="32" t="s">
        <v>398</v>
      </c>
      <c r="H149" s="33" t="s">
        <v>898</v>
      </c>
      <c r="I149" s="34" t="s">
        <v>384</v>
      </c>
      <c r="J149" s="45" t="s">
        <v>398</v>
      </c>
      <c r="K149" s="44" t="s">
        <v>336</v>
      </c>
    </row>
    <row r="150" spans="1:11" ht="15">
      <c r="A150" s="28" t="str">
        <f>F150&amp;(COUNTIFS(F$2:F150,F150,K$2:K150,"Sparse"))</f>
        <v>01</v>
      </c>
      <c r="B150" s="28" t="str">
        <f>J150&amp;(COUNTIF(J$2:J150,J150))</f>
        <v>0</v>
      </c>
      <c r="C150" s="31" t="s">
        <v>2</v>
      </c>
      <c r="D150" s="31" t="s">
        <v>2</v>
      </c>
      <c r="E150" s="32" t="s">
        <v>1</v>
      </c>
      <c r="F150" s="32">
        <v>0</v>
      </c>
      <c r="G150" s="45" t="s">
        <v>402</v>
      </c>
      <c r="H150" s="33" t="s">
        <v>898</v>
      </c>
      <c r="I150" s="34" t="s">
        <v>384</v>
      </c>
      <c r="K150" s="44" t="s">
        <v>336</v>
      </c>
    </row>
    <row r="151" spans="1:11" ht="15">
      <c r="A151" s="28" t="str">
        <f>F151&amp;(COUNTIFS(F$2:F151,F151,K$2:K151,"Sparse"))</f>
        <v>L0</v>
      </c>
      <c r="B151" s="28" t="str">
        <f>J151&amp;(COUNTIF(J$2:J151,J151))</f>
        <v>London19</v>
      </c>
      <c r="C151" s="31" t="s">
        <v>212</v>
      </c>
      <c r="D151" s="31" t="s">
        <v>212</v>
      </c>
      <c r="E151" s="32" t="s">
        <v>385</v>
      </c>
      <c r="F151" s="32" t="s">
        <v>360</v>
      </c>
      <c r="G151" s="32" t="s">
        <v>385</v>
      </c>
      <c r="H151" s="33" t="s">
        <v>902</v>
      </c>
      <c r="I151" s="34" t="s">
        <v>386</v>
      </c>
      <c r="J151" t="str">
        <f>G151</f>
        <v>London</v>
      </c>
      <c r="K151" s="44"/>
    </row>
    <row r="152" spans="1:11" ht="15">
      <c r="A152" s="28" t="str">
        <f>F152&amp;(COUNTIFS(F$2:F152,F152,K$2:K152,"Sparse"))</f>
        <v>L0</v>
      </c>
      <c r="B152" s="28" t="str">
        <f>J152&amp;(COUNTIF(J$2:J152,J152))</f>
        <v>London20</v>
      </c>
      <c r="C152" s="31" t="s">
        <v>338</v>
      </c>
      <c r="D152" s="31" t="s">
        <v>338</v>
      </c>
      <c r="E152" s="32" t="s">
        <v>385</v>
      </c>
      <c r="F152" s="32" t="s">
        <v>360</v>
      </c>
      <c r="G152" s="32" t="s">
        <v>385</v>
      </c>
      <c r="H152" s="33" t="s">
        <v>902</v>
      </c>
      <c r="I152" s="34" t="s">
        <v>386</v>
      </c>
      <c r="J152" t="str">
        <f>G152</f>
        <v>London</v>
      </c>
      <c r="K152" s="44"/>
    </row>
    <row r="153" spans="1:11" ht="15">
      <c r="A153" s="28" t="str">
        <f>F153&amp;(COUNTIFS(F$2:F153,F153,K$2:K153,"Sparse"))</f>
        <v>SC5</v>
      </c>
      <c r="B153" s="28" t="str">
        <f>J153&amp;(COUNTIF(J$2:J153,J153))</f>
        <v>Kent6</v>
      </c>
      <c r="C153" s="34" t="s">
        <v>316</v>
      </c>
      <c r="D153" s="34" t="s">
        <v>316</v>
      </c>
      <c r="E153" s="32" t="s">
        <v>371</v>
      </c>
      <c r="F153" s="32" t="s">
        <v>391</v>
      </c>
      <c r="G153" s="32" t="s">
        <v>302</v>
      </c>
      <c r="H153" s="34" t="s">
        <v>373</v>
      </c>
      <c r="I153" s="34" t="s">
        <v>373</v>
      </c>
      <c r="J153" t="str">
        <f>C153</f>
        <v>Kent</v>
      </c>
      <c r="K153" s="44"/>
    </row>
    <row r="154" spans="1:11" ht="15">
      <c r="A154" s="28" t="str">
        <f>F154&amp;(COUNTIFS(F$2:F154,F154,K$2:K154,"Sparse"))</f>
        <v>SD32</v>
      </c>
      <c r="B154" s="28" t="str">
        <f>J154&amp;(COUNTIF(J$2:J154,J154))</f>
        <v>Northamptonshire4</v>
      </c>
      <c r="C154" s="31" t="s">
        <v>91</v>
      </c>
      <c r="D154" s="31" t="s">
        <v>91</v>
      </c>
      <c r="E154" s="32" t="s">
        <v>369</v>
      </c>
      <c r="F154" s="32" t="s">
        <v>383</v>
      </c>
      <c r="G154" s="32" t="s">
        <v>5</v>
      </c>
      <c r="H154" s="35" t="s">
        <v>897</v>
      </c>
      <c r="I154" s="34" t="s">
        <v>386</v>
      </c>
      <c r="J154" t="s">
        <v>322</v>
      </c>
      <c r="K154" s="44"/>
    </row>
    <row r="155" spans="1:11" ht="15">
      <c r="A155" s="28" t="str">
        <f>F155&amp;(COUNTIFS(F$2:F155,F155,K$2:K155,"Sparse"))</f>
        <v>SD33</v>
      </c>
      <c r="B155" s="28" t="str">
        <f>J155&amp;(COUNTIF(J$2:J155,J155))</f>
        <v>Norfolk4</v>
      </c>
      <c r="C155" s="31" t="s">
        <v>379</v>
      </c>
      <c r="D155" s="31" t="s">
        <v>379</v>
      </c>
      <c r="E155" s="32" t="s">
        <v>371</v>
      </c>
      <c r="F155" s="32" t="s">
        <v>383</v>
      </c>
      <c r="G155" s="32" t="s">
        <v>5</v>
      </c>
      <c r="H155" s="33" t="s">
        <v>901</v>
      </c>
      <c r="I155" s="34" t="s">
        <v>384</v>
      </c>
      <c r="J155" t="s">
        <v>320</v>
      </c>
      <c r="K155" s="44" t="s">
        <v>336</v>
      </c>
    </row>
    <row r="156" spans="1:11" ht="15">
      <c r="A156" s="28" t="str">
        <f>F156&amp;(COUNTIFS(F$2:F156,F156,K$2:K156,"Sparse"))</f>
        <v>UA8</v>
      </c>
      <c r="B156" s="28" t="str">
        <f>J156&amp;(COUNTIF(J$2:J156,J156))</f>
        <v>Unitary21</v>
      </c>
      <c r="C156" s="31" t="s">
        <v>822</v>
      </c>
      <c r="D156" s="31" t="s">
        <v>394</v>
      </c>
      <c r="E156" s="32" t="s">
        <v>387</v>
      </c>
      <c r="F156" s="32" t="s">
        <v>389</v>
      </c>
      <c r="G156" s="32" t="s">
        <v>398</v>
      </c>
      <c r="H156" s="33" t="s">
        <v>897</v>
      </c>
      <c r="I156" s="34" t="s">
        <v>386</v>
      </c>
      <c r="J156" s="45" t="s">
        <v>398</v>
      </c>
      <c r="K156" s="44"/>
    </row>
    <row r="157" spans="1:11" ht="15">
      <c r="A157" s="28" t="str">
        <f>F157&amp;(COUNTIFS(F$2:F157,F157,K$2:K157,"Sparse"))</f>
        <v>L0</v>
      </c>
      <c r="B157" s="28" t="str">
        <f>J157&amp;(COUNTIF(J$2:J157,J157))</f>
        <v>London21</v>
      </c>
      <c r="C157" s="31" t="s">
        <v>395</v>
      </c>
      <c r="D157" s="31" t="s">
        <v>395</v>
      </c>
      <c r="E157" s="32" t="s">
        <v>385</v>
      </c>
      <c r="F157" s="32" t="s">
        <v>360</v>
      </c>
      <c r="G157" s="32" t="s">
        <v>385</v>
      </c>
      <c r="H157" s="33" t="s">
        <v>902</v>
      </c>
      <c r="I157" s="34" t="s">
        <v>386</v>
      </c>
      <c r="J157" t="str">
        <f>G157</f>
        <v>London</v>
      </c>
      <c r="K157" s="44"/>
    </row>
    <row r="158" spans="1:11" ht="15">
      <c r="A158" s="28" t="str">
        <f>F158&amp;(COUNTIFS(F$2:F158,F158,K$2:K158,"Sparse"))</f>
        <v>MD0</v>
      </c>
      <c r="B158" s="28" t="str">
        <f>J158&amp;(COUNTIF(J$2:J158,J158))</f>
        <v>Kirklees1</v>
      </c>
      <c r="C158" s="31" t="s">
        <v>233</v>
      </c>
      <c r="D158" s="31" t="s">
        <v>233</v>
      </c>
      <c r="E158" s="32" t="s">
        <v>387</v>
      </c>
      <c r="F158" s="32" t="s">
        <v>388</v>
      </c>
      <c r="G158" s="32" t="s">
        <v>399</v>
      </c>
      <c r="H158" s="33" t="s">
        <v>902</v>
      </c>
      <c r="I158" s="34" t="s">
        <v>386</v>
      </c>
      <c r="J158" t="str">
        <f>C158</f>
        <v>Kirklees</v>
      </c>
      <c r="K158" s="44"/>
    </row>
    <row r="159" spans="1:11" ht="15">
      <c r="A159" s="28" t="str">
        <f>F159&amp;(COUNTIFS(F$2:F159,F159,K$2:K159,"Sparse"))</f>
        <v>MD0</v>
      </c>
      <c r="B159" s="28" t="str">
        <f>J159&amp;(COUNTIF(J$2:J159,J159))</f>
        <v>Knowsley1</v>
      </c>
      <c r="C159" s="31" t="s">
        <v>234</v>
      </c>
      <c r="D159" s="31" t="s">
        <v>234</v>
      </c>
      <c r="E159" s="32" t="s">
        <v>378</v>
      </c>
      <c r="F159" s="32" t="s">
        <v>388</v>
      </c>
      <c r="G159" s="32" t="s">
        <v>399</v>
      </c>
      <c r="H159" s="33" t="s">
        <v>902</v>
      </c>
      <c r="I159" s="34" t="s">
        <v>386</v>
      </c>
      <c r="J159" t="str">
        <f>C159</f>
        <v>Knowsley</v>
      </c>
      <c r="K159" s="44"/>
    </row>
    <row r="160" spans="1:11" ht="15">
      <c r="A160" s="28" t="str">
        <f>F160&amp;(COUNTIFS(F$2:F160,F160,K$2:K160,"Sparse"))</f>
        <v>L0</v>
      </c>
      <c r="B160" s="28" t="str">
        <f>J160&amp;(COUNTIF(J$2:J160,J160))</f>
        <v>London22</v>
      </c>
      <c r="C160" s="31" t="s">
        <v>213</v>
      </c>
      <c r="D160" s="31" t="s">
        <v>213</v>
      </c>
      <c r="E160" s="32" t="s">
        <v>385</v>
      </c>
      <c r="F160" s="32" t="s">
        <v>360</v>
      </c>
      <c r="G160" s="32" t="s">
        <v>385</v>
      </c>
      <c r="H160" s="33" t="s">
        <v>902</v>
      </c>
      <c r="I160" s="34" t="s">
        <v>386</v>
      </c>
      <c r="J160" t="str">
        <f>G160</f>
        <v>London</v>
      </c>
      <c r="K160" s="44"/>
    </row>
    <row r="161" spans="1:11" ht="15">
      <c r="A161" s="28" t="str">
        <f>F161&amp;(COUNTIFS(F$2:F161,F161,K$2:K161,"Sparse"))</f>
        <v>SC6</v>
      </c>
      <c r="B161" s="28" t="str">
        <f>J161&amp;(COUNTIF(J$2:J161,J161))</f>
        <v>Lancashire5</v>
      </c>
      <c r="C161" s="34" t="s">
        <v>317</v>
      </c>
      <c r="D161" s="34" t="s">
        <v>317</v>
      </c>
      <c r="E161" s="32" t="s">
        <v>378</v>
      </c>
      <c r="F161" s="32" t="s">
        <v>391</v>
      </c>
      <c r="G161" s="32" t="s">
        <v>302</v>
      </c>
      <c r="H161" s="34" t="s">
        <v>373</v>
      </c>
      <c r="I161" s="34" t="s">
        <v>373</v>
      </c>
      <c r="J161" t="str">
        <f>C161</f>
        <v>Lancashire</v>
      </c>
      <c r="K161" s="44" t="s">
        <v>336</v>
      </c>
    </row>
    <row r="162" spans="1:11" ht="15">
      <c r="A162" s="28" t="str">
        <f>F162&amp;(COUNTIFS(F$2:F162,F162,K$2:K162,"Sparse"))</f>
        <v>SD33</v>
      </c>
      <c r="B162" s="28" t="str">
        <f>J162&amp;(COUNTIF(J$2:J162,J162))</f>
        <v>Lancashire6</v>
      </c>
      <c r="C162" s="31" t="s">
        <v>92</v>
      </c>
      <c r="D162" s="31" t="s">
        <v>92</v>
      </c>
      <c r="E162" s="32" t="s">
        <v>378</v>
      </c>
      <c r="F162" s="32" t="s">
        <v>383</v>
      </c>
      <c r="G162" s="32" t="s">
        <v>5</v>
      </c>
      <c r="H162" s="35" t="s">
        <v>900</v>
      </c>
      <c r="I162" s="34" t="s">
        <v>373</v>
      </c>
      <c r="J162" t="s">
        <v>317</v>
      </c>
      <c r="K162" s="44"/>
    </row>
    <row r="163" spans="1:11" ht="15">
      <c r="A163" s="28" t="str">
        <f>F163&amp;(COUNTIFS(F$2:F163,F163,K$2:K163,"Sparse"))</f>
        <v>MD0</v>
      </c>
      <c r="B163" s="28" t="str">
        <f>J163&amp;(COUNTIF(J$2:J163,J163))</f>
        <v>Leeds1</v>
      </c>
      <c r="C163" s="31" t="s">
        <v>235</v>
      </c>
      <c r="D163" s="31" t="s">
        <v>235</v>
      </c>
      <c r="E163" s="32" t="s">
        <v>387</v>
      </c>
      <c r="F163" s="32" t="s">
        <v>388</v>
      </c>
      <c r="G163" s="32" t="s">
        <v>399</v>
      </c>
      <c r="H163" s="33" t="s">
        <v>902</v>
      </c>
      <c r="I163" s="34" t="s">
        <v>386</v>
      </c>
      <c r="J163" t="str">
        <f>C163</f>
        <v>Leeds</v>
      </c>
      <c r="K163" s="44"/>
    </row>
    <row r="164" spans="1:11" ht="15">
      <c r="A164" s="28" t="str">
        <f>F164&amp;(COUNTIFS(F$2:F164,F164,K$2:K164,"Sparse"))</f>
        <v>UA8</v>
      </c>
      <c r="B164" s="28" t="str">
        <f>J164&amp;(COUNTIF(J$2:J164,J164))</f>
        <v>Unitary22</v>
      </c>
      <c r="C164" s="31" t="s">
        <v>272</v>
      </c>
      <c r="D164" s="31" t="s">
        <v>272</v>
      </c>
      <c r="E164" s="32" t="s">
        <v>369</v>
      </c>
      <c r="F164" s="32" t="s">
        <v>389</v>
      </c>
      <c r="G164" s="32" t="s">
        <v>398</v>
      </c>
      <c r="H164" s="33" t="s">
        <v>897</v>
      </c>
      <c r="I164" s="34" t="s">
        <v>386</v>
      </c>
      <c r="J164" s="45" t="s">
        <v>398</v>
      </c>
      <c r="K164" s="44"/>
    </row>
    <row r="165" spans="1:11" ht="15">
      <c r="A165" s="28" t="str">
        <f>F165&amp;(COUNTIFS(F$2:F165,F165,K$2:K165,"Sparse"))</f>
        <v>SC6</v>
      </c>
      <c r="B165" s="28" t="str">
        <f>J165&amp;(COUNTIF(J$2:J165,J165))</f>
        <v>Leicestershire5</v>
      </c>
      <c r="C165" s="34" t="s">
        <v>318</v>
      </c>
      <c r="D165" s="34" t="s">
        <v>318</v>
      </c>
      <c r="E165" s="32" t="s">
        <v>369</v>
      </c>
      <c r="F165" s="32" t="s">
        <v>391</v>
      </c>
      <c r="G165" s="32" t="s">
        <v>302</v>
      </c>
      <c r="H165" s="34" t="s">
        <v>373</v>
      </c>
      <c r="I165" s="34" t="s">
        <v>373</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383</v>
      </c>
      <c r="G166" s="32" t="s">
        <v>5</v>
      </c>
      <c r="H166" s="33" t="s">
        <v>900</v>
      </c>
      <c r="I166" s="34" t="s">
        <v>373</v>
      </c>
      <c r="J166" t="s">
        <v>311</v>
      </c>
      <c r="K166" s="44" t="s">
        <v>336</v>
      </c>
    </row>
    <row r="167" spans="1:11" ht="15">
      <c r="A167" s="28" t="str">
        <f>F167&amp;(COUNTIFS(F$2:F167,F167,K$2:K167,"Sparse"))</f>
        <v>L0</v>
      </c>
      <c r="B167" s="28" t="str">
        <f>J167&amp;(COUNTIF(J$2:J167,J167))</f>
        <v>London23</v>
      </c>
      <c r="C167" s="31" t="s">
        <v>214</v>
      </c>
      <c r="D167" s="31" t="s">
        <v>214</v>
      </c>
      <c r="E167" s="32" t="s">
        <v>385</v>
      </c>
      <c r="F167" s="32" t="s">
        <v>360</v>
      </c>
      <c r="G167" s="32" t="s">
        <v>385</v>
      </c>
      <c r="H167" s="33" t="s">
        <v>902</v>
      </c>
      <c r="I167" s="34" t="s">
        <v>386</v>
      </c>
      <c r="J167" t="str">
        <f>G167</f>
        <v>London</v>
      </c>
      <c r="K167" s="44"/>
    </row>
    <row r="168" spans="1:11" ht="15">
      <c r="A168" s="28" t="str">
        <f>F168&amp;(COUNTIFS(F$2:F168,F168,K$2:K168,"Sparse"))</f>
        <v>SD35</v>
      </c>
      <c r="B168" s="28" t="str">
        <f>J168&amp;(COUNTIF(J$2:J168,J168))</f>
        <v>Staffordshire3</v>
      </c>
      <c r="C168" s="31" t="s">
        <v>94</v>
      </c>
      <c r="D168" s="31" t="s">
        <v>94</v>
      </c>
      <c r="E168" s="32" t="s">
        <v>370</v>
      </c>
      <c r="F168" s="32" t="s">
        <v>383</v>
      </c>
      <c r="G168" s="32" t="s">
        <v>5</v>
      </c>
      <c r="H168" s="33" t="s">
        <v>900</v>
      </c>
      <c r="I168" s="34" t="s">
        <v>373</v>
      </c>
      <c r="J168" t="s">
        <v>328</v>
      </c>
      <c r="K168" s="44" t="s">
        <v>336</v>
      </c>
    </row>
    <row r="169" spans="1:11" ht="15">
      <c r="A169" s="28" t="str">
        <f>F169&amp;(COUNTIFS(F$2:F169,F169,K$2:K169,"Sparse"))</f>
        <v>SD35</v>
      </c>
      <c r="B169" s="28" t="str">
        <f>J169&amp;(COUNTIF(J$2:J169,J169))</f>
        <v>Lincolnshire3</v>
      </c>
      <c r="C169" s="31" t="s">
        <v>95</v>
      </c>
      <c r="D169" s="31" t="s">
        <v>95</v>
      </c>
      <c r="E169" s="32" t="s">
        <v>369</v>
      </c>
      <c r="F169" s="32" t="s">
        <v>383</v>
      </c>
      <c r="G169" s="32" t="s">
        <v>5</v>
      </c>
      <c r="H169" s="33" t="s">
        <v>897</v>
      </c>
      <c r="I169" s="34" t="s">
        <v>386</v>
      </c>
      <c r="J169" t="s">
        <v>319</v>
      </c>
      <c r="K169" s="44"/>
    </row>
    <row r="170" spans="1:11" ht="15">
      <c r="A170" s="28" t="str">
        <f>F170&amp;(COUNTIFS(F$2:F170,F170,K$2:K170,"Sparse"))</f>
        <v>SC7</v>
      </c>
      <c r="B170" s="28" t="str">
        <f>J170&amp;(COUNTIF(J$2:J170,J170))</f>
        <v>Lincolnshire4</v>
      </c>
      <c r="C170" s="34" t="s">
        <v>319</v>
      </c>
      <c r="D170" s="34" t="s">
        <v>319</v>
      </c>
      <c r="E170" s="32" t="s">
        <v>369</v>
      </c>
      <c r="F170" s="32" t="s">
        <v>391</v>
      </c>
      <c r="G170" s="32" t="s">
        <v>302</v>
      </c>
      <c r="H170" s="34" t="s">
        <v>384</v>
      </c>
      <c r="I170" s="34" t="s">
        <v>384</v>
      </c>
      <c r="J170" t="str">
        <f>C170</f>
        <v>Lincolnshire</v>
      </c>
      <c r="K170" s="44" t="s">
        <v>336</v>
      </c>
    </row>
    <row r="171" spans="1:11" ht="15">
      <c r="A171" s="28" t="str">
        <f>F171&amp;(COUNTIFS(F$2:F171,F171,K$2:K171,"Sparse"))</f>
        <v>MD0</v>
      </c>
      <c r="B171" s="28" t="str">
        <f>J171&amp;(COUNTIF(J$2:J171,J171))</f>
        <v>Liverpool1</v>
      </c>
      <c r="C171" s="31" t="s">
        <v>236</v>
      </c>
      <c r="D171" s="31" t="s">
        <v>236</v>
      </c>
      <c r="E171" s="32" t="s">
        <v>378</v>
      </c>
      <c r="F171" s="32" t="s">
        <v>388</v>
      </c>
      <c r="G171" s="32" t="s">
        <v>399</v>
      </c>
      <c r="H171" s="33" t="s">
        <v>902</v>
      </c>
      <c r="I171" s="34" t="s">
        <v>386</v>
      </c>
      <c r="J171" t="str">
        <f>C171</f>
        <v>Liverpool</v>
      </c>
      <c r="K171" s="44"/>
    </row>
    <row r="172" spans="1:11" ht="15">
      <c r="A172" s="28" t="str">
        <f>F172&amp;(COUNTIFS(F$2:F172,F172,K$2:K172,"Sparse"))</f>
        <v>UA8</v>
      </c>
      <c r="B172" s="28" t="str">
        <f>J172&amp;(COUNTIF(J$2:J172,J172))</f>
        <v>Unitary23</v>
      </c>
      <c r="C172" s="31" t="s">
        <v>273</v>
      </c>
      <c r="D172" s="31" t="s">
        <v>273</v>
      </c>
      <c r="E172" s="32" t="s">
        <v>371</v>
      </c>
      <c r="F172" s="32" t="s">
        <v>389</v>
      </c>
      <c r="G172" s="32" t="s">
        <v>398</v>
      </c>
      <c r="H172" s="33" t="s">
        <v>897</v>
      </c>
      <c r="I172" s="34" t="s">
        <v>386</v>
      </c>
      <c r="J172" s="45" t="s">
        <v>398</v>
      </c>
      <c r="K172" s="44"/>
    </row>
    <row r="173" spans="1:11" ht="15">
      <c r="A173" s="28" t="str">
        <f>F173&amp;(COUNTIFS(F$2:F173,F173,K$2:K173,"Sparse"))</f>
        <v>SD35</v>
      </c>
      <c r="B173" s="28" t="str">
        <f>J173&amp;(COUNTIF(J$2:J173,J173))</f>
        <v>Kent7</v>
      </c>
      <c r="C173" s="31" t="s">
        <v>96</v>
      </c>
      <c r="D173" s="31" t="s">
        <v>96</v>
      </c>
      <c r="E173" s="32" t="s">
        <v>0</v>
      </c>
      <c r="F173" s="32" t="s">
        <v>383</v>
      </c>
      <c r="G173" s="32" t="s">
        <v>5</v>
      </c>
      <c r="H173" s="35" t="s">
        <v>900</v>
      </c>
      <c r="I173" s="34" t="s">
        <v>373</v>
      </c>
      <c r="J173" t="s">
        <v>316</v>
      </c>
      <c r="K173" s="44"/>
    </row>
    <row r="174" spans="1:11" ht="15">
      <c r="A174" s="28" t="str">
        <f>F174&amp;(COUNTIFS(F$2:F174,F174,K$2:K174,"Sparse"))</f>
        <v>SD36</v>
      </c>
      <c r="B174" s="28" t="str">
        <f>J174&amp;(COUNTIF(J$2:J174,J174))</f>
        <v>Essex10</v>
      </c>
      <c r="C174" s="31" t="s">
        <v>97</v>
      </c>
      <c r="D174" s="31" t="s">
        <v>97</v>
      </c>
      <c r="E174" s="32" t="s">
        <v>371</v>
      </c>
      <c r="F174" s="32" t="s">
        <v>383</v>
      </c>
      <c r="G174" s="32" t="s">
        <v>5</v>
      </c>
      <c r="H174" s="33" t="s">
        <v>898</v>
      </c>
      <c r="I174" s="34" t="s">
        <v>384</v>
      </c>
      <c r="J174" t="s">
        <v>312</v>
      </c>
      <c r="K174" s="44" t="s">
        <v>336</v>
      </c>
    </row>
    <row r="175" spans="1:11" ht="15">
      <c r="A175" s="28" t="str">
        <f>F175&amp;(COUNTIFS(F$2:F175,F175,K$2:K175,"Sparse"))</f>
        <v>SD37</v>
      </c>
      <c r="B175" s="28" t="str">
        <f>J175&amp;(COUNTIF(J$2:J175,J175))</f>
        <v>Worcestershire2</v>
      </c>
      <c r="C175" s="31" t="s">
        <v>98</v>
      </c>
      <c r="D175" s="31" t="s">
        <v>98</v>
      </c>
      <c r="E175" s="32" t="s">
        <v>370</v>
      </c>
      <c r="F175" s="32" t="s">
        <v>383</v>
      </c>
      <c r="G175" s="32" t="s">
        <v>5</v>
      </c>
      <c r="H175" s="33" t="s">
        <v>901</v>
      </c>
      <c r="I175" s="34" t="s">
        <v>384</v>
      </c>
      <c r="J175" t="s">
        <v>333</v>
      </c>
      <c r="K175" s="44" t="s">
        <v>336</v>
      </c>
    </row>
    <row r="176" spans="1:11" ht="15">
      <c r="A176" s="28" t="str">
        <f>F176&amp;(COUNTIFS(F$2:F176,F176,K$2:K176,"Sparse"))</f>
        <v>MD0</v>
      </c>
      <c r="B176" s="28" t="str">
        <f>J176&amp;(COUNTIF(J$2:J176,J176))</f>
        <v>Manchester1</v>
      </c>
      <c r="C176" s="31" t="s">
        <v>237</v>
      </c>
      <c r="D176" s="31" t="s">
        <v>237</v>
      </c>
      <c r="E176" s="32" t="s">
        <v>378</v>
      </c>
      <c r="F176" s="32" t="s">
        <v>388</v>
      </c>
      <c r="G176" s="32" t="s">
        <v>399</v>
      </c>
      <c r="H176" s="33" t="s">
        <v>902</v>
      </c>
      <c r="I176" s="34" t="s">
        <v>386</v>
      </c>
      <c r="J176" t="str">
        <f>C176</f>
        <v>Manchester</v>
      </c>
      <c r="K176" s="44"/>
    </row>
    <row r="177" spans="1:11" ht="15">
      <c r="A177" s="28" t="str">
        <f>F177&amp;(COUNTIFS(F$2:F177,F177,K$2:K177,"Sparse"))</f>
        <v>SD37</v>
      </c>
      <c r="B177" s="28" t="str">
        <f>J177&amp;(COUNTIF(J$2:J177,J177))</f>
        <v>Nottinghamshire5</v>
      </c>
      <c r="C177" s="31" t="s">
        <v>99</v>
      </c>
      <c r="D177" s="31" t="s">
        <v>99</v>
      </c>
      <c r="E177" s="32" t="s">
        <v>369</v>
      </c>
      <c r="F177" s="32" t="s">
        <v>383</v>
      </c>
      <c r="G177" s="32" t="s">
        <v>5</v>
      </c>
      <c r="H177" s="33" t="s">
        <v>897</v>
      </c>
      <c r="I177" s="34" t="s">
        <v>386</v>
      </c>
      <c r="J177" t="s">
        <v>324</v>
      </c>
      <c r="K177" s="44"/>
    </row>
    <row r="178" spans="1:11" ht="15">
      <c r="A178" s="28" t="str">
        <f>F178&amp;(COUNTIFS(F$2:F178,F178,K$2:K178,"Sparse"))</f>
        <v>UA8</v>
      </c>
      <c r="B178" s="28" t="str">
        <f>J178&amp;(COUNTIF(J$2:J178,J178))</f>
        <v>Unitary24</v>
      </c>
      <c r="C178" s="31" t="s">
        <v>274</v>
      </c>
      <c r="D178" s="31" t="s">
        <v>274</v>
      </c>
      <c r="E178" s="32" t="s">
        <v>0</v>
      </c>
      <c r="F178" s="32" t="s">
        <v>389</v>
      </c>
      <c r="G178" s="32" t="s">
        <v>398</v>
      </c>
      <c r="H178" s="33" t="s">
        <v>897</v>
      </c>
      <c r="I178" s="34" t="s">
        <v>386</v>
      </c>
      <c r="J178" s="45" t="s">
        <v>398</v>
      </c>
      <c r="K178" s="44"/>
    </row>
    <row r="179" spans="1:11" ht="15">
      <c r="A179" s="28" t="str">
        <f>F179&amp;(COUNTIFS(F$2:F179,F179,K$2:K179,"Sparse"))</f>
        <v>SD38</v>
      </c>
      <c r="B179" s="28" t="str">
        <f>J179&amp;(COUNTIF(J$2:J179,J179))</f>
        <v>Leicestershire6</v>
      </c>
      <c r="C179" s="31" t="s">
        <v>100</v>
      </c>
      <c r="D179" s="31" t="s">
        <v>100</v>
      </c>
      <c r="E179" s="32" t="s">
        <v>369</v>
      </c>
      <c r="F179" s="32" t="s">
        <v>383</v>
      </c>
      <c r="G179" s="32" t="s">
        <v>5</v>
      </c>
      <c r="H179" s="33" t="s">
        <v>898</v>
      </c>
      <c r="I179" s="34" t="s">
        <v>384</v>
      </c>
      <c r="J179" t="s">
        <v>318</v>
      </c>
      <c r="K179" s="44" t="s">
        <v>336</v>
      </c>
    </row>
    <row r="180" spans="1:11" ht="15">
      <c r="A180" s="28" t="str">
        <f>F180&amp;(COUNTIFS(F$2:F180,F180,K$2:K180,"Sparse"))</f>
        <v>SD39</v>
      </c>
      <c r="B180" s="28" t="str">
        <f>J180&amp;(COUNTIF(J$2:J180,J180))</f>
        <v>Somerset1</v>
      </c>
      <c r="C180" s="31" t="s">
        <v>101</v>
      </c>
      <c r="D180" s="31" t="s">
        <v>101</v>
      </c>
      <c r="E180" s="32" t="s">
        <v>1</v>
      </c>
      <c r="F180" s="32" t="s">
        <v>383</v>
      </c>
      <c r="G180" s="32" t="s">
        <v>5</v>
      </c>
      <c r="H180" s="33" t="s">
        <v>898</v>
      </c>
      <c r="I180" s="34" t="s">
        <v>384</v>
      </c>
      <c r="J180" t="s">
        <v>327</v>
      </c>
      <c r="K180" s="44" t="s">
        <v>336</v>
      </c>
    </row>
    <row r="181" spans="1:11" ht="15">
      <c r="A181" s="28" t="str">
        <f>F181&amp;(COUNTIFS(F$2:F181,F181,K$2:K181,"Sparse"))</f>
        <v>L0</v>
      </c>
      <c r="B181" s="28" t="str">
        <f>J181&amp;(COUNTIF(J$2:J181,J181))</f>
        <v>London24</v>
      </c>
      <c r="C181" s="31" t="s">
        <v>215</v>
      </c>
      <c r="D181" s="31" t="s">
        <v>215</v>
      </c>
      <c r="E181" s="32" t="s">
        <v>385</v>
      </c>
      <c r="F181" s="32" t="s">
        <v>360</v>
      </c>
      <c r="G181" s="32" t="s">
        <v>385</v>
      </c>
      <c r="H181" s="33" t="s">
        <v>902</v>
      </c>
      <c r="I181" s="34" t="s">
        <v>386</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383</v>
      </c>
      <c r="G182" s="32" t="s">
        <v>5</v>
      </c>
      <c r="H182" s="33" t="s">
        <v>898</v>
      </c>
      <c r="I182" s="34" t="s">
        <v>384</v>
      </c>
      <c r="J182" t="s">
        <v>309</v>
      </c>
      <c r="K182" s="44" t="s">
        <v>336</v>
      </c>
    </row>
    <row r="183" spans="1:11" ht="15">
      <c r="A183" s="28" t="str">
        <f>F183&amp;(COUNTIFS(F$2:F183,F183,K$2:K183,"Sparse"))</f>
        <v>SD41</v>
      </c>
      <c r="B183" s="28" t="str">
        <f>J183&amp;(COUNTIF(J$2:J183,J183))</f>
        <v>Suffolk4</v>
      </c>
      <c r="C183" s="31" t="s">
        <v>103</v>
      </c>
      <c r="D183" s="31" t="s">
        <v>103</v>
      </c>
      <c r="E183" s="32" t="s">
        <v>371</v>
      </c>
      <c r="F183" s="32" t="s">
        <v>383</v>
      </c>
      <c r="G183" s="32" t="s">
        <v>5</v>
      </c>
      <c r="H183" s="33" t="s">
        <v>898</v>
      </c>
      <c r="I183" s="34" t="s">
        <v>384</v>
      </c>
      <c r="J183" t="s">
        <v>329</v>
      </c>
      <c r="K183" s="44" t="s">
        <v>336</v>
      </c>
    </row>
    <row r="184" spans="1:11" ht="15">
      <c r="A184" s="28" t="str">
        <f>F184&amp;(COUNTIFS(F$2:F184,F184,K$2:K184,"Sparse"))</f>
        <v>SD42</v>
      </c>
      <c r="B184" s="28" t="str">
        <f>J184&amp;(COUNTIF(J$2:J184,J184))</f>
        <v>West Sussex6</v>
      </c>
      <c r="C184" s="31" t="s">
        <v>104</v>
      </c>
      <c r="D184" s="31" t="s">
        <v>104</v>
      </c>
      <c r="E184" s="32" t="s">
        <v>0</v>
      </c>
      <c r="F184" s="32" t="s">
        <v>383</v>
      </c>
      <c r="G184" s="32" t="s">
        <v>5</v>
      </c>
      <c r="H184" s="33" t="s">
        <v>897</v>
      </c>
      <c r="I184" s="34" t="s">
        <v>386</v>
      </c>
      <c r="J184" t="s">
        <v>332</v>
      </c>
      <c r="K184" s="44" t="s">
        <v>336</v>
      </c>
    </row>
    <row r="185" spans="1:11" ht="15">
      <c r="A185" s="28" t="str">
        <f>F185&amp;(COUNTIFS(F$2:F185,F185,K$2:K185,"Sparse"))</f>
        <v>UA8</v>
      </c>
      <c r="B185" s="28" t="str">
        <f>J185&amp;(COUNTIF(J$2:J185,J185))</f>
        <v>Unitary25</v>
      </c>
      <c r="C185" s="31" t="s">
        <v>275</v>
      </c>
      <c r="D185" s="31" t="s">
        <v>275</v>
      </c>
      <c r="E185" s="32" t="s">
        <v>392</v>
      </c>
      <c r="F185" s="32" t="s">
        <v>389</v>
      </c>
      <c r="G185" s="32" t="s">
        <v>398</v>
      </c>
      <c r="H185" s="33" t="s">
        <v>897</v>
      </c>
      <c r="I185" s="34" t="s">
        <v>386</v>
      </c>
      <c r="J185" s="45" t="s">
        <v>398</v>
      </c>
      <c r="K185" s="44"/>
    </row>
    <row r="186" spans="1:11" ht="15">
      <c r="A186" s="28" t="str">
        <f>F186&amp;(COUNTIFS(F$2:F186,F186,K$2:K186,"Sparse"))</f>
        <v>UA8</v>
      </c>
      <c r="B186" s="28" t="str">
        <f>J186&amp;(COUNTIF(J$2:J186,J186))</f>
        <v>Unitary26</v>
      </c>
      <c r="C186" s="31" t="s">
        <v>276</v>
      </c>
      <c r="D186" s="31" t="s">
        <v>276</v>
      </c>
      <c r="E186" s="32" t="s">
        <v>0</v>
      </c>
      <c r="F186" s="32" t="s">
        <v>389</v>
      </c>
      <c r="G186" s="32" t="s">
        <v>398</v>
      </c>
      <c r="H186" s="33" t="s">
        <v>897</v>
      </c>
      <c r="I186" s="34" t="s">
        <v>386</v>
      </c>
      <c r="J186" s="45" t="s">
        <v>398</v>
      </c>
      <c r="K186" s="44"/>
    </row>
    <row r="187" spans="1:11" ht="15">
      <c r="A187" s="28" t="str">
        <f>F187&amp;(COUNTIFS(F$2:F187,F187,K$2:K187,"Sparse"))</f>
        <v>SD42</v>
      </c>
      <c r="B187" s="28" t="str">
        <f>J187&amp;(COUNTIF(J$2:J187,J187))</f>
        <v>Surrey4</v>
      </c>
      <c r="C187" s="31" t="s">
        <v>105</v>
      </c>
      <c r="D187" s="31" t="s">
        <v>105</v>
      </c>
      <c r="E187" s="32" t="s">
        <v>0</v>
      </c>
      <c r="F187" s="32" t="s">
        <v>383</v>
      </c>
      <c r="G187" s="32" t="s">
        <v>5</v>
      </c>
      <c r="H187" s="35" t="s">
        <v>900</v>
      </c>
      <c r="I187" s="34" t="s">
        <v>373</v>
      </c>
      <c r="J187" t="s">
        <v>330</v>
      </c>
      <c r="K187" s="44"/>
    </row>
    <row r="188" spans="1:11" ht="15">
      <c r="A188" s="28" t="str">
        <f>F188&amp;(COUNTIFS(F$2:F188,F188,K$2:K188,"Sparse"))</f>
        <v>SD43</v>
      </c>
      <c r="B188" s="28" t="str">
        <f>J188&amp;(COUNTIF(J$2:J188,J188))</f>
        <v>Hampshire9</v>
      </c>
      <c r="C188" s="31" t="s">
        <v>106</v>
      </c>
      <c r="D188" s="31" t="s">
        <v>106</v>
      </c>
      <c r="E188" s="32" t="s">
        <v>0</v>
      </c>
      <c r="F188" s="32" t="s">
        <v>383</v>
      </c>
      <c r="G188" s="32" t="s">
        <v>5</v>
      </c>
      <c r="H188" s="35" t="s">
        <v>900</v>
      </c>
      <c r="I188" s="34" t="s">
        <v>373</v>
      </c>
      <c r="J188" t="s">
        <v>314</v>
      </c>
      <c r="K188" s="44" t="s">
        <v>336</v>
      </c>
    </row>
    <row r="189" spans="1:11" ht="15">
      <c r="A189" s="28" t="str">
        <f>F189&amp;(COUNTIFS(F$2:F189,F189,K$2:K189,"Sparse"))</f>
        <v>SD44</v>
      </c>
      <c r="B189" s="28" t="str">
        <f>J189&amp;(COUNTIF(J$2:J189,J189))</f>
        <v>Nottinghamshire6</v>
      </c>
      <c r="C189" s="31" t="s">
        <v>347</v>
      </c>
      <c r="D189" s="31" t="s">
        <v>347</v>
      </c>
      <c r="E189" s="32" t="s">
        <v>369</v>
      </c>
      <c r="F189" s="32" t="s">
        <v>383</v>
      </c>
      <c r="G189" s="32" t="s">
        <v>5</v>
      </c>
      <c r="H189" s="33" t="s">
        <v>901</v>
      </c>
      <c r="I189" s="34" t="s">
        <v>384</v>
      </c>
      <c r="J189" t="s">
        <v>324</v>
      </c>
      <c r="K189" s="44" t="s">
        <v>336</v>
      </c>
    </row>
    <row r="190" spans="1:11" ht="15">
      <c r="A190" s="28" t="str">
        <f>F190&amp;(COUNTIFS(F$2:F190,F190,K$2:K190,"Sparse"))</f>
        <v>MD0</v>
      </c>
      <c r="B190" s="28" t="str">
        <f>J190&amp;(COUNTIF(J$2:J190,J190))</f>
        <v>Newcastle upon Tyne1</v>
      </c>
      <c r="C190" s="31" t="s">
        <v>238</v>
      </c>
      <c r="D190" s="31" t="s">
        <v>238</v>
      </c>
      <c r="E190" s="32" t="s">
        <v>392</v>
      </c>
      <c r="F190" s="32" t="s">
        <v>388</v>
      </c>
      <c r="G190" s="32" t="s">
        <v>399</v>
      </c>
      <c r="H190" s="33" t="s">
        <v>902</v>
      </c>
      <c r="I190" s="34" t="s">
        <v>386</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370</v>
      </c>
      <c r="F191" s="32" t="s">
        <v>383</v>
      </c>
      <c r="G191" s="32" t="s">
        <v>5</v>
      </c>
      <c r="H191" s="33" t="s">
        <v>897</v>
      </c>
      <c r="I191" s="34" t="s">
        <v>386</v>
      </c>
      <c r="J191" t="s">
        <v>328</v>
      </c>
      <c r="K191" s="44"/>
    </row>
    <row r="192" spans="1:11" ht="15">
      <c r="A192" s="28" t="str">
        <f>F192&amp;(COUNTIFS(F$2:F192,F192,K$2:K192,"Sparse"))</f>
        <v>L0</v>
      </c>
      <c r="B192" s="28" t="str">
        <f>J192&amp;(COUNTIF(J$2:J192,J192))</f>
        <v>London25</v>
      </c>
      <c r="C192" s="31" t="s">
        <v>216</v>
      </c>
      <c r="D192" s="31" t="s">
        <v>216</v>
      </c>
      <c r="E192" s="32" t="s">
        <v>385</v>
      </c>
      <c r="F192" s="32" t="s">
        <v>360</v>
      </c>
      <c r="G192" s="32" t="s">
        <v>385</v>
      </c>
      <c r="H192" s="33" t="s">
        <v>902</v>
      </c>
      <c r="I192" s="34" t="s">
        <v>386</v>
      </c>
      <c r="J192" t="str">
        <f>G192</f>
        <v>London</v>
      </c>
      <c r="K192" s="44"/>
    </row>
    <row r="193" spans="1:11" ht="15">
      <c r="A193" s="28" t="str">
        <f>F193&amp;(COUNTIFS(F$2:F193,F193,K$2:K193,"Sparse"))</f>
        <v>SC8</v>
      </c>
      <c r="B193" s="28" t="str">
        <f>J193&amp;(COUNTIF(J$2:J193,J193))</f>
        <v>Norfolk5</v>
      </c>
      <c r="C193" s="38" t="s">
        <v>320</v>
      </c>
      <c r="D193" s="38" t="s">
        <v>320</v>
      </c>
      <c r="E193" s="32" t="s">
        <v>371</v>
      </c>
      <c r="F193" s="32" t="s">
        <v>391</v>
      </c>
      <c r="G193" s="32" t="s">
        <v>302</v>
      </c>
      <c r="H193" s="38" t="s">
        <v>384</v>
      </c>
      <c r="I193" s="34" t="s">
        <v>384</v>
      </c>
      <c r="J193" t="str">
        <f>C193</f>
        <v>Norfolk</v>
      </c>
      <c r="K193" s="44" t="s">
        <v>336</v>
      </c>
    </row>
    <row r="194" spans="1:11" ht="15">
      <c r="A194" s="28" t="str">
        <f>F194&amp;(COUNTIFS(F$2:F194,F194,K$2:K194,"Sparse"))</f>
        <v>SD45</v>
      </c>
      <c r="B194" s="28" t="str">
        <f>J194&amp;(COUNTIF(J$2:J194,J194))</f>
        <v>Devon5</v>
      </c>
      <c r="C194" s="31" t="s">
        <v>108</v>
      </c>
      <c r="D194" s="31" t="s">
        <v>108</v>
      </c>
      <c r="E194" s="32" t="s">
        <v>1</v>
      </c>
      <c r="F194" s="32" t="s">
        <v>383</v>
      </c>
      <c r="G194" s="32" t="s">
        <v>5</v>
      </c>
      <c r="H194" s="33" t="s">
        <v>901</v>
      </c>
      <c r="I194" s="34" t="s">
        <v>384</v>
      </c>
      <c r="J194" t="s">
        <v>309</v>
      </c>
      <c r="K194" s="44" t="s">
        <v>336</v>
      </c>
    </row>
    <row r="195" spans="1:11" ht="15">
      <c r="A195" s="28" t="str">
        <f>F195&amp;(COUNTIFS(F$2:F195,F195,K$2:K195,"Sparse"))</f>
        <v>SD46</v>
      </c>
      <c r="B195" s="28" t="str">
        <f>J195&amp;(COUNTIF(J$2:J195,J195))</f>
        <v>Dorset4</v>
      </c>
      <c r="C195" s="31" t="s">
        <v>109</v>
      </c>
      <c r="D195" s="31" t="s">
        <v>109</v>
      </c>
      <c r="E195" s="32" t="s">
        <v>1</v>
      </c>
      <c r="F195" s="32" t="s">
        <v>383</v>
      </c>
      <c r="G195" s="32" t="s">
        <v>5</v>
      </c>
      <c r="H195" s="33" t="s">
        <v>898</v>
      </c>
      <c r="I195" s="34" t="s">
        <v>384</v>
      </c>
      <c r="J195" t="s">
        <v>310</v>
      </c>
      <c r="K195" s="44" t="s">
        <v>336</v>
      </c>
    </row>
    <row r="196" spans="1:11" ht="15">
      <c r="A196" s="28" t="str">
        <f>F196&amp;(COUNTIFS(F$2:F196,F196,K$2:K196,"Sparse"))</f>
        <v>SD46</v>
      </c>
      <c r="B196" s="28" t="str">
        <f>J196&amp;(COUNTIF(J$2:J196,J196))</f>
        <v>Derbyshire8</v>
      </c>
      <c r="C196" s="31" t="s">
        <v>110</v>
      </c>
      <c r="D196" s="31" t="s">
        <v>110</v>
      </c>
      <c r="E196" s="32" t="s">
        <v>369</v>
      </c>
      <c r="F196" s="32" t="s">
        <v>383</v>
      </c>
      <c r="G196" s="32" t="s">
        <v>5</v>
      </c>
      <c r="H196" s="33" t="s">
        <v>897</v>
      </c>
      <c r="I196" s="34" t="s">
        <v>386</v>
      </c>
      <c r="J196" t="s">
        <v>308</v>
      </c>
      <c r="K196" s="44"/>
    </row>
    <row r="197" spans="1:11" ht="15">
      <c r="A197" s="28" t="str">
        <f>F197&amp;(COUNTIFS(F$2:F197,F197,K$2:K197,"Sparse"))</f>
        <v>UA8</v>
      </c>
      <c r="B197" s="28" t="str">
        <f>J197&amp;(COUNTIF(J$2:J197,J197))</f>
        <v>Unitary27</v>
      </c>
      <c r="C197" s="31" t="s">
        <v>277</v>
      </c>
      <c r="D197" s="31" t="s">
        <v>277</v>
      </c>
      <c r="E197" s="32" t="s">
        <v>387</v>
      </c>
      <c r="F197" s="32" t="s">
        <v>389</v>
      </c>
      <c r="G197" s="32" t="s">
        <v>398</v>
      </c>
      <c r="H197" s="33" t="s">
        <v>897</v>
      </c>
      <c r="I197" s="34" t="s">
        <v>386</v>
      </c>
      <c r="J197" s="45" t="s">
        <v>398</v>
      </c>
      <c r="K197" s="44"/>
    </row>
    <row r="198" spans="1:11" ht="15">
      <c r="A198" s="28" t="str">
        <f>F198&amp;(COUNTIFS(F$2:F198,F198,K$2:K198,"Sparse"))</f>
        <v>SD46</v>
      </c>
      <c r="B198" s="28" t="str">
        <f>J198&amp;(COUNTIF(J$2:J198,J198))</f>
        <v>Hertfordshire6</v>
      </c>
      <c r="C198" s="31" t="s">
        <v>111</v>
      </c>
      <c r="D198" s="31" t="s">
        <v>111</v>
      </c>
      <c r="E198" s="32" t="s">
        <v>371</v>
      </c>
      <c r="F198" s="32" t="s">
        <v>383</v>
      </c>
      <c r="G198" s="32" t="s">
        <v>5</v>
      </c>
      <c r="H198" s="35" t="s">
        <v>900</v>
      </c>
      <c r="I198" s="34" t="s">
        <v>373</v>
      </c>
      <c r="J198" t="s">
        <v>315</v>
      </c>
      <c r="K198" s="44"/>
    </row>
    <row r="199" spans="1:11" ht="15">
      <c r="A199" s="28" t="str">
        <f>F199&amp;(COUNTIFS(F$2:F199,F199,K$2:K199,"Sparse"))</f>
        <v>SD47</v>
      </c>
      <c r="B199" s="28" t="str">
        <f>J199&amp;(COUNTIF(J$2:J199,J199))</f>
        <v>Lincolnshire5</v>
      </c>
      <c r="C199" s="31" t="s">
        <v>112</v>
      </c>
      <c r="D199" s="31" t="s">
        <v>112</v>
      </c>
      <c r="E199" s="32" t="s">
        <v>369</v>
      </c>
      <c r="F199" s="32" t="s">
        <v>383</v>
      </c>
      <c r="G199" s="32" t="s">
        <v>5</v>
      </c>
      <c r="H199" s="33" t="s">
        <v>898</v>
      </c>
      <c r="I199" s="34" t="s">
        <v>384</v>
      </c>
      <c r="J199" t="s">
        <v>319</v>
      </c>
      <c r="K199" s="44" t="s">
        <v>336</v>
      </c>
    </row>
    <row r="200" spans="1:11" ht="15">
      <c r="A200" s="28" t="str">
        <f>F200&amp;(COUNTIFS(F$2:F200,F200,K$2:K200,"Sparse"))</f>
        <v>UA9</v>
      </c>
      <c r="B200" s="28" t="str">
        <f>J200&amp;(COUNTIF(J$2:J200,J200))</f>
        <v>Unitary28</v>
      </c>
      <c r="C200" s="31" t="s">
        <v>278</v>
      </c>
      <c r="D200" s="31" t="s">
        <v>278</v>
      </c>
      <c r="E200" s="32" t="s">
        <v>387</v>
      </c>
      <c r="F200" s="32" t="s">
        <v>389</v>
      </c>
      <c r="G200" s="32" t="s">
        <v>398</v>
      </c>
      <c r="H200" s="33" t="s">
        <v>900</v>
      </c>
      <c r="I200" s="34" t="s">
        <v>373</v>
      </c>
      <c r="J200" s="45" t="s">
        <v>398</v>
      </c>
      <c r="K200" s="44" t="s">
        <v>336</v>
      </c>
    </row>
    <row r="201" spans="1:11" ht="15">
      <c r="A201" s="28" t="str">
        <f>F201&amp;(COUNTIFS(F$2:F201,F201,K$2:K201,"Sparse"))</f>
        <v>SD48</v>
      </c>
      <c r="B201" s="28" t="str">
        <f>J201&amp;(COUNTIF(J$2:J201,J201))</f>
        <v>Norfolk6</v>
      </c>
      <c r="C201" s="31" t="s">
        <v>113</v>
      </c>
      <c r="D201" s="31" t="s">
        <v>113</v>
      </c>
      <c r="E201" s="32" t="s">
        <v>371</v>
      </c>
      <c r="F201" s="32" t="s">
        <v>383</v>
      </c>
      <c r="G201" s="32" t="s">
        <v>5</v>
      </c>
      <c r="H201" s="33" t="s">
        <v>898</v>
      </c>
      <c r="I201" s="34" t="s">
        <v>384</v>
      </c>
      <c r="J201" s="45" t="s">
        <v>320</v>
      </c>
      <c r="K201" s="44" t="s">
        <v>336</v>
      </c>
    </row>
    <row r="202" spans="1:11" ht="15">
      <c r="A202" s="28" t="str">
        <f>F202&amp;(COUNTIFS(F$2:F202,F202,K$2:K202,"Sparse"))</f>
        <v>UA10</v>
      </c>
      <c r="B202" s="28" t="str">
        <f>J202&amp;(COUNTIF(J$2:J202,J202))</f>
        <v>Unitary29</v>
      </c>
      <c r="C202" s="31" t="s">
        <v>279</v>
      </c>
      <c r="D202" s="31" t="s">
        <v>279</v>
      </c>
      <c r="E202" s="32" t="s">
        <v>1</v>
      </c>
      <c r="F202" s="32" t="s">
        <v>389</v>
      </c>
      <c r="G202" s="32" t="s">
        <v>398</v>
      </c>
      <c r="H202" s="33" t="s">
        <v>900</v>
      </c>
      <c r="I202" s="34" t="s">
        <v>373</v>
      </c>
      <c r="J202" s="45" t="s">
        <v>398</v>
      </c>
      <c r="K202" s="44" t="s">
        <v>336</v>
      </c>
    </row>
    <row r="203" spans="1:11" ht="15">
      <c r="A203" s="28" t="str">
        <f>F203&amp;(COUNTIFS(F$2:F203,F203,K$2:K203,"Sparse"))</f>
        <v>MD0</v>
      </c>
      <c r="B203" s="28" t="str">
        <f>J203&amp;(COUNTIF(J$2:J203,J203))</f>
        <v>North Tyneside1</v>
      </c>
      <c r="C203" s="31" t="s">
        <v>239</v>
      </c>
      <c r="D203" s="31" t="s">
        <v>239</v>
      </c>
      <c r="E203" s="32" t="s">
        <v>392</v>
      </c>
      <c r="F203" s="32" t="s">
        <v>388</v>
      </c>
      <c r="G203" s="32" t="s">
        <v>399</v>
      </c>
      <c r="H203" s="33" t="s">
        <v>902</v>
      </c>
      <c r="I203" s="34" t="s">
        <v>386</v>
      </c>
      <c r="J203" t="str">
        <f>C203</f>
        <v>North Tyneside</v>
      </c>
      <c r="K203" s="44"/>
    </row>
    <row r="204" spans="1:11" ht="15">
      <c r="A204" s="28" t="str">
        <f>F204&amp;(COUNTIFS(F$2:F204,F204,K$2:K204,"Sparse"))</f>
        <v>SD49</v>
      </c>
      <c r="B204" s="28" t="str">
        <f>J204&amp;(COUNTIF(J$2:J204,J204))</f>
        <v>Warwickshire1</v>
      </c>
      <c r="C204" s="31" t="s">
        <v>114</v>
      </c>
      <c r="D204" s="31" t="s">
        <v>114</v>
      </c>
      <c r="E204" s="32" t="s">
        <v>370</v>
      </c>
      <c r="F204" s="32" t="s">
        <v>383</v>
      </c>
      <c r="G204" s="32" t="s">
        <v>5</v>
      </c>
      <c r="H204" s="33" t="s">
        <v>898</v>
      </c>
      <c r="I204" s="34" t="s">
        <v>384</v>
      </c>
      <c r="J204" t="s">
        <v>331</v>
      </c>
      <c r="K204" s="44" t="s">
        <v>336</v>
      </c>
    </row>
    <row r="205" spans="1:11" ht="15">
      <c r="A205" s="28" t="str">
        <f>F205&amp;(COUNTIFS(F$2:F205,F205,K$2:K205,"Sparse"))</f>
        <v>SD50</v>
      </c>
      <c r="B205" s="28" t="str">
        <f>J205&amp;(COUNTIF(J$2:J205,J205))</f>
        <v>Leicestershire7</v>
      </c>
      <c r="C205" s="31" t="s">
        <v>115</v>
      </c>
      <c r="D205" s="31" t="s">
        <v>115</v>
      </c>
      <c r="E205" s="32" t="s">
        <v>369</v>
      </c>
      <c r="F205" s="32" t="s">
        <v>383</v>
      </c>
      <c r="G205" s="32" t="s">
        <v>5</v>
      </c>
      <c r="H205" s="33" t="s">
        <v>901</v>
      </c>
      <c r="I205" s="34" t="s">
        <v>384</v>
      </c>
      <c r="J205" t="s">
        <v>318</v>
      </c>
      <c r="K205" s="44" t="s">
        <v>336</v>
      </c>
    </row>
    <row r="206" spans="1:11" ht="15">
      <c r="A206" s="28" t="str">
        <f>F206&amp;(COUNTIFS(F$2:F206,F206,K$2:K206,"Sparse"))</f>
        <v>SC9</v>
      </c>
      <c r="B206" s="28" t="str">
        <f>J206&amp;(COUNTIF(J$2:J206,J206))</f>
        <v>North Yorkshire4</v>
      </c>
      <c r="C206" s="34" t="s">
        <v>321</v>
      </c>
      <c r="D206" s="34" t="s">
        <v>321</v>
      </c>
      <c r="E206" s="32" t="s">
        <v>387</v>
      </c>
      <c r="F206" s="32" t="s">
        <v>391</v>
      </c>
      <c r="G206" s="32" t="s">
        <v>302</v>
      </c>
      <c r="H206" s="34" t="s">
        <v>384</v>
      </c>
      <c r="I206" s="34" t="s">
        <v>384</v>
      </c>
      <c r="J206" t="str">
        <f>C206</f>
        <v>North Yorkshire</v>
      </c>
      <c r="K206" s="44" t="s">
        <v>336</v>
      </c>
    </row>
    <row r="207" spans="1:11" ht="15">
      <c r="A207" s="28" t="str">
        <f>F207&amp;(COUNTIFS(F$2:F207,F207,K$2:K207,"Sparse"))</f>
        <v>SD50</v>
      </c>
      <c r="B207" s="28" t="str">
        <f>J207&amp;(COUNTIF(J$2:J207,J207))</f>
        <v>Northamptonshire5</v>
      </c>
      <c r="C207" s="31" t="s">
        <v>116</v>
      </c>
      <c r="D207" s="31" t="s">
        <v>116</v>
      </c>
      <c r="E207" s="32" t="s">
        <v>369</v>
      </c>
      <c r="F207" s="32" t="s">
        <v>383</v>
      </c>
      <c r="G207" s="32" t="s">
        <v>5</v>
      </c>
      <c r="H207" s="33" t="s">
        <v>897</v>
      </c>
      <c r="I207" s="34" t="s">
        <v>386</v>
      </c>
      <c r="J207" t="s">
        <v>322</v>
      </c>
      <c r="K207" s="44"/>
    </row>
    <row r="208" spans="1:11" ht="15">
      <c r="A208" s="28" t="str">
        <f>F208&amp;(COUNTIFS(F$2:F208,F208,K$2:K208,"Sparse"))</f>
        <v>SC9</v>
      </c>
      <c r="B208" s="28" t="str">
        <f>J208&amp;(COUNTIF(J$2:J208,J208))</f>
        <v>Northamptonshire6</v>
      </c>
      <c r="C208" s="34" t="s">
        <v>322</v>
      </c>
      <c r="D208" s="34" t="s">
        <v>322</v>
      </c>
      <c r="E208" s="32" t="s">
        <v>369</v>
      </c>
      <c r="F208" s="32" t="s">
        <v>391</v>
      </c>
      <c r="G208" s="32" t="s">
        <v>302</v>
      </c>
      <c r="H208" s="34" t="s">
        <v>373</v>
      </c>
      <c r="I208" s="34" t="s">
        <v>373</v>
      </c>
      <c r="J208" t="str">
        <f>C208</f>
        <v>Northamptonshire</v>
      </c>
      <c r="K208" s="44"/>
    </row>
    <row r="209" spans="1:11" ht="15">
      <c r="A209" s="28" t="str">
        <f>F209&amp;(COUNTIFS(F$2:F209,F209,K$2:K209,"Sparse"))</f>
        <v>UA11</v>
      </c>
      <c r="B209" s="28" t="str">
        <f>J209&amp;(COUNTIF(J$2:J209,J209))</f>
        <v>Unitary30</v>
      </c>
      <c r="C209" s="31" t="s">
        <v>323</v>
      </c>
      <c r="D209" s="31" t="s">
        <v>323</v>
      </c>
      <c r="E209" s="32" t="s">
        <v>392</v>
      </c>
      <c r="F209" s="32" t="s">
        <v>389</v>
      </c>
      <c r="G209" s="32" t="s">
        <v>398</v>
      </c>
      <c r="H209" s="35" t="s">
        <v>901</v>
      </c>
      <c r="I209" s="34" t="s">
        <v>384</v>
      </c>
      <c r="J209" s="45" t="s">
        <v>398</v>
      </c>
      <c r="K209" s="44" t="s">
        <v>336</v>
      </c>
    </row>
    <row r="210" spans="1:11" ht="15">
      <c r="A210" s="28" t="str">
        <f>F210&amp;(COUNTIFS(F$2:F210,F210,K$2:K210,"Sparse"))</f>
        <v>SD50</v>
      </c>
      <c r="B210" s="28" t="str">
        <f>J210&amp;(COUNTIF(J$2:J210,J210))</f>
        <v>Norfolk7</v>
      </c>
      <c r="C210" s="31" t="s">
        <v>117</v>
      </c>
      <c r="D210" s="31" t="s">
        <v>117</v>
      </c>
      <c r="E210" s="32" t="s">
        <v>371</v>
      </c>
      <c r="F210" s="32" t="s">
        <v>383</v>
      </c>
      <c r="G210" s="32" t="s">
        <v>5</v>
      </c>
      <c r="H210" s="33" t="s">
        <v>897</v>
      </c>
      <c r="I210" s="34" t="s">
        <v>386</v>
      </c>
      <c r="J210" t="s">
        <v>320</v>
      </c>
      <c r="K210" s="44"/>
    </row>
    <row r="211" spans="1:11" ht="15">
      <c r="A211" s="28" t="str">
        <f>F211&amp;(COUNTIFS(F$2:F211,F211,K$2:K211,"Sparse"))</f>
        <v>UA11</v>
      </c>
      <c r="B211" s="28" t="str">
        <f>J211&amp;(COUNTIF(J$2:J211,J211))</f>
        <v>Unitary31</v>
      </c>
      <c r="C211" s="31" t="s">
        <v>280</v>
      </c>
      <c r="D211" s="31" t="s">
        <v>280</v>
      </c>
      <c r="E211" s="32" t="s">
        <v>369</v>
      </c>
      <c r="F211" s="32" t="s">
        <v>389</v>
      </c>
      <c r="G211" s="32" t="s">
        <v>398</v>
      </c>
      <c r="H211" s="33" t="s">
        <v>899</v>
      </c>
      <c r="I211" s="34" t="s">
        <v>386</v>
      </c>
      <c r="J211" s="45" t="s">
        <v>398</v>
      </c>
      <c r="K211" s="44"/>
    </row>
    <row r="212" spans="1:11" ht="15">
      <c r="A212" s="28" t="str">
        <f>F212&amp;(COUNTIFS(F$2:F212,F212,K$2:K212,"Sparse"))</f>
        <v>SC10</v>
      </c>
      <c r="B212" s="28" t="str">
        <f>J212&amp;(COUNTIF(J$2:J212,J212))</f>
        <v>Nottinghamshire7</v>
      </c>
      <c r="C212" s="34" t="s">
        <v>324</v>
      </c>
      <c r="D212" s="34" t="s">
        <v>324</v>
      </c>
      <c r="E212" s="32" t="s">
        <v>369</v>
      </c>
      <c r="F212" s="32" t="s">
        <v>391</v>
      </c>
      <c r="G212" s="32" t="s">
        <v>302</v>
      </c>
      <c r="H212" s="34" t="s">
        <v>373</v>
      </c>
      <c r="I212" s="34" t="s">
        <v>373</v>
      </c>
      <c r="J212" t="str">
        <f>C212</f>
        <v>Nottinghamshire</v>
      </c>
      <c r="K212" s="44" t="s">
        <v>336</v>
      </c>
    </row>
    <row r="213" spans="1:11" ht="15">
      <c r="A213" s="28" t="str">
        <f>F213&amp;(COUNTIFS(F$2:F213,F213,K$2:K213,"Sparse"))</f>
        <v>SD50</v>
      </c>
      <c r="B213" s="28" t="str">
        <f>J213&amp;(COUNTIF(J$2:J213,J213))</f>
        <v>Warwickshire2</v>
      </c>
      <c r="C213" s="31" t="s">
        <v>348</v>
      </c>
      <c r="D213" s="31" t="s">
        <v>348</v>
      </c>
      <c r="E213" s="32" t="s">
        <v>370</v>
      </c>
      <c r="F213" s="32" t="s">
        <v>383</v>
      </c>
      <c r="G213" s="32" t="s">
        <v>5</v>
      </c>
      <c r="H213" s="33" t="s">
        <v>897</v>
      </c>
      <c r="I213" s="34" t="s">
        <v>386</v>
      </c>
      <c r="J213" t="s">
        <v>331</v>
      </c>
      <c r="K213" s="44"/>
    </row>
    <row r="214" spans="1:11" ht="15">
      <c r="A214" s="28" t="str">
        <f>F214&amp;(COUNTIFS(F$2:F214,F214,K$2:K214,"Sparse"))</f>
        <v>SD50</v>
      </c>
      <c r="B214" s="28" t="str">
        <f>J214&amp;(COUNTIF(J$2:J214,J214))</f>
        <v>Leicestershire8</v>
      </c>
      <c r="C214" s="31" t="s">
        <v>349</v>
      </c>
      <c r="D214" s="31" t="s">
        <v>349</v>
      </c>
      <c r="E214" s="32" t="s">
        <v>369</v>
      </c>
      <c r="F214" s="32" t="s">
        <v>383</v>
      </c>
      <c r="G214" s="32" t="s">
        <v>5</v>
      </c>
      <c r="H214" s="33" t="s">
        <v>897</v>
      </c>
      <c r="I214" s="34" t="s">
        <v>386</v>
      </c>
      <c r="J214" t="s">
        <v>318</v>
      </c>
      <c r="K214" s="44"/>
    </row>
    <row r="215" spans="1:11" ht="15">
      <c r="A215" s="28" t="str">
        <f>F215&amp;(COUNTIFS(F$2:F215,F215,K$2:K215,"Sparse"))</f>
        <v>MD0</v>
      </c>
      <c r="B215" s="28" t="str">
        <f>J215&amp;(COUNTIF(J$2:J215,J215))</f>
        <v>Oldham1</v>
      </c>
      <c r="C215" s="31" t="s">
        <v>240</v>
      </c>
      <c r="D215" s="31" t="s">
        <v>240</v>
      </c>
      <c r="E215" s="32" t="s">
        <v>378</v>
      </c>
      <c r="F215" s="32" t="s">
        <v>388</v>
      </c>
      <c r="G215" s="32" t="s">
        <v>399</v>
      </c>
      <c r="H215" s="33" t="s">
        <v>902</v>
      </c>
      <c r="I215" s="34" t="s">
        <v>386</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383</v>
      </c>
      <c r="G216" s="32" t="s">
        <v>5</v>
      </c>
      <c r="H216" s="33" t="s">
        <v>897</v>
      </c>
      <c r="I216" s="34" t="s">
        <v>386</v>
      </c>
      <c r="J216" t="s">
        <v>325</v>
      </c>
      <c r="K216" s="44"/>
    </row>
    <row r="217" spans="1:11" ht="15">
      <c r="A217" s="28" t="str">
        <f>F217&amp;(COUNTIFS(F$2:F217,F217,K$2:K217,"Sparse"))</f>
        <v>SC11</v>
      </c>
      <c r="B217" s="28" t="str">
        <f>J217&amp;(COUNTIF(J$2:J217,J217))</f>
        <v>Oxfordshire3</v>
      </c>
      <c r="C217" s="34" t="s">
        <v>325</v>
      </c>
      <c r="D217" s="34" t="s">
        <v>325</v>
      </c>
      <c r="E217" s="32" t="s">
        <v>0</v>
      </c>
      <c r="F217" s="32" t="s">
        <v>391</v>
      </c>
      <c r="G217" s="32" t="s">
        <v>302</v>
      </c>
      <c r="H217" s="34" t="s">
        <v>384</v>
      </c>
      <c r="I217" s="34" t="s">
        <v>384</v>
      </c>
      <c r="J217" t="str">
        <f>C217</f>
        <v>Oxfordshire</v>
      </c>
      <c r="K217" s="44" t="s">
        <v>336</v>
      </c>
    </row>
    <row r="218" spans="1:11" ht="15">
      <c r="A218" s="28" t="str">
        <f>F218&amp;(COUNTIFS(F$2:F218,F218,K$2:K218,"Sparse"))</f>
        <v>SD50</v>
      </c>
      <c r="B218" s="28" t="str">
        <f>J218&amp;(COUNTIF(J$2:J218,J218))</f>
        <v>Lancashire7</v>
      </c>
      <c r="C218" s="31" t="s">
        <v>119</v>
      </c>
      <c r="D218" s="31" t="s">
        <v>119</v>
      </c>
      <c r="E218" s="32" t="s">
        <v>378</v>
      </c>
      <c r="F218" s="32" t="s">
        <v>383</v>
      </c>
      <c r="G218" s="32" t="s">
        <v>5</v>
      </c>
      <c r="H218" s="33" t="s">
        <v>897</v>
      </c>
      <c r="I218" s="34" t="s">
        <v>386</v>
      </c>
      <c r="J218" t="s">
        <v>317</v>
      </c>
      <c r="K218" s="44"/>
    </row>
    <row r="219" spans="1:11" ht="15">
      <c r="A219" s="28" t="str">
        <f>F219&amp;(COUNTIFS(F$2:F219,F219,K$2:K219,"Sparse"))</f>
        <v>UA11</v>
      </c>
      <c r="B219" s="28" t="str">
        <f>J219&amp;(COUNTIF(J$2:J219,J219))</f>
        <v>Unitary32</v>
      </c>
      <c r="C219" s="31" t="s">
        <v>281</v>
      </c>
      <c r="D219" s="31" t="s">
        <v>281</v>
      </c>
      <c r="E219" s="32" t="s">
        <v>371</v>
      </c>
      <c r="F219" s="32" t="s">
        <v>389</v>
      </c>
      <c r="G219" s="32" t="s">
        <v>398</v>
      </c>
      <c r="H219" s="33" t="s">
        <v>897</v>
      </c>
      <c r="I219" s="34" t="s">
        <v>386</v>
      </c>
      <c r="J219" s="45" t="s">
        <v>398</v>
      </c>
      <c r="K219" s="44"/>
    </row>
    <row r="220" spans="1:11" ht="15">
      <c r="A220" s="28" t="str">
        <f>F220&amp;(COUNTIFS(F$2:F220,F220,K$2:K220,"Sparse"))</f>
        <v>UA11</v>
      </c>
      <c r="B220" s="28" t="str">
        <f>J220&amp;(COUNTIF(J$2:J220,J220))</f>
        <v>Unitary33</v>
      </c>
      <c r="C220" s="31" t="s">
        <v>282</v>
      </c>
      <c r="D220" s="31" t="s">
        <v>282</v>
      </c>
      <c r="E220" s="32" t="s">
        <v>1</v>
      </c>
      <c r="F220" s="32" t="s">
        <v>389</v>
      </c>
      <c r="G220" s="32" t="s">
        <v>398</v>
      </c>
      <c r="H220" s="33" t="s">
        <v>897</v>
      </c>
      <c r="I220" s="34" t="s">
        <v>386</v>
      </c>
      <c r="J220" s="45" t="s">
        <v>398</v>
      </c>
      <c r="K220" s="44"/>
    </row>
    <row r="221" spans="1:11" ht="15">
      <c r="A221" s="28" t="str">
        <f>F221&amp;(COUNTIFS(F$2:F221,F221,K$2:K221,"Sparse"))</f>
        <v>UA11</v>
      </c>
      <c r="B221" s="28" t="str">
        <f>J221&amp;(COUNTIF(J$2:J221,J221))</f>
        <v>Unitary34</v>
      </c>
      <c r="C221" s="31" t="s">
        <v>283</v>
      </c>
      <c r="D221" s="31" t="s">
        <v>283</v>
      </c>
      <c r="E221" s="32" t="s">
        <v>1</v>
      </c>
      <c r="F221" s="32" t="s">
        <v>389</v>
      </c>
      <c r="G221" s="32" t="s">
        <v>398</v>
      </c>
      <c r="H221" s="33" t="s">
        <v>897</v>
      </c>
      <c r="I221" s="34" t="s">
        <v>386</v>
      </c>
      <c r="J221" s="45" t="s">
        <v>398</v>
      </c>
      <c r="K221" s="44"/>
    </row>
    <row r="222" spans="1:11" ht="15">
      <c r="A222" s="28" t="str">
        <f>F222&amp;(COUNTIFS(F$2:F222,F222,K$2:K222,"Sparse"))</f>
        <v>UA11</v>
      </c>
      <c r="B222" s="28" t="str">
        <f>J222&amp;(COUNTIF(J$2:J222,J222))</f>
        <v>Unitary35</v>
      </c>
      <c r="C222" s="31" t="s">
        <v>284</v>
      </c>
      <c r="D222" s="31" t="s">
        <v>284</v>
      </c>
      <c r="E222" s="32" t="s">
        <v>0</v>
      </c>
      <c r="F222" s="32" t="s">
        <v>389</v>
      </c>
      <c r="G222" s="32" t="s">
        <v>398</v>
      </c>
      <c r="H222" s="33" t="s">
        <v>897</v>
      </c>
      <c r="I222" s="34" t="s">
        <v>386</v>
      </c>
      <c r="J222" s="45" t="s">
        <v>398</v>
      </c>
      <c r="K222" s="44"/>
    </row>
    <row r="223" spans="1:11" ht="15">
      <c r="A223" s="28" t="str">
        <f>F223&amp;(COUNTIFS(F$2:F223,F223,K$2:K223,"Sparse"))</f>
        <v>SD50</v>
      </c>
      <c r="B223" s="28" t="str">
        <f>J223&amp;(COUNTIF(J$2:J223,J223))</f>
        <v>Lancashire8</v>
      </c>
      <c r="C223" s="31" t="s">
        <v>120</v>
      </c>
      <c r="D223" s="31" t="s">
        <v>120</v>
      </c>
      <c r="E223" s="32" t="s">
        <v>378</v>
      </c>
      <c r="F223" s="32" t="s">
        <v>383</v>
      </c>
      <c r="G223" s="32" t="s">
        <v>5</v>
      </c>
      <c r="H223" s="33" t="s">
        <v>897</v>
      </c>
      <c r="I223" s="34" t="s">
        <v>386</v>
      </c>
      <c r="J223" t="s">
        <v>317</v>
      </c>
      <c r="K223" s="44"/>
    </row>
    <row r="224" spans="1:11" ht="15">
      <c r="A224" s="28" t="str">
        <f>F224&amp;(COUNTIFS(F$2:F224,F224,K$2:K224,"Sparse"))</f>
        <v>SD51</v>
      </c>
      <c r="B224" s="28" t="str">
        <f>J224&amp;(COUNTIF(J$2:J224,J224))</f>
        <v>Dorset5</v>
      </c>
      <c r="C224" s="31" t="s">
        <v>121</v>
      </c>
      <c r="D224" s="31" t="s">
        <v>121</v>
      </c>
      <c r="E224" s="32" t="s">
        <v>1</v>
      </c>
      <c r="F224" s="32" t="s">
        <v>383</v>
      </c>
      <c r="G224" s="32" t="s">
        <v>5</v>
      </c>
      <c r="H224" s="33" t="s">
        <v>898</v>
      </c>
      <c r="I224" s="34" t="s">
        <v>384</v>
      </c>
      <c r="J224" t="s">
        <v>310</v>
      </c>
      <c r="K224" s="44" t="s">
        <v>336</v>
      </c>
    </row>
    <row r="225" spans="1:11" ht="15">
      <c r="A225" s="28" t="str">
        <f>F225&amp;(COUNTIFS(F$2:F225,F225,K$2:K225,"Sparse"))</f>
        <v>UA11</v>
      </c>
      <c r="B225" s="28" t="str">
        <f>J225&amp;(COUNTIF(J$2:J225,J225))</f>
        <v>Unitary36</v>
      </c>
      <c r="C225" s="31" t="s">
        <v>285</v>
      </c>
      <c r="D225" s="31" t="s">
        <v>285</v>
      </c>
      <c r="E225" s="32" t="s">
        <v>0</v>
      </c>
      <c r="F225" s="32" t="s">
        <v>389</v>
      </c>
      <c r="G225" s="32" t="s">
        <v>398</v>
      </c>
      <c r="H225" s="33" t="s">
        <v>897</v>
      </c>
      <c r="I225" s="34" t="s">
        <v>386</v>
      </c>
      <c r="J225" s="45" t="s">
        <v>398</v>
      </c>
      <c r="K225" s="44"/>
    </row>
    <row r="226" spans="1:11" ht="15">
      <c r="A226" s="28" t="str">
        <f>F226&amp;(COUNTIFS(F$2:F226,F226,K$2:K226,"Sparse"))</f>
        <v>L0</v>
      </c>
      <c r="B226" s="28" t="str">
        <f>J226&amp;(COUNTIF(J$2:J226,J226))</f>
        <v>London26</v>
      </c>
      <c r="C226" s="31" t="s">
        <v>217</v>
      </c>
      <c r="D226" s="31" t="s">
        <v>217</v>
      </c>
      <c r="E226" s="32" t="s">
        <v>385</v>
      </c>
      <c r="F226" s="32" t="s">
        <v>360</v>
      </c>
      <c r="G226" s="32" t="s">
        <v>385</v>
      </c>
      <c r="H226" s="33" t="s">
        <v>902</v>
      </c>
      <c r="I226" s="34" t="s">
        <v>386</v>
      </c>
      <c r="J226" t="str">
        <f>G226</f>
        <v>London</v>
      </c>
      <c r="K226" s="44"/>
    </row>
    <row r="227" spans="1:11" ht="15">
      <c r="A227" s="28" t="str">
        <f>F227&amp;(COUNTIFS(F$2:F227,F227,K$2:K227,"Sparse"))</f>
        <v>UA11</v>
      </c>
      <c r="B227" s="28" t="str">
        <f>J227&amp;(COUNTIF(J$2:J227,J227))</f>
        <v>Unitary37</v>
      </c>
      <c r="C227" s="31" t="s">
        <v>812</v>
      </c>
      <c r="D227" s="31" t="s">
        <v>812</v>
      </c>
      <c r="E227" s="32" t="s">
        <v>392</v>
      </c>
      <c r="F227" s="32" t="s">
        <v>389</v>
      </c>
      <c r="G227" s="32" t="s">
        <v>398</v>
      </c>
      <c r="H227" s="35" t="s">
        <v>900</v>
      </c>
      <c r="I227" s="34" t="s">
        <v>373</v>
      </c>
      <c r="J227" s="45" t="s">
        <v>398</v>
      </c>
      <c r="K227" s="44"/>
    </row>
    <row r="228" spans="1:11" ht="15">
      <c r="A228" s="28" t="str">
        <f>F228&amp;(COUNTIFS(F$2:F228,F228,K$2:K228,"Sparse"))</f>
        <v>SD51</v>
      </c>
      <c r="B228" s="28" t="str">
        <f>J228&amp;(COUNTIF(J$2:J228,J228))</f>
        <v>Worcestershire3</v>
      </c>
      <c r="C228" s="31" t="s">
        <v>122</v>
      </c>
      <c r="D228" s="31" t="s">
        <v>122</v>
      </c>
      <c r="E228" s="32" t="s">
        <v>370</v>
      </c>
      <c r="F228" s="32" t="s">
        <v>383</v>
      </c>
      <c r="G228" s="32" t="s">
        <v>5</v>
      </c>
      <c r="H228" s="33" t="s">
        <v>897</v>
      </c>
      <c r="I228" s="34" t="s">
        <v>386</v>
      </c>
      <c r="J228" t="s">
        <v>333</v>
      </c>
      <c r="K228" s="44"/>
    </row>
    <row r="229" spans="1:11" ht="15">
      <c r="A229" s="28" t="str">
        <f>F229&amp;(COUNTIFS(F$2:F229,F229,K$2:K229,"Sparse"))</f>
        <v>SD51</v>
      </c>
      <c r="B229" s="28" t="str">
        <f>J229&amp;(COUNTIF(J$2:J229,J229))</f>
        <v>Surrey5</v>
      </c>
      <c r="C229" s="31" t="s">
        <v>350</v>
      </c>
      <c r="D229" s="31" t="s">
        <v>350</v>
      </c>
      <c r="E229" s="32" t="s">
        <v>0</v>
      </c>
      <c r="F229" s="32" t="s">
        <v>383</v>
      </c>
      <c r="G229" s="32" t="s">
        <v>5</v>
      </c>
      <c r="H229" s="33" t="s">
        <v>897</v>
      </c>
      <c r="I229" s="34" t="s">
        <v>386</v>
      </c>
      <c r="J229" t="s">
        <v>330</v>
      </c>
      <c r="K229" s="44"/>
    </row>
    <row r="230" spans="1:11" ht="15">
      <c r="A230" s="28" t="str">
        <f>F230&amp;(COUNTIFS(F$2:F230,F230,K$2:K230,"Sparse"))</f>
        <v>SD52</v>
      </c>
      <c r="B230" s="28" t="str">
        <f>J230&amp;(COUNTIF(J$2:J230,J230))</f>
        <v>Lancashire9</v>
      </c>
      <c r="C230" s="31" t="s">
        <v>123</v>
      </c>
      <c r="D230" s="31" t="s">
        <v>123</v>
      </c>
      <c r="E230" s="32" t="s">
        <v>378</v>
      </c>
      <c r="F230" s="32" t="s">
        <v>383</v>
      </c>
      <c r="G230" s="32" t="s">
        <v>5</v>
      </c>
      <c r="H230" s="33" t="s">
        <v>898</v>
      </c>
      <c r="I230" s="34" t="s">
        <v>384</v>
      </c>
      <c r="J230" t="s">
        <v>317</v>
      </c>
      <c r="K230" s="44" t="s">
        <v>336</v>
      </c>
    </row>
    <row r="231" spans="1:11" ht="15">
      <c r="A231" s="28" t="str">
        <f>F231&amp;(COUNTIFS(F$2:F231,F231,K$2:K231,"Sparse"))</f>
        <v>L0</v>
      </c>
      <c r="B231" s="28" t="str">
        <f>J231&amp;(COUNTIF(J$2:J231,J231))</f>
        <v>London27</v>
      </c>
      <c r="C231" s="31" t="s">
        <v>396</v>
      </c>
      <c r="D231" s="31" t="s">
        <v>396</v>
      </c>
      <c r="E231" s="32" t="s">
        <v>385</v>
      </c>
      <c r="F231" s="32" t="s">
        <v>360</v>
      </c>
      <c r="G231" s="32" t="s">
        <v>385</v>
      </c>
      <c r="H231" s="33" t="s">
        <v>902</v>
      </c>
      <c r="I231" s="34" t="s">
        <v>386</v>
      </c>
      <c r="J231" t="str">
        <f>G231</f>
        <v>London</v>
      </c>
      <c r="K231" s="44"/>
    </row>
    <row r="232" spans="1:11" ht="15">
      <c r="A232" s="28" t="str">
        <f>F232&amp;(COUNTIFS(F$2:F232,F232,K$2:K232,"Sparse"))</f>
        <v>SD53</v>
      </c>
      <c r="B232" s="28" t="str">
        <f>J232&amp;(COUNTIF(J$2:J232,J232))</f>
        <v>North Yorkshire5</v>
      </c>
      <c r="C232" s="31" t="s">
        <v>124</v>
      </c>
      <c r="D232" s="31" t="s">
        <v>124</v>
      </c>
      <c r="E232" s="32" t="s">
        <v>387</v>
      </c>
      <c r="F232" s="32" t="s">
        <v>383</v>
      </c>
      <c r="G232" s="32" t="s">
        <v>5</v>
      </c>
      <c r="H232" s="33" t="s">
        <v>898</v>
      </c>
      <c r="I232" s="34" t="s">
        <v>384</v>
      </c>
      <c r="J232" t="s">
        <v>321</v>
      </c>
      <c r="K232" s="44" t="s">
        <v>336</v>
      </c>
    </row>
    <row r="233" spans="1:11" ht="15">
      <c r="A233" s="28" t="str">
        <f>F233&amp;(COUNTIFS(F$2:F233,F233,K$2:K233,"Sparse"))</f>
        <v>MD0</v>
      </c>
      <c r="B233" s="28" t="str">
        <f>J233&amp;(COUNTIF(J$2:J233,J233))</f>
        <v>Rochdale1</v>
      </c>
      <c r="C233" s="31" t="s">
        <v>241</v>
      </c>
      <c r="D233" s="31" t="s">
        <v>241</v>
      </c>
      <c r="E233" s="32" t="s">
        <v>378</v>
      </c>
      <c r="F233" s="32" t="s">
        <v>388</v>
      </c>
      <c r="G233" s="32" t="s">
        <v>399</v>
      </c>
      <c r="H233" s="33" t="s">
        <v>902</v>
      </c>
      <c r="I233" s="34" t="s">
        <v>386</v>
      </c>
      <c r="J233" t="str">
        <f>C233</f>
        <v>Rochdale</v>
      </c>
      <c r="K233" s="44"/>
    </row>
    <row r="234" spans="1:11" ht="15">
      <c r="A234" s="28" t="str">
        <f>F234&amp;(COUNTIFS(F$2:F234,F234,K$2:K234,"Sparse"))</f>
        <v>SD53</v>
      </c>
      <c r="B234" s="28" t="str">
        <f>J234&amp;(COUNTIF(J$2:J234,J234))</f>
        <v>Essex11</v>
      </c>
      <c r="C234" s="31" t="s">
        <v>125</v>
      </c>
      <c r="D234" s="31" t="s">
        <v>125</v>
      </c>
      <c r="E234" s="32" t="s">
        <v>371</v>
      </c>
      <c r="F234" s="32" t="s">
        <v>383</v>
      </c>
      <c r="G234" s="32" t="s">
        <v>5</v>
      </c>
      <c r="H234" s="33" t="s">
        <v>897</v>
      </c>
      <c r="I234" s="34" t="s">
        <v>386</v>
      </c>
      <c r="J234" t="s">
        <v>312</v>
      </c>
      <c r="K234" s="44"/>
    </row>
    <row r="235" spans="1:11" ht="15">
      <c r="A235" s="28" t="str">
        <f>F235&amp;(COUNTIFS(F$2:F235,F235,K$2:K235,"Sparse"))</f>
        <v>SD53</v>
      </c>
      <c r="B235" s="28" t="str">
        <f>J235&amp;(COUNTIF(J$2:J235,J235))</f>
        <v>Lancashire10</v>
      </c>
      <c r="C235" s="31" t="s">
        <v>126</v>
      </c>
      <c r="D235" s="31" t="s">
        <v>126</v>
      </c>
      <c r="E235" s="32" t="s">
        <v>378</v>
      </c>
      <c r="F235" s="32" t="s">
        <v>383</v>
      </c>
      <c r="G235" s="32" t="s">
        <v>5</v>
      </c>
      <c r="H235" s="33" t="s">
        <v>897</v>
      </c>
      <c r="I235" s="34" t="s">
        <v>386</v>
      </c>
      <c r="J235" t="s">
        <v>317</v>
      </c>
      <c r="K235" s="44"/>
    </row>
    <row r="236" spans="1:11" ht="15">
      <c r="A236" s="28" t="str">
        <f>F236&amp;(COUNTIFS(F$2:F236,F236,K$2:K236,"Sparse"))</f>
        <v>SD54</v>
      </c>
      <c r="B236" s="28" t="str">
        <f>J236&amp;(COUNTIF(J$2:J236,J236))</f>
        <v>East Sussex5</v>
      </c>
      <c r="C236" s="31" t="s">
        <v>127</v>
      </c>
      <c r="D236" s="31" t="s">
        <v>127</v>
      </c>
      <c r="E236" s="32" t="s">
        <v>0</v>
      </c>
      <c r="F236" s="32" t="s">
        <v>383</v>
      </c>
      <c r="G236" s="32" t="s">
        <v>5</v>
      </c>
      <c r="H236" s="33" t="s">
        <v>901</v>
      </c>
      <c r="I236" s="34" t="s">
        <v>384</v>
      </c>
      <c r="J236" t="s">
        <v>311</v>
      </c>
      <c r="K236" s="44" t="s">
        <v>336</v>
      </c>
    </row>
    <row r="237" spans="1:11" ht="15">
      <c r="A237" s="28" t="str">
        <f>F237&amp;(COUNTIFS(F$2:F237,F237,K$2:K237,"Sparse"))</f>
        <v>MD0</v>
      </c>
      <c r="B237" s="28" t="str">
        <f>J237&amp;(COUNTIF(J$2:J237,J237))</f>
        <v>Rotherham1</v>
      </c>
      <c r="C237" s="31" t="s">
        <v>242</v>
      </c>
      <c r="D237" s="31" t="s">
        <v>242</v>
      </c>
      <c r="E237" s="32" t="s">
        <v>387</v>
      </c>
      <c r="F237" s="32" t="s">
        <v>388</v>
      </c>
      <c r="G237" s="32" t="s">
        <v>399</v>
      </c>
      <c r="H237" s="33" t="s">
        <v>899</v>
      </c>
      <c r="I237" s="34" t="s">
        <v>386</v>
      </c>
      <c r="J237" t="str">
        <f>C237</f>
        <v>Rotherham</v>
      </c>
      <c r="K237" s="44"/>
    </row>
    <row r="238" spans="1:11" ht="15">
      <c r="A238" s="28" t="str">
        <f>F238&amp;(COUNTIFS(F$2:F238,F238,K$2:K238,"Sparse"))</f>
        <v>SD55</v>
      </c>
      <c r="B238" s="28" t="str">
        <f>J238&amp;(COUNTIF(J$2:J238,J238))</f>
        <v>Warwickshire3</v>
      </c>
      <c r="C238" s="31" t="s">
        <v>128</v>
      </c>
      <c r="D238" s="31" t="s">
        <v>128</v>
      </c>
      <c r="E238" s="32" t="s">
        <v>370</v>
      </c>
      <c r="F238" s="32" t="s">
        <v>383</v>
      </c>
      <c r="G238" s="32" t="s">
        <v>5</v>
      </c>
      <c r="H238" s="35" t="s">
        <v>897</v>
      </c>
      <c r="I238" s="34" t="s">
        <v>386</v>
      </c>
      <c r="J238" t="s">
        <v>331</v>
      </c>
      <c r="K238" s="44" t="s">
        <v>336</v>
      </c>
    </row>
    <row r="239" spans="1:11" ht="15">
      <c r="A239" s="28" t="str">
        <f>F239&amp;(COUNTIFS(F$2:F239,F239,K$2:K239,"Sparse"))</f>
        <v>SD55</v>
      </c>
      <c r="B239" s="28" t="str">
        <f>J239&amp;(COUNTIF(J$2:J239,J239))</f>
        <v>Surrey6</v>
      </c>
      <c r="C239" s="31" t="s">
        <v>129</v>
      </c>
      <c r="D239" s="31" t="s">
        <v>129</v>
      </c>
      <c r="E239" s="32" t="s">
        <v>0</v>
      </c>
      <c r="F239" s="32" t="s">
        <v>383</v>
      </c>
      <c r="G239" s="32" t="s">
        <v>5</v>
      </c>
      <c r="H239" s="33" t="s">
        <v>902</v>
      </c>
      <c r="I239" s="34" t="s">
        <v>386</v>
      </c>
      <c r="J239" t="s">
        <v>330</v>
      </c>
      <c r="K239" s="44"/>
    </row>
    <row r="240" spans="1:11" ht="15">
      <c r="A240" s="28" t="str">
        <f>F240&amp;(COUNTIFS(F$2:F240,F240,K$2:K240,"Sparse"))</f>
        <v>SD55</v>
      </c>
      <c r="B240" s="28" t="str">
        <f>J240&amp;(COUNTIF(J$2:J240,J240))</f>
        <v>Nottinghamshire8</v>
      </c>
      <c r="C240" s="31" t="s">
        <v>130</v>
      </c>
      <c r="D240" s="31" t="s">
        <v>130</v>
      </c>
      <c r="E240" s="32" t="s">
        <v>369</v>
      </c>
      <c r="F240" s="32" t="s">
        <v>383</v>
      </c>
      <c r="G240" s="32" t="s">
        <v>5</v>
      </c>
      <c r="H240" s="33" t="s">
        <v>901</v>
      </c>
      <c r="I240" s="34" t="s">
        <v>384</v>
      </c>
      <c r="J240" t="s">
        <v>324</v>
      </c>
      <c r="K240" s="44"/>
    </row>
    <row r="241" spans="1:11" ht="15">
      <c r="A241" s="28" t="str">
        <f>F241&amp;(COUNTIFS(F$2:F241,F241,K$2:K241,"Sparse"))</f>
        <v>SD55</v>
      </c>
      <c r="B241" s="28" t="str">
        <f>J241&amp;(COUNTIF(J$2:J241,J241))</f>
        <v>Hampshire10</v>
      </c>
      <c r="C241" s="31" t="s">
        <v>131</v>
      </c>
      <c r="D241" s="31" t="s">
        <v>131</v>
      </c>
      <c r="E241" s="32" t="s">
        <v>0</v>
      </c>
      <c r="F241" s="32" t="s">
        <v>383</v>
      </c>
      <c r="G241" s="32" t="s">
        <v>5</v>
      </c>
      <c r="H241" s="33" t="s">
        <v>897</v>
      </c>
      <c r="I241" s="34" t="s">
        <v>386</v>
      </c>
      <c r="J241" t="s">
        <v>314</v>
      </c>
      <c r="K241" s="44"/>
    </row>
    <row r="242" spans="1:11" ht="15">
      <c r="A242" s="28" t="str">
        <f>F242&amp;(COUNTIFS(F$2:F242,F242,K$2:K242,"Sparse"))</f>
        <v>UA12</v>
      </c>
      <c r="B242" s="28" t="str">
        <f>J242&amp;(COUNTIF(J$2:J242,J242))</f>
        <v>Unitary38</v>
      </c>
      <c r="C242" s="31" t="s">
        <v>286</v>
      </c>
      <c r="D242" s="31" t="s">
        <v>286</v>
      </c>
      <c r="E242" s="32" t="s">
        <v>369</v>
      </c>
      <c r="F242" s="32" t="s">
        <v>389</v>
      </c>
      <c r="G242" s="32" t="s">
        <v>398</v>
      </c>
      <c r="H242" s="33" t="s">
        <v>898</v>
      </c>
      <c r="I242" s="34" t="s">
        <v>384</v>
      </c>
      <c r="J242" s="45" t="s">
        <v>398</v>
      </c>
      <c r="K242" s="44" t="s">
        <v>336</v>
      </c>
    </row>
    <row r="243" spans="1:11" ht="15">
      <c r="A243" s="28" t="str">
        <f>F243&amp;(COUNTIFS(F$2:F243,F243,K$2:K243,"Sparse"))</f>
        <v>SD56</v>
      </c>
      <c r="B243" s="28" t="str">
        <f>J243&amp;(COUNTIF(J$2:J243,J243))</f>
        <v>North Yorkshire6</v>
      </c>
      <c r="C243" s="31" t="s">
        <v>132</v>
      </c>
      <c r="D243" s="31" t="s">
        <v>132</v>
      </c>
      <c r="E243" s="32" t="s">
        <v>387</v>
      </c>
      <c r="F243" s="32" t="s">
        <v>383</v>
      </c>
      <c r="G243" s="32" t="s">
        <v>5</v>
      </c>
      <c r="H243" s="33" t="s">
        <v>898</v>
      </c>
      <c r="I243" s="34" t="s">
        <v>384</v>
      </c>
      <c r="J243" t="s">
        <v>321</v>
      </c>
      <c r="K243" s="44" t="s">
        <v>336</v>
      </c>
    </row>
    <row r="244" spans="1:11" ht="15">
      <c r="A244" s="28" t="str">
        <f>F244&amp;(COUNTIFS(F$2:F244,F244,K$2:K244,"Sparse"))</f>
        <v>MD0</v>
      </c>
      <c r="B244" s="28" t="str">
        <f>J244&amp;(COUNTIF(J$2:J244,J244))</f>
        <v>Salford1</v>
      </c>
      <c r="C244" s="31" t="s">
        <v>243</v>
      </c>
      <c r="D244" s="31" t="s">
        <v>243</v>
      </c>
      <c r="E244" s="32" t="s">
        <v>378</v>
      </c>
      <c r="F244" s="32" t="s">
        <v>388</v>
      </c>
      <c r="G244" s="32" t="s">
        <v>399</v>
      </c>
      <c r="H244" s="33" t="s">
        <v>902</v>
      </c>
      <c r="I244" s="34" t="s">
        <v>386</v>
      </c>
      <c r="J244" t="str">
        <f>C244</f>
        <v>Salford</v>
      </c>
      <c r="K244" s="44"/>
    </row>
    <row r="245" spans="1:11" ht="15">
      <c r="A245" s="28" t="str">
        <f>F245&amp;(COUNTIFS(F$2:F245,F245,K$2:K245,"Sparse"))</f>
        <v>MD0</v>
      </c>
      <c r="B245" s="28" t="str">
        <f>J245&amp;(COUNTIF(J$2:J245,J245))</f>
        <v>Sandwell1</v>
      </c>
      <c r="C245" s="31" t="s">
        <v>244</v>
      </c>
      <c r="D245" s="31" t="s">
        <v>244</v>
      </c>
      <c r="E245" s="32" t="s">
        <v>370</v>
      </c>
      <c r="F245" s="32" t="s">
        <v>388</v>
      </c>
      <c r="G245" s="32" t="s">
        <v>399</v>
      </c>
      <c r="H245" s="33" t="s">
        <v>902</v>
      </c>
      <c r="I245" s="34" t="s">
        <v>386</v>
      </c>
      <c r="J245" t="str">
        <f>C245</f>
        <v>Sandwell</v>
      </c>
      <c r="K245" s="44"/>
    </row>
    <row r="246" spans="1:11" ht="15">
      <c r="A246" s="28" t="str">
        <f>F246&amp;(COUNTIFS(F$2:F246,F246,K$2:K246,"Sparse"))</f>
        <v>SD57</v>
      </c>
      <c r="B246" s="28" t="str">
        <f>J246&amp;(COUNTIF(J$2:J246,J246))</f>
        <v>North Yorkshire7</v>
      </c>
      <c r="C246" s="31" t="s">
        <v>133</v>
      </c>
      <c r="D246" s="31" t="s">
        <v>133</v>
      </c>
      <c r="E246" s="32" t="s">
        <v>387</v>
      </c>
      <c r="F246" s="32" t="s">
        <v>383</v>
      </c>
      <c r="G246" s="32" t="s">
        <v>5</v>
      </c>
      <c r="H246" s="35" t="s">
        <v>900</v>
      </c>
      <c r="I246" s="34" t="s">
        <v>373</v>
      </c>
      <c r="J246" t="s">
        <v>321</v>
      </c>
      <c r="K246" s="44" t="s">
        <v>336</v>
      </c>
    </row>
    <row r="247" spans="1:11" ht="15">
      <c r="A247" s="28" t="str">
        <f>F247&amp;(COUNTIFS(F$2:F247,F247,K$2:K247,"Sparse"))</f>
        <v>SD58</v>
      </c>
      <c r="B247" s="28" t="str">
        <f>J247&amp;(COUNTIF(J$2:J247,J247))</f>
        <v>Somerset2</v>
      </c>
      <c r="C247" s="31" t="s">
        <v>134</v>
      </c>
      <c r="D247" s="31" t="s">
        <v>134</v>
      </c>
      <c r="E247" s="32" t="s">
        <v>1</v>
      </c>
      <c r="F247" s="32" t="s">
        <v>383</v>
      </c>
      <c r="G247" s="32" t="s">
        <v>5</v>
      </c>
      <c r="H247" s="33" t="s">
        <v>901</v>
      </c>
      <c r="I247" s="34" t="s">
        <v>384</v>
      </c>
      <c r="J247" t="s">
        <v>327</v>
      </c>
      <c r="K247" s="44" t="s">
        <v>336</v>
      </c>
    </row>
    <row r="248" spans="1:11" ht="15">
      <c r="A248" s="28" t="str">
        <f>F248&amp;(COUNTIFS(F$2:F248,F248,K$2:K248,"Sparse"))</f>
        <v>MD0</v>
      </c>
      <c r="B248" s="28" t="str">
        <f>J248&amp;(COUNTIF(J$2:J248,J248))</f>
        <v>Sefton1</v>
      </c>
      <c r="C248" s="31" t="s">
        <v>245</v>
      </c>
      <c r="D248" s="31" t="s">
        <v>245</v>
      </c>
      <c r="E248" s="32" t="s">
        <v>378</v>
      </c>
      <c r="F248" s="32" t="s">
        <v>388</v>
      </c>
      <c r="G248" s="32" t="s">
        <v>399</v>
      </c>
      <c r="H248" s="33" t="s">
        <v>902</v>
      </c>
      <c r="I248" s="34" t="s">
        <v>386</v>
      </c>
      <c r="J248" t="str">
        <f>C248</f>
        <v>Sefton</v>
      </c>
      <c r="K248" s="44"/>
    </row>
    <row r="249" spans="1:11" ht="15">
      <c r="A249" s="28" t="str">
        <f>F249&amp;(COUNTIFS(F$2:F249,F249,K$2:K249,"Sparse"))</f>
        <v>SD59</v>
      </c>
      <c r="B249" s="28" t="str">
        <f>J249&amp;(COUNTIF(J$2:J249,J249))</f>
        <v>North Yorkshire8</v>
      </c>
      <c r="C249" s="31" t="s">
        <v>135</v>
      </c>
      <c r="D249" s="31" t="s">
        <v>135</v>
      </c>
      <c r="E249" s="32" t="s">
        <v>387</v>
      </c>
      <c r="F249" s="32" t="s">
        <v>383</v>
      </c>
      <c r="G249" s="32" t="s">
        <v>5</v>
      </c>
      <c r="H249" s="33" t="s">
        <v>898</v>
      </c>
      <c r="I249" s="34" t="s">
        <v>384</v>
      </c>
      <c r="J249" t="s">
        <v>321</v>
      </c>
      <c r="K249" s="44" t="s">
        <v>336</v>
      </c>
    </row>
    <row r="250" spans="1:11" ht="15">
      <c r="A250" s="28" t="str">
        <f>F250&amp;(COUNTIFS(F$2:F250,F250,K$2:K250,"Sparse"))</f>
        <v>SD60</v>
      </c>
      <c r="B250" s="28" t="str">
        <f>J250&amp;(COUNTIF(J$2:J250,J250))</f>
        <v>Kent8</v>
      </c>
      <c r="C250" s="31" t="s">
        <v>136</v>
      </c>
      <c r="D250" s="31" t="s">
        <v>136</v>
      </c>
      <c r="E250" s="32" t="s">
        <v>0</v>
      </c>
      <c r="F250" s="32" t="s">
        <v>383</v>
      </c>
      <c r="G250" s="32" t="s">
        <v>5</v>
      </c>
      <c r="H250" s="33" t="s">
        <v>901</v>
      </c>
      <c r="I250" s="34" t="s">
        <v>384</v>
      </c>
      <c r="J250" t="s">
        <v>316</v>
      </c>
      <c r="K250" s="44" t="s">
        <v>336</v>
      </c>
    </row>
    <row r="251" spans="1:11" ht="15">
      <c r="A251" s="28" t="str">
        <f>F251&amp;(COUNTIFS(F$2:F251,F251,K$2:K251,"Sparse"))</f>
        <v>MD0</v>
      </c>
      <c r="B251" s="28" t="str">
        <f>J251&amp;(COUNTIF(J$2:J251,J251))</f>
        <v>Sheffield1</v>
      </c>
      <c r="C251" s="31" t="s">
        <v>246</v>
      </c>
      <c r="D251" s="31" t="s">
        <v>246</v>
      </c>
      <c r="E251" s="32" t="s">
        <v>387</v>
      </c>
      <c r="F251" s="32" t="s">
        <v>388</v>
      </c>
      <c r="G251" s="32" t="s">
        <v>399</v>
      </c>
      <c r="H251" s="33" t="s">
        <v>899</v>
      </c>
      <c r="I251" s="34" t="s">
        <v>386</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383</v>
      </c>
      <c r="G252" s="32" t="s">
        <v>5</v>
      </c>
      <c r="H252" s="35" t="s">
        <v>900</v>
      </c>
      <c r="I252" s="34" t="s">
        <v>373</v>
      </c>
      <c r="J252" t="s">
        <v>316</v>
      </c>
      <c r="K252" s="44" t="s">
        <v>336</v>
      </c>
    </row>
    <row r="253" spans="1:11" ht="15">
      <c r="A253" s="28" t="str">
        <f>F253&amp;(COUNTIFS(F$2:F253,F253,K$2:K253,"Sparse"))</f>
        <v>UA13</v>
      </c>
      <c r="B253" s="28" t="str">
        <f>J253&amp;(COUNTIF(J$2:J253,J253))</f>
        <v>Unitary39</v>
      </c>
      <c r="C253" s="31" t="s">
        <v>326</v>
      </c>
      <c r="D253" s="31" t="s">
        <v>326</v>
      </c>
      <c r="E253" s="32" t="s">
        <v>370</v>
      </c>
      <c r="F253" s="32" t="s">
        <v>389</v>
      </c>
      <c r="G253" s="32" t="s">
        <v>398</v>
      </c>
      <c r="H253" s="35" t="s">
        <v>901</v>
      </c>
      <c r="I253" s="34" t="s">
        <v>384</v>
      </c>
      <c r="J253" s="45" t="s">
        <v>398</v>
      </c>
      <c r="K253" s="44" t="s">
        <v>336</v>
      </c>
    </row>
    <row r="254" spans="1:11" ht="15">
      <c r="A254" s="28" t="str">
        <f>F254&amp;(COUNTIFS(F$2:F254,F254,K$2:K254,"Sparse"))</f>
        <v>UA13</v>
      </c>
      <c r="B254" s="28" t="str">
        <f>J254&amp;(COUNTIF(J$2:J254,J254))</f>
        <v>Unitary40</v>
      </c>
      <c r="C254" s="31" t="s">
        <v>287</v>
      </c>
      <c r="D254" s="31" t="s">
        <v>287</v>
      </c>
      <c r="E254" s="32" t="s">
        <v>0</v>
      </c>
      <c r="F254" s="32" t="s">
        <v>389</v>
      </c>
      <c r="G254" s="32" t="s">
        <v>398</v>
      </c>
      <c r="H254" s="33" t="s">
        <v>897</v>
      </c>
      <c r="I254" s="34" t="s">
        <v>386</v>
      </c>
      <c r="J254" s="45" t="s">
        <v>398</v>
      </c>
      <c r="K254" s="44"/>
    </row>
    <row r="255" spans="1:11" ht="15">
      <c r="A255" s="28" t="str">
        <f>F255&amp;(COUNTIFS(F$2:F255,F255,K$2:K255,"Sparse"))</f>
        <v>MD0</v>
      </c>
      <c r="B255" s="28" t="str">
        <f>J255&amp;(COUNTIF(J$2:J255,J255))</f>
        <v>Solihull1</v>
      </c>
      <c r="C255" s="31" t="s">
        <v>247</v>
      </c>
      <c r="D255" s="31" t="s">
        <v>247</v>
      </c>
      <c r="E255" s="32" t="s">
        <v>370</v>
      </c>
      <c r="F255" s="32" t="s">
        <v>388</v>
      </c>
      <c r="G255" s="32" t="s">
        <v>399</v>
      </c>
      <c r="H255" s="33" t="s">
        <v>902</v>
      </c>
      <c r="I255" s="34" t="s">
        <v>386</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391</v>
      </c>
      <c r="G256" s="32" t="s">
        <v>302</v>
      </c>
      <c r="H256" s="34" t="s">
        <v>384</v>
      </c>
      <c r="I256" s="34" t="s">
        <v>384</v>
      </c>
      <c r="J256" t="str">
        <f>C256</f>
        <v>Somerset</v>
      </c>
      <c r="K256" s="44" t="s">
        <v>336</v>
      </c>
    </row>
    <row r="257" spans="1:11" ht="15">
      <c r="A257" s="28" t="str">
        <f>F257&amp;(COUNTIFS(F$2:F257,F257,K$2:K257,"Sparse"))</f>
        <v>SD61</v>
      </c>
      <c r="B257" s="28" t="str">
        <f>J257&amp;(COUNTIF(J$2:J257,J257))</f>
        <v>Buckinghamshire4</v>
      </c>
      <c r="C257" s="31" t="s">
        <v>138</v>
      </c>
      <c r="D257" s="31" t="s">
        <v>138</v>
      </c>
      <c r="E257" s="32" t="s">
        <v>0</v>
      </c>
      <c r="F257" s="32" t="s">
        <v>383</v>
      </c>
      <c r="G257" s="32" t="s">
        <v>5</v>
      </c>
      <c r="H257" s="33" t="s">
        <v>900</v>
      </c>
      <c r="I257" s="34" t="s">
        <v>373</v>
      </c>
      <c r="J257" t="s">
        <v>301</v>
      </c>
      <c r="K257" s="44"/>
    </row>
    <row r="258" spans="1:11" ht="15">
      <c r="A258" s="28" t="str">
        <f>F258&amp;(COUNTIFS(F$2:F258,F258,K$2:K258,"Sparse"))</f>
        <v>SD62</v>
      </c>
      <c r="B258" s="28" t="str">
        <f>J258&amp;(COUNTIF(J$2:J258,J258))</f>
        <v>Cambridgeshire6</v>
      </c>
      <c r="C258" s="31" t="s">
        <v>139</v>
      </c>
      <c r="D258" s="31" t="s">
        <v>139</v>
      </c>
      <c r="E258" s="32" t="s">
        <v>371</v>
      </c>
      <c r="F258" s="32" t="s">
        <v>383</v>
      </c>
      <c r="G258" s="32" t="s">
        <v>5</v>
      </c>
      <c r="H258" s="33" t="s">
        <v>901</v>
      </c>
      <c r="I258" s="34" t="s">
        <v>384</v>
      </c>
      <c r="J258" t="s">
        <v>303</v>
      </c>
      <c r="K258" s="44" t="s">
        <v>336</v>
      </c>
    </row>
    <row r="259" spans="1:11" ht="15">
      <c r="A259" s="28" t="str">
        <f>F259&amp;(COUNTIFS(F$2:F259,F259,K$2:K259,"Sparse"))</f>
        <v>SD63</v>
      </c>
      <c r="B259" s="28" t="str">
        <f>J259&amp;(COUNTIF(J$2:J259,J259))</f>
        <v>Derbyshire9</v>
      </c>
      <c r="C259" s="31" t="s">
        <v>140</v>
      </c>
      <c r="D259" s="31" t="s">
        <v>140</v>
      </c>
      <c r="E259" s="32" t="s">
        <v>369</v>
      </c>
      <c r="F259" s="32" t="s">
        <v>383</v>
      </c>
      <c r="G259" s="32" t="s">
        <v>5</v>
      </c>
      <c r="H259" s="35" t="s">
        <v>900</v>
      </c>
      <c r="I259" s="34" t="s">
        <v>373</v>
      </c>
      <c r="J259" t="s">
        <v>308</v>
      </c>
      <c r="K259" s="44" t="s">
        <v>336</v>
      </c>
    </row>
    <row r="260" spans="1:11" ht="15">
      <c r="A260" s="28" t="str">
        <f>F260&amp;(COUNTIFS(F$2:F260,F260,K$2:K260,"Sparse"))</f>
        <v>UA13</v>
      </c>
      <c r="B260" s="28" t="str">
        <f>J260&amp;(COUNTIF(J$2:J260,J260))</f>
        <v>Unitary41</v>
      </c>
      <c r="C260" s="31" t="s">
        <v>288</v>
      </c>
      <c r="D260" s="31" t="s">
        <v>288</v>
      </c>
      <c r="E260" s="32" t="s">
        <v>1</v>
      </c>
      <c r="F260" s="32" t="s">
        <v>389</v>
      </c>
      <c r="G260" s="32" t="s">
        <v>398</v>
      </c>
      <c r="H260" s="33" t="s">
        <v>897</v>
      </c>
      <c r="I260" s="34" t="s">
        <v>386</v>
      </c>
      <c r="J260" s="45" t="s">
        <v>398</v>
      </c>
      <c r="K260" s="44"/>
    </row>
    <row r="261" spans="1:11" ht="15">
      <c r="A261" s="28" t="str">
        <f>F261&amp;(COUNTIFS(F$2:F261,F261,K$2:K261,"Sparse"))</f>
        <v>SD64</v>
      </c>
      <c r="B261" s="28" t="str">
        <f>J261&amp;(COUNTIF(J$2:J261,J261))</f>
        <v>Devon6</v>
      </c>
      <c r="C261" s="31" t="s">
        <v>141</v>
      </c>
      <c r="D261" s="31" t="s">
        <v>141</v>
      </c>
      <c r="E261" s="32" t="s">
        <v>1</v>
      </c>
      <c r="F261" s="32" t="s">
        <v>383</v>
      </c>
      <c r="G261" s="32" t="s">
        <v>5</v>
      </c>
      <c r="H261" s="33" t="s">
        <v>898</v>
      </c>
      <c r="I261" s="34" t="s">
        <v>384</v>
      </c>
      <c r="J261" t="s">
        <v>309</v>
      </c>
      <c r="K261" s="44" t="s">
        <v>336</v>
      </c>
    </row>
    <row r="262" spans="1:11" ht="15">
      <c r="A262" s="28" t="str">
        <f>F262&amp;(COUNTIFS(F$2:F262,F262,K$2:K262,"Sparse"))</f>
        <v>SD65</v>
      </c>
      <c r="B262" s="28" t="str">
        <f>J262&amp;(COUNTIF(J$2:J262,J262))</f>
        <v>Lincolnshire6</v>
      </c>
      <c r="C262" s="31" t="s">
        <v>142</v>
      </c>
      <c r="D262" s="31" t="s">
        <v>142</v>
      </c>
      <c r="E262" s="32" t="s">
        <v>369</v>
      </c>
      <c r="F262" s="32" t="s">
        <v>383</v>
      </c>
      <c r="G262" s="32" t="s">
        <v>5</v>
      </c>
      <c r="H262" s="33" t="s">
        <v>901</v>
      </c>
      <c r="I262" s="34" t="s">
        <v>384</v>
      </c>
      <c r="J262" t="s">
        <v>319</v>
      </c>
      <c r="K262" s="44" t="s">
        <v>336</v>
      </c>
    </row>
    <row r="263" spans="1:11" ht="15">
      <c r="A263" s="28" t="str">
        <f>F263&amp;(COUNTIFS(F$2:F263,F263,K$2:K263,"Sparse"))</f>
        <v>SD66</v>
      </c>
      <c r="B263" s="28" t="str">
        <f>J263&amp;(COUNTIF(J$2:J263,J263))</f>
        <v>Lincolnshire7</v>
      </c>
      <c r="C263" s="31" t="s">
        <v>143</v>
      </c>
      <c r="D263" s="31" t="s">
        <v>143</v>
      </c>
      <c r="E263" s="32" t="s">
        <v>369</v>
      </c>
      <c r="F263" s="32" t="s">
        <v>383</v>
      </c>
      <c r="G263" s="32" t="s">
        <v>5</v>
      </c>
      <c r="H263" s="33" t="s">
        <v>901</v>
      </c>
      <c r="I263" s="34" t="s">
        <v>384</v>
      </c>
      <c r="J263" t="s">
        <v>319</v>
      </c>
      <c r="K263" s="44" t="s">
        <v>336</v>
      </c>
    </row>
    <row r="264" spans="1:11" ht="15">
      <c r="A264" s="28" t="str">
        <f>F264&amp;(COUNTIFS(F$2:F264,F264,K$2:K264,"Sparse"))</f>
        <v>SD67</v>
      </c>
      <c r="B264" s="28" t="str">
        <f>J264&amp;(COUNTIF(J$2:J264,J264))</f>
        <v>Cumbria7</v>
      </c>
      <c r="C264" s="31" t="s">
        <v>144</v>
      </c>
      <c r="D264" s="31" t="s">
        <v>144</v>
      </c>
      <c r="E264" s="32" t="s">
        <v>378</v>
      </c>
      <c r="F264" s="32" t="s">
        <v>383</v>
      </c>
      <c r="G264" s="32" t="s">
        <v>5</v>
      </c>
      <c r="H264" s="33" t="s">
        <v>898</v>
      </c>
      <c r="I264" s="34" t="s">
        <v>384</v>
      </c>
      <c r="J264" t="s">
        <v>307</v>
      </c>
      <c r="K264" s="44" t="s">
        <v>336</v>
      </c>
    </row>
    <row r="265" spans="1:11" ht="15">
      <c r="A265" s="28" t="str">
        <f>F265&amp;(COUNTIFS(F$2:F265,F265,K$2:K265,"Sparse"))</f>
        <v>SD68</v>
      </c>
      <c r="B265" s="28" t="str">
        <f>J265&amp;(COUNTIF(J$2:J265,J265))</f>
        <v>Norfolk8</v>
      </c>
      <c r="C265" s="31" t="s">
        <v>145</v>
      </c>
      <c r="D265" s="31" t="s">
        <v>145</v>
      </c>
      <c r="E265" s="32" t="s">
        <v>371</v>
      </c>
      <c r="F265" s="32" t="s">
        <v>383</v>
      </c>
      <c r="G265" s="32" t="s">
        <v>5</v>
      </c>
      <c r="H265" s="33" t="s">
        <v>898</v>
      </c>
      <c r="I265" s="34" t="s">
        <v>384</v>
      </c>
      <c r="J265" t="s">
        <v>320</v>
      </c>
      <c r="K265" s="44" t="s">
        <v>336</v>
      </c>
    </row>
    <row r="266" spans="1:11" ht="15">
      <c r="A266" s="28" t="str">
        <f>F266&amp;(COUNTIFS(F$2:F266,F266,K$2:K266,"Sparse"))</f>
        <v>SD69</v>
      </c>
      <c r="B266" s="28" t="str">
        <f>J266&amp;(COUNTIF(J$2:J266,J266))</f>
        <v>Northamptonshire7</v>
      </c>
      <c r="C266" s="31" t="s">
        <v>146</v>
      </c>
      <c r="D266" s="31" t="s">
        <v>146</v>
      </c>
      <c r="E266" s="32" t="s">
        <v>369</v>
      </c>
      <c r="F266" s="32" t="s">
        <v>383</v>
      </c>
      <c r="G266" s="32" t="s">
        <v>5</v>
      </c>
      <c r="H266" s="33" t="s">
        <v>898</v>
      </c>
      <c r="I266" s="34" t="s">
        <v>384</v>
      </c>
      <c r="J266" t="s">
        <v>322</v>
      </c>
      <c r="K266" s="44" t="s">
        <v>336</v>
      </c>
    </row>
    <row r="267" spans="1:11" ht="15">
      <c r="A267" s="28" t="str">
        <f>F267&amp;(COUNTIFS(F$2:F267,F267,K$2:K267,"Sparse"))</f>
        <v>SD70</v>
      </c>
      <c r="B267" s="28" t="str">
        <f>J267&amp;(COUNTIF(J$2:J267,J267))</f>
        <v>Oxfordshire4</v>
      </c>
      <c r="C267" s="31" t="s">
        <v>147</v>
      </c>
      <c r="D267" s="31" t="s">
        <v>147</v>
      </c>
      <c r="E267" s="32" t="s">
        <v>0</v>
      </c>
      <c r="F267" s="32" t="s">
        <v>383</v>
      </c>
      <c r="G267" s="32" t="s">
        <v>5</v>
      </c>
      <c r="H267" s="33" t="s">
        <v>898</v>
      </c>
      <c r="I267" s="34" t="s">
        <v>384</v>
      </c>
      <c r="J267" t="s">
        <v>325</v>
      </c>
      <c r="K267" s="44" t="s">
        <v>336</v>
      </c>
    </row>
    <row r="268" spans="1:11" ht="15">
      <c r="A268" s="28" t="str">
        <f>F268&amp;(COUNTIFS(F$2:F268,F268,K$2:K268,"Sparse"))</f>
        <v>SD70</v>
      </c>
      <c r="B268" s="28" t="str">
        <f>J268&amp;(COUNTIF(J$2:J268,J268))</f>
        <v>Lancashire11</v>
      </c>
      <c r="C268" s="31" t="s">
        <v>148</v>
      </c>
      <c r="D268" s="31" t="s">
        <v>148</v>
      </c>
      <c r="E268" s="32" t="s">
        <v>378</v>
      </c>
      <c r="F268" s="32" t="s">
        <v>383</v>
      </c>
      <c r="G268" s="32" t="s">
        <v>5</v>
      </c>
      <c r="H268" s="33" t="s">
        <v>897</v>
      </c>
      <c r="I268" s="34" t="s">
        <v>386</v>
      </c>
      <c r="J268" t="s">
        <v>317</v>
      </c>
      <c r="K268" s="44"/>
    </row>
    <row r="269" spans="1:11" ht="15">
      <c r="A269" s="28" t="str">
        <f>F269&amp;(COUNTIFS(F$2:F269,F269,K$2:K269,"Sparse"))</f>
        <v>SD71</v>
      </c>
      <c r="B269" s="28" t="str">
        <f>J269&amp;(COUNTIF(J$2:J269,J269))</f>
        <v>Somerset4</v>
      </c>
      <c r="C269" s="31" t="s">
        <v>149</v>
      </c>
      <c r="D269" s="31" t="s">
        <v>149</v>
      </c>
      <c r="E269" s="32" t="s">
        <v>1</v>
      </c>
      <c r="F269" s="32" t="s">
        <v>383</v>
      </c>
      <c r="G269" s="32" t="s">
        <v>5</v>
      </c>
      <c r="H269" s="33" t="s">
        <v>901</v>
      </c>
      <c r="I269" s="34" t="s">
        <v>384</v>
      </c>
      <c r="J269" t="s">
        <v>327</v>
      </c>
      <c r="K269" s="44" t="s">
        <v>336</v>
      </c>
    </row>
    <row r="270" spans="1:11" ht="15">
      <c r="A270" s="28" t="str">
        <f>F270&amp;(COUNTIFS(F$2:F270,F270,K$2:K270,"Sparse"))</f>
        <v>SD72</v>
      </c>
      <c r="B270" s="28" t="str">
        <f>J270&amp;(COUNTIF(J$2:J270,J270))</f>
        <v>Staffordshire5</v>
      </c>
      <c r="C270" s="31" t="s">
        <v>150</v>
      </c>
      <c r="D270" s="31" t="s">
        <v>150</v>
      </c>
      <c r="E270" s="32" t="s">
        <v>370</v>
      </c>
      <c r="F270" s="32" t="s">
        <v>383</v>
      </c>
      <c r="G270" s="32" t="s">
        <v>5</v>
      </c>
      <c r="H270" s="35" t="s">
        <v>900</v>
      </c>
      <c r="I270" s="34" t="s">
        <v>373</v>
      </c>
      <c r="J270" t="s">
        <v>328</v>
      </c>
      <c r="K270" s="44" t="s">
        <v>336</v>
      </c>
    </row>
    <row r="271" spans="1:11" ht="15">
      <c r="A271" s="28" t="str">
        <f>F271&amp;(COUNTIFS(F$2:F271,F271,K$2:K271,"Sparse"))</f>
        <v>MD0</v>
      </c>
      <c r="B271" s="28" t="str">
        <f>J271&amp;(COUNTIF(J$2:J271,J271))</f>
        <v>South Tyneside1</v>
      </c>
      <c r="C271" s="31" t="s">
        <v>248</v>
      </c>
      <c r="D271" s="31" t="s">
        <v>248</v>
      </c>
      <c r="E271" s="32" t="s">
        <v>392</v>
      </c>
      <c r="F271" s="32" t="s">
        <v>388</v>
      </c>
      <c r="G271" s="32" t="s">
        <v>399</v>
      </c>
      <c r="H271" s="33" t="s">
        <v>902</v>
      </c>
      <c r="I271" s="34" t="s">
        <v>386</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389</v>
      </c>
      <c r="G272" s="32" t="s">
        <v>398</v>
      </c>
      <c r="H272" s="33" t="s">
        <v>897</v>
      </c>
      <c r="I272" s="34" t="s">
        <v>386</v>
      </c>
      <c r="J272" s="45" t="s">
        <v>398</v>
      </c>
      <c r="K272" s="44"/>
    </row>
    <row r="273" spans="1:11" ht="15">
      <c r="A273" s="28" t="str">
        <f>F273&amp;(COUNTIFS(F$2:F273,F273,K$2:K273,"Sparse"))</f>
        <v>UA13</v>
      </c>
      <c r="B273" s="28" t="str">
        <f>J273&amp;(COUNTIF(J$2:J273,J273))</f>
        <v>Unitary43</v>
      </c>
      <c r="C273" s="31" t="s">
        <v>290</v>
      </c>
      <c r="D273" s="31" t="s">
        <v>290</v>
      </c>
      <c r="E273" s="32" t="s">
        <v>371</v>
      </c>
      <c r="F273" s="32" t="s">
        <v>389</v>
      </c>
      <c r="G273" s="32" t="s">
        <v>398</v>
      </c>
      <c r="H273" s="33" t="s">
        <v>897</v>
      </c>
      <c r="I273" s="34" t="s">
        <v>386</v>
      </c>
      <c r="J273" s="45" t="s">
        <v>398</v>
      </c>
      <c r="K273" s="44"/>
    </row>
    <row r="274" spans="1:11" ht="15">
      <c r="A274" s="28" t="str">
        <f>F274&amp;(COUNTIFS(F$2:F274,F274,K$2:K274,"Sparse"))</f>
        <v>L0</v>
      </c>
      <c r="B274" s="28" t="str">
        <f>J274&amp;(COUNTIF(J$2:J274,J274))</f>
        <v>London28</v>
      </c>
      <c r="C274" s="31" t="s">
        <v>218</v>
      </c>
      <c r="D274" s="31" t="s">
        <v>218</v>
      </c>
      <c r="E274" s="32" t="s">
        <v>385</v>
      </c>
      <c r="F274" s="32" t="s">
        <v>360</v>
      </c>
      <c r="G274" s="32" t="s">
        <v>385</v>
      </c>
      <c r="H274" s="33" t="s">
        <v>902</v>
      </c>
      <c r="I274" s="34" t="s">
        <v>386</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383</v>
      </c>
      <c r="G275" s="32" t="s">
        <v>5</v>
      </c>
      <c r="H275" s="33" t="s">
        <v>902</v>
      </c>
      <c r="I275" s="34" t="s">
        <v>386</v>
      </c>
      <c r="J275" t="s">
        <v>330</v>
      </c>
      <c r="K275" s="44"/>
    </row>
    <row r="276" spans="1:11" ht="15">
      <c r="A276" s="28" t="str">
        <f>F276&amp;(COUNTIFS(F$2:F276,F276,K$2:K276,"Sparse"))</f>
        <v>SD72</v>
      </c>
      <c r="B276" s="28" t="str">
        <f>J276&amp;(COUNTIF(J$2:J276,J276))</f>
        <v>Hertfordshire7</v>
      </c>
      <c r="C276" s="31" t="s">
        <v>152</v>
      </c>
      <c r="D276" s="31" t="s">
        <v>152</v>
      </c>
      <c r="E276" s="32" t="s">
        <v>371</v>
      </c>
      <c r="F276" s="32" t="s">
        <v>383</v>
      </c>
      <c r="G276" s="32" t="s">
        <v>5</v>
      </c>
      <c r="H276" s="35" t="s">
        <v>897</v>
      </c>
      <c r="I276" s="34" t="s">
        <v>386</v>
      </c>
      <c r="J276" t="s">
        <v>315</v>
      </c>
      <c r="K276" s="44"/>
    </row>
    <row r="277" spans="1:11" ht="15">
      <c r="A277" s="28" t="str">
        <f>F277&amp;(COUNTIFS(F$2:F277,F277,K$2:K277,"Sparse"))</f>
        <v>SD73</v>
      </c>
      <c r="B277" s="28" t="str">
        <f>J277&amp;(COUNTIF(J$2:J277,J277))</f>
        <v>Suffolk5</v>
      </c>
      <c r="C277" s="31" t="s">
        <v>153</v>
      </c>
      <c r="D277" s="31" t="s">
        <v>153</v>
      </c>
      <c r="E277" s="32" t="s">
        <v>371</v>
      </c>
      <c r="F277" s="32" t="s">
        <v>383</v>
      </c>
      <c r="G277" s="32" t="s">
        <v>5</v>
      </c>
      <c r="H277" s="33" t="s">
        <v>901</v>
      </c>
      <c r="I277" s="34" t="s">
        <v>384</v>
      </c>
      <c r="J277" t="s">
        <v>329</v>
      </c>
      <c r="K277" s="44" t="s">
        <v>336</v>
      </c>
    </row>
    <row r="278" spans="1:11" ht="15">
      <c r="A278" s="28" t="str">
        <f>F278&amp;(COUNTIFS(F$2:F278,F278,K$2:K278,"Sparse"))</f>
        <v>MD0</v>
      </c>
      <c r="B278" s="28" t="str">
        <f>J278&amp;(COUNTIF(J$2:J278,J278))</f>
        <v>St Helens1</v>
      </c>
      <c r="C278" s="31" t="s">
        <v>249</v>
      </c>
      <c r="D278" s="31" t="s">
        <v>397</v>
      </c>
      <c r="E278" s="32" t="s">
        <v>378</v>
      </c>
      <c r="F278" s="32" t="s">
        <v>388</v>
      </c>
      <c r="G278" s="32" t="s">
        <v>399</v>
      </c>
      <c r="H278" s="33" t="s">
        <v>902</v>
      </c>
      <c r="I278" s="34" t="s">
        <v>386</v>
      </c>
      <c r="J278" t="str">
        <f>C278</f>
        <v>St Helens</v>
      </c>
      <c r="K278" s="44"/>
    </row>
    <row r="279" spans="1:11" ht="15">
      <c r="A279" s="28" t="str">
        <f>F279&amp;(COUNTIFS(F$2:F279,F279,K$2:K279,"Sparse"))</f>
        <v>SD74</v>
      </c>
      <c r="B279" s="28" t="str">
        <f>J279&amp;(COUNTIF(J$2:J279,J279))</f>
        <v>Staffordshire6</v>
      </c>
      <c r="C279" s="31" t="s">
        <v>154</v>
      </c>
      <c r="D279" s="31" t="s">
        <v>154</v>
      </c>
      <c r="E279" s="32" t="s">
        <v>370</v>
      </c>
      <c r="F279" s="32" t="s">
        <v>383</v>
      </c>
      <c r="G279" s="32" t="s">
        <v>5</v>
      </c>
      <c r="H279" s="35" t="s">
        <v>900</v>
      </c>
      <c r="I279" s="34" t="s">
        <v>373</v>
      </c>
      <c r="J279" t="s">
        <v>328</v>
      </c>
      <c r="K279" s="44" t="s">
        <v>336</v>
      </c>
    </row>
    <row r="280" spans="1:11" ht="15">
      <c r="A280" s="28" t="str">
        <f>F280&amp;(COUNTIFS(F$2:F280,F280,K$2:K280,"Sparse"))</f>
        <v>SC13</v>
      </c>
      <c r="B280" s="28" t="str">
        <f>J280&amp;(COUNTIF(J$2:J280,J280))</f>
        <v>Staffordshire7</v>
      </c>
      <c r="C280" s="34" t="s">
        <v>328</v>
      </c>
      <c r="D280" s="34" t="s">
        <v>328</v>
      </c>
      <c r="E280" s="32" t="s">
        <v>370</v>
      </c>
      <c r="F280" s="32" t="s">
        <v>391</v>
      </c>
      <c r="G280" s="32" t="s">
        <v>302</v>
      </c>
      <c r="H280" s="34" t="s">
        <v>373</v>
      </c>
      <c r="I280" s="34" t="s">
        <v>373</v>
      </c>
      <c r="J280" t="str">
        <f>C280</f>
        <v>Staffordshire</v>
      </c>
      <c r="K280" s="44" t="s">
        <v>336</v>
      </c>
    </row>
    <row r="281" spans="1:11" ht="15">
      <c r="A281" s="28" t="str">
        <f>F281&amp;(COUNTIFS(F$2:F281,F281,K$2:K281,"Sparse"))</f>
        <v>SD74</v>
      </c>
      <c r="B281" s="28" t="str">
        <f>J281&amp;(COUNTIF(J$2:J281,J281))</f>
        <v>Staffordshire8</v>
      </c>
      <c r="C281" s="31" t="s">
        <v>155</v>
      </c>
      <c r="D281" s="31" t="s">
        <v>155</v>
      </c>
      <c r="E281" s="32" t="s">
        <v>370</v>
      </c>
      <c r="F281" s="32" t="s">
        <v>383</v>
      </c>
      <c r="G281" s="32" t="s">
        <v>5</v>
      </c>
      <c r="H281" s="33" t="s">
        <v>901</v>
      </c>
      <c r="I281" s="34" t="s">
        <v>384</v>
      </c>
      <c r="J281" t="s">
        <v>328</v>
      </c>
      <c r="K281" s="44"/>
    </row>
    <row r="282" spans="1:11" ht="15">
      <c r="A282" s="28" t="str">
        <f>F282&amp;(COUNTIFS(F$2:F282,F282,K$2:K282,"Sparse"))</f>
        <v>SD74</v>
      </c>
      <c r="B282" s="28" t="str">
        <f>J282&amp;(COUNTIF(J$2:J282,J282))</f>
        <v>Hertfordshire8</v>
      </c>
      <c r="C282" s="31" t="s">
        <v>156</v>
      </c>
      <c r="D282" s="31" t="s">
        <v>156</v>
      </c>
      <c r="E282" s="32" t="s">
        <v>371</v>
      </c>
      <c r="F282" s="32" t="s">
        <v>383</v>
      </c>
      <c r="G282" s="32" t="s">
        <v>5</v>
      </c>
      <c r="H282" s="33" t="s">
        <v>897</v>
      </c>
      <c r="I282" s="34" t="s">
        <v>386</v>
      </c>
      <c r="J282" t="s">
        <v>315</v>
      </c>
      <c r="K282" s="44"/>
    </row>
    <row r="283" spans="1:11" ht="15">
      <c r="A283" s="28" t="str">
        <f>F283&amp;(COUNTIFS(F$2:F283,F283,K$2:K283,"Sparse"))</f>
        <v>MD0</v>
      </c>
      <c r="B283" s="28" t="str">
        <f>J283&amp;(COUNTIF(J$2:J283,J283))</f>
        <v>Stockport1</v>
      </c>
      <c r="C283" s="31" t="s">
        <v>250</v>
      </c>
      <c r="D283" s="31" t="s">
        <v>250</v>
      </c>
      <c r="E283" s="32" t="s">
        <v>378</v>
      </c>
      <c r="F283" s="32" t="s">
        <v>388</v>
      </c>
      <c r="G283" s="32" t="s">
        <v>399</v>
      </c>
      <c r="H283" s="33" t="s">
        <v>902</v>
      </c>
      <c r="I283" s="34" t="s">
        <v>386</v>
      </c>
      <c r="J283" t="str">
        <f>C283</f>
        <v>Stockport</v>
      </c>
      <c r="K283" s="44"/>
    </row>
    <row r="284" spans="1:11" ht="15">
      <c r="A284" s="28" t="str">
        <f>F284&amp;(COUNTIFS(F$2:F284,F284,K$2:K284,"Sparse"))</f>
        <v>UA13</v>
      </c>
      <c r="B284" s="28" t="str">
        <f>J284&amp;(COUNTIF(J$2:J284,J284))</f>
        <v>Unitary44</v>
      </c>
      <c r="C284" s="31" t="s">
        <v>291</v>
      </c>
      <c r="D284" s="31" t="s">
        <v>291</v>
      </c>
      <c r="E284" s="32" t="s">
        <v>392</v>
      </c>
      <c r="F284" s="32" t="s">
        <v>389</v>
      </c>
      <c r="G284" s="32" t="s">
        <v>398</v>
      </c>
      <c r="H284" s="33" t="s">
        <v>897</v>
      </c>
      <c r="I284" s="34" t="s">
        <v>386</v>
      </c>
      <c r="J284" s="45" t="s">
        <v>398</v>
      </c>
      <c r="K284" s="44"/>
    </row>
    <row r="285" spans="1:11" ht="15">
      <c r="A285" s="28" t="str">
        <f>F285&amp;(COUNTIFS(F$2:F285,F285,K$2:K285,"Sparse"))</f>
        <v>UA13</v>
      </c>
      <c r="B285" s="28" t="str">
        <f>J285&amp;(COUNTIF(J$2:J285,J285))</f>
        <v>Unitary45</v>
      </c>
      <c r="C285" s="31" t="s">
        <v>292</v>
      </c>
      <c r="D285" s="31" t="s">
        <v>292</v>
      </c>
      <c r="E285" s="32" t="s">
        <v>370</v>
      </c>
      <c r="F285" s="32" t="s">
        <v>389</v>
      </c>
      <c r="G285" s="32" t="s">
        <v>398</v>
      </c>
      <c r="H285" s="33" t="s">
        <v>897</v>
      </c>
      <c r="I285" s="34" t="s">
        <v>386</v>
      </c>
      <c r="J285" s="45" t="s">
        <v>398</v>
      </c>
      <c r="K285" s="44"/>
    </row>
    <row r="286" spans="1:11" ht="15">
      <c r="A286" s="28" t="str">
        <f>F286&amp;(COUNTIFS(F$2:F286,F286,K$2:K286,"Sparse"))</f>
        <v>SD75</v>
      </c>
      <c r="B286" s="28" t="str">
        <f>J286&amp;(COUNTIF(J$2:J286,J286))</f>
        <v>Warwickshire4</v>
      </c>
      <c r="C286" s="31" t="s">
        <v>157</v>
      </c>
      <c r="D286" s="31" t="s">
        <v>157</v>
      </c>
      <c r="E286" s="32" t="s">
        <v>370</v>
      </c>
      <c r="F286" s="32" t="s">
        <v>383</v>
      </c>
      <c r="G286" s="32" t="s">
        <v>5</v>
      </c>
      <c r="H286" s="33" t="s">
        <v>898</v>
      </c>
      <c r="I286" s="34" t="s">
        <v>384</v>
      </c>
      <c r="J286" t="s">
        <v>331</v>
      </c>
      <c r="K286" s="44" t="s">
        <v>336</v>
      </c>
    </row>
    <row r="287" spans="1:11" ht="15">
      <c r="A287" s="28" t="str">
        <f>F287&amp;(COUNTIFS(F$2:F287,F287,K$2:K287,"Sparse"))</f>
        <v>SD76</v>
      </c>
      <c r="B287" s="28" t="str">
        <f>J287&amp;(COUNTIF(J$2:J287,J287))</f>
        <v>Gloucestershire6</v>
      </c>
      <c r="C287" s="31" t="s">
        <v>158</v>
      </c>
      <c r="D287" s="31" t="s">
        <v>158</v>
      </c>
      <c r="E287" s="32" t="s">
        <v>1</v>
      </c>
      <c r="F287" s="32" t="s">
        <v>383</v>
      </c>
      <c r="G287" s="32" t="s">
        <v>5</v>
      </c>
      <c r="H287" s="33" t="s">
        <v>900</v>
      </c>
      <c r="I287" s="34" t="s">
        <v>373</v>
      </c>
      <c r="J287" t="s">
        <v>313</v>
      </c>
      <c r="K287" s="44" t="s">
        <v>336</v>
      </c>
    </row>
    <row r="288" spans="1:11" ht="15">
      <c r="A288" s="28" t="str">
        <f>F288&amp;(COUNTIFS(F$2:F288,F288,K$2:K288,"Sparse"))</f>
        <v>SC14</v>
      </c>
      <c r="B288" s="28" t="str">
        <f>J288&amp;(COUNTIF(J$2:J288,J288))</f>
        <v>Suffolk6</v>
      </c>
      <c r="C288" s="34" t="s">
        <v>329</v>
      </c>
      <c r="D288" s="34" t="s">
        <v>329</v>
      </c>
      <c r="E288" s="32" t="s">
        <v>371</v>
      </c>
      <c r="F288" s="32" t="s">
        <v>391</v>
      </c>
      <c r="G288" s="32" t="s">
        <v>302</v>
      </c>
      <c r="H288" s="34" t="s">
        <v>384</v>
      </c>
      <c r="I288" s="34" t="s">
        <v>384</v>
      </c>
      <c r="J288" t="str">
        <f>C288</f>
        <v>Suffolk</v>
      </c>
      <c r="K288" s="44" t="s">
        <v>336</v>
      </c>
    </row>
    <row r="289" spans="1:11" ht="15">
      <c r="A289" s="28" t="str">
        <f>F289&amp;(COUNTIFS(F$2:F289,F289,K$2:K289,"Sparse"))</f>
        <v>SD77</v>
      </c>
      <c r="B289" s="28" t="str">
        <f>J289&amp;(COUNTIF(J$2:J289,J289))</f>
        <v>Suffolk7</v>
      </c>
      <c r="C289" s="31" t="s">
        <v>159</v>
      </c>
      <c r="D289" s="31" t="s">
        <v>159</v>
      </c>
      <c r="E289" s="32" t="s">
        <v>371</v>
      </c>
      <c r="F289" s="32" t="s">
        <v>383</v>
      </c>
      <c r="G289" s="32" t="s">
        <v>5</v>
      </c>
      <c r="H289" s="33" t="s">
        <v>901</v>
      </c>
      <c r="I289" s="34" t="s">
        <v>384</v>
      </c>
      <c r="J289" t="s">
        <v>329</v>
      </c>
      <c r="K289" s="44" t="s">
        <v>336</v>
      </c>
    </row>
    <row r="290" spans="1:11" ht="15">
      <c r="A290" s="28" t="str">
        <f>F290&amp;(COUNTIFS(F$2:F290,F290,K$2:K290,"Sparse"))</f>
        <v>MD0</v>
      </c>
      <c r="B290" s="28" t="str">
        <f>J290&amp;(COUNTIF(J$2:J290,J290))</f>
        <v>Sunderland1</v>
      </c>
      <c r="C290" s="31" t="s">
        <v>251</v>
      </c>
      <c r="D290" s="31" t="s">
        <v>251</v>
      </c>
      <c r="E290" s="32" t="s">
        <v>392</v>
      </c>
      <c r="F290" s="32" t="s">
        <v>388</v>
      </c>
      <c r="G290" s="32" t="s">
        <v>399</v>
      </c>
      <c r="H290" s="33" t="s">
        <v>902</v>
      </c>
      <c r="I290" s="34" t="s">
        <v>386</v>
      </c>
      <c r="J290" t="str">
        <f>C290</f>
        <v>Sunderland</v>
      </c>
      <c r="K290" s="44"/>
    </row>
    <row r="291" spans="1:11" ht="15">
      <c r="A291" s="28" t="str">
        <f>F291&amp;(COUNTIFS(F$2:F291,F291,K$2:K291,"Sparse"))</f>
        <v>SC14</v>
      </c>
      <c r="B291" s="28" t="str">
        <f>J291&amp;(COUNTIF(J$2:J291,J291))</f>
        <v>Surrey8</v>
      </c>
      <c r="C291" s="34" t="s">
        <v>330</v>
      </c>
      <c r="D291" s="34" t="s">
        <v>330</v>
      </c>
      <c r="E291" s="32" t="s">
        <v>0</v>
      </c>
      <c r="F291" s="32" t="s">
        <v>391</v>
      </c>
      <c r="G291" s="32" t="s">
        <v>302</v>
      </c>
      <c r="H291" s="34" t="s">
        <v>386</v>
      </c>
      <c r="I291" s="34" t="s">
        <v>386</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383</v>
      </c>
      <c r="G292" s="32" t="s">
        <v>5</v>
      </c>
      <c r="H292" s="33" t="s">
        <v>897</v>
      </c>
      <c r="I292" s="34" t="s">
        <v>386</v>
      </c>
      <c r="J292" t="s">
        <v>330</v>
      </c>
      <c r="K292" s="44"/>
    </row>
    <row r="293" spans="1:11" ht="15">
      <c r="A293" s="28" t="str">
        <f>F293&amp;(COUNTIFS(F$2:F293,F293,K$2:K293,"Sparse"))</f>
        <v>L0</v>
      </c>
      <c r="B293" s="28" t="str">
        <f>J293&amp;(COUNTIF(J$2:J293,J293))</f>
        <v>London29</v>
      </c>
      <c r="C293" s="31" t="s">
        <v>219</v>
      </c>
      <c r="D293" s="31" t="s">
        <v>219</v>
      </c>
      <c r="E293" s="32" t="s">
        <v>385</v>
      </c>
      <c r="F293" s="32" t="s">
        <v>360</v>
      </c>
      <c r="G293" s="32" t="s">
        <v>385</v>
      </c>
      <c r="H293" s="33" t="s">
        <v>902</v>
      </c>
      <c r="I293" s="34" t="s">
        <v>386</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383</v>
      </c>
      <c r="G294" s="32" t="s">
        <v>5</v>
      </c>
      <c r="H294" s="35" t="s">
        <v>901</v>
      </c>
      <c r="I294" s="34" t="s">
        <v>384</v>
      </c>
      <c r="J294" t="s">
        <v>316</v>
      </c>
      <c r="K294" s="44"/>
    </row>
    <row r="295" spans="1:11" ht="15">
      <c r="A295" s="28" t="str">
        <f>F295&amp;(COUNTIFS(F$2:F295,F295,K$2:K295,"Sparse"))</f>
        <v>UA13</v>
      </c>
      <c r="B295" s="28" t="str">
        <f>J295&amp;(COUNTIF(J$2:J295,J295))</f>
        <v>Unitary46</v>
      </c>
      <c r="C295" s="31" t="s">
        <v>293</v>
      </c>
      <c r="D295" s="31" t="s">
        <v>293</v>
      </c>
      <c r="E295" s="32" t="s">
        <v>1</v>
      </c>
      <c r="F295" s="32" t="s">
        <v>389</v>
      </c>
      <c r="G295" s="32" t="s">
        <v>398</v>
      </c>
      <c r="H295" s="33" t="s">
        <v>897</v>
      </c>
      <c r="I295" s="34" t="s">
        <v>386</v>
      </c>
      <c r="J295" s="45" t="s">
        <v>398</v>
      </c>
      <c r="K295" s="44"/>
    </row>
    <row r="296" spans="1:11" ht="15">
      <c r="A296" s="28" t="str">
        <f>F296&amp;(COUNTIFS(F$2:F296,F296,K$2:K296,"Sparse"))</f>
        <v>MD0</v>
      </c>
      <c r="B296" s="28" t="str">
        <f>J296&amp;(COUNTIF(J$2:J296,J296))</f>
        <v>Tameside1</v>
      </c>
      <c r="C296" s="31" t="s">
        <v>252</v>
      </c>
      <c r="D296" s="31" t="s">
        <v>252</v>
      </c>
      <c r="E296" s="32" t="s">
        <v>378</v>
      </c>
      <c r="F296" s="32" t="s">
        <v>388</v>
      </c>
      <c r="G296" s="32" t="s">
        <v>399</v>
      </c>
      <c r="H296" s="33" t="s">
        <v>902</v>
      </c>
      <c r="I296" s="34" t="s">
        <v>386</v>
      </c>
      <c r="J296" t="str">
        <f>C296</f>
        <v>Tameside</v>
      </c>
      <c r="K296" s="44"/>
    </row>
    <row r="297" spans="1:11" ht="15">
      <c r="A297" s="28" t="str">
        <f>F297&amp;(COUNTIFS(F$2:F297,F297,K$2:K297,"Sparse"))</f>
        <v>SD77</v>
      </c>
      <c r="B297" s="28" t="str">
        <f>J297&amp;(COUNTIF(J$2:J297,J297))</f>
        <v>Staffordshire9</v>
      </c>
      <c r="C297" s="31" t="s">
        <v>162</v>
      </c>
      <c r="D297" s="31" t="s">
        <v>162</v>
      </c>
      <c r="E297" s="32" t="s">
        <v>370</v>
      </c>
      <c r="F297" s="32" t="s">
        <v>383</v>
      </c>
      <c r="G297" s="32" t="s">
        <v>5</v>
      </c>
      <c r="H297" s="33" t="s">
        <v>897</v>
      </c>
      <c r="I297" s="34" t="s">
        <v>386</v>
      </c>
      <c r="J297" t="s">
        <v>328</v>
      </c>
      <c r="K297" s="44"/>
    </row>
    <row r="298" spans="1:11" ht="15">
      <c r="A298" s="28" t="str">
        <f>F298&amp;(COUNTIFS(F$2:F298,F298,K$2:K298,"Sparse"))</f>
        <v>SD78</v>
      </c>
      <c r="B298" s="28" t="str">
        <f>J298&amp;(COUNTIF(J$2:J298,J298))</f>
        <v>Surrey10</v>
      </c>
      <c r="C298" s="31" t="s">
        <v>163</v>
      </c>
      <c r="D298" s="31" t="s">
        <v>163</v>
      </c>
      <c r="E298" s="32" t="s">
        <v>0</v>
      </c>
      <c r="F298" s="32" t="s">
        <v>383</v>
      </c>
      <c r="G298" s="32" t="s">
        <v>5</v>
      </c>
      <c r="H298" s="33" t="s">
        <v>900</v>
      </c>
      <c r="I298" s="34" t="s">
        <v>373</v>
      </c>
      <c r="J298" t="s">
        <v>330</v>
      </c>
      <c r="K298" s="44" t="s">
        <v>336</v>
      </c>
    </row>
    <row r="299" spans="1:11" ht="15">
      <c r="A299" s="28" t="str">
        <f>F299&amp;(COUNTIFS(F$2:F299,F299,K$2:K299,"Sparse"))</f>
        <v>SD79</v>
      </c>
      <c r="B299" s="28" t="str">
        <f>J299&amp;(COUNTIF(J$2:J299,J299))</f>
        <v>Somerset5</v>
      </c>
      <c r="C299" s="31" t="s">
        <v>164</v>
      </c>
      <c r="D299" s="31" t="s">
        <v>164</v>
      </c>
      <c r="E299" s="32" t="s">
        <v>1</v>
      </c>
      <c r="F299" s="32" t="s">
        <v>383</v>
      </c>
      <c r="G299" s="32" t="s">
        <v>5</v>
      </c>
      <c r="H299" s="35" t="s">
        <v>900</v>
      </c>
      <c r="I299" s="34" t="s">
        <v>373</v>
      </c>
      <c r="J299" t="s">
        <v>327</v>
      </c>
      <c r="K299" s="44" t="s">
        <v>336</v>
      </c>
    </row>
    <row r="300" spans="1:11" ht="15">
      <c r="A300" s="28" t="str">
        <f>F300&amp;(COUNTIFS(F$2:F300,F300,K$2:K300,"Sparse"))</f>
        <v>SD80</v>
      </c>
      <c r="B300" s="28" t="str">
        <f>J300&amp;(COUNTIF(J$2:J300,J300))</f>
        <v>Devon7</v>
      </c>
      <c r="C300" s="31" t="s">
        <v>165</v>
      </c>
      <c r="D300" s="31" t="s">
        <v>165</v>
      </c>
      <c r="E300" s="32" t="s">
        <v>1</v>
      </c>
      <c r="F300" s="32" t="s">
        <v>383</v>
      </c>
      <c r="G300" s="32" t="s">
        <v>5</v>
      </c>
      <c r="H300" s="33" t="s">
        <v>901</v>
      </c>
      <c r="I300" s="34" t="s">
        <v>384</v>
      </c>
      <c r="J300" t="s">
        <v>309</v>
      </c>
      <c r="K300" s="44" t="s">
        <v>336</v>
      </c>
    </row>
    <row r="301" spans="1:11" ht="15">
      <c r="A301" s="28" t="str">
        <f>F301&amp;(COUNTIFS(F$2:F301,F301,K$2:K301,"Sparse"))</f>
        <v>UA13</v>
      </c>
      <c r="B301" s="28" t="str">
        <f>J301&amp;(COUNTIF(J$2:J301,J301))</f>
        <v>Unitary47</v>
      </c>
      <c r="C301" s="31" t="s">
        <v>818</v>
      </c>
      <c r="D301" s="31" t="s">
        <v>818</v>
      </c>
      <c r="E301" s="32" t="s">
        <v>370</v>
      </c>
      <c r="F301" s="32" t="s">
        <v>389</v>
      </c>
      <c r="G301" s="32" t="s">
        <v>398</v>
      </c>
      <c r="H301" s="33" t="s">
        <v>897</v>
      </c>
      <c r="I301" s="34" t="s">
        <v>386</v>
      </c>
      <c r="J301" s="45" t="s">
        <v>398</v>
      </c>
      <c r="K301" s="44"/>
    </row>
    <row r="302" spans="1:11" ht="15">
      <c r="A302" s="28" t="str">
        <f>F302&amp;(COUNTIFS(F$2:F302,F302,K$2:K302,"Sparse"))</f>
        <v>SD80</v>
      </c>
      <c r="B302" s="28" t="str">
        <f>J302&amp;(COUNTIF(J$2:J302,J302))</f>
        <v>Essex12</v>
      </c>
      <c r="C302" s="31" t="s">
        <v>166</v>
      </c>
      <c r="D302" s="31" t="s">
        <v>166</v>
      </c>
      <c r="E302" s="32" t="s">
        <v>371</v>
      </c>
      <c r="F302" s="32" t="s">
        <v>383</v>
      </c>
      <c r="G302" s="32" t="s">
        <v>5</v>
      </c>
      <c r="H302" s="33" t="s">
        <v>901</v>
      </c>
      <c r="I302" s="34" t="s">
        <v>384</v>
      </c>
      <c r="J302" t="s">
        <v>312</v>
      </c>
      <c r="K302" s="44"/>
    </row>
    <row r="303" spans="1:11" ht="15">
      <c r="A303" s="28" t="str">
        <f>F303&amp;(COUNTIFS(F$2:F303,F303,K$2:K303,"Sparse"))</f>
        <v>SD80</v>
      </c>
      <c r="B303" s="28" t="str">
        <f>J303&amp;(COUNTIF(J$2:J303,J303))</f>
        <v>Hampshire11</v>
      </c>
      <c r="C303" s="31" t="s">
        <v>167</v>
      </c>
      <c r="D303" s="31" t="s">
        <v>167</v>
      </c>
      <c r="E303" s="32" t="s">
        <v>0</v>
      </c>
      <c r="F303" s="32" t="s">
        <v>383</v>
      </c>
      <c r="G303" s="32" t="s">
        <v>5</v>
      </c>
      <c r="H303" s="33" t="s">
        <v>900</v>
      </c>
      <c r="I303" s="34" t="s">
        <v>373</v>
      </c>
      <c r="J303" t="s">
        <v>314</v>
      </c>
      <c r="K303" s="44"/>
    </row>
    <row r="304" spans="1:11" ht="15">
      <c r="A304" s="28" t="str">
        <f>F304&amp;(COUNTIFS(F$2:F304,F304,K$2:K304,"Sparse"))</f>
        <v>SD81</v>
      </c>
      <c r="B304" s="28" t="str">
        <f>J304&amp;(COUNTIF(J$2:J304,J304))</f>
        <v>Gloucestershire7</v>
      </c>
      <c r="C304" s="31" t="s">
        <v>168</v>
      </c>
      <c r="D304" s="31" t="s">
        <v>168</v>
      </c>
      <c r="E304" s="32" t="s">
        <v>1</v>
      </c>
      <c r="F304" s="32" t="s">
        <v>383</v>
      </c>
      <c r="G304" s="32" t="s">
        <v>5</v>
      </c>
      <c r="H304" s="33" t="s">
        <v>901</v>
      </c>
      <c r="I304" s="34" t="s">
        <v>384</v>
      </c>
      <c r="J304" t="s">
        <v>313</v>
      </c>
      <c r="K304" s="44" t="s">
        <v>336</v>
      </c>
    </row>
    <row r="305" spans="1:11" ht="15">
      <c r="A305" s="28" t="str">
        <f>F305&amp;(COUNTIFS(F$2:F305,F305,K$2:K305,"Sparse"))</f>
        <v>SD81</v>
      </c>
      <c r="B305" s="28" t="str">
        <f>J305&amp;(COUNTIF(J$2:J305,J305))</f>
        <v>Kent11</v>
      </c>
      <c r="C305" s="31" t="s">
        <v>169</v>
      </c>
      <c r="D305" s="31" t="s">
        <v>169</v>
      </c>
      <c r="E305" s="32" t="s">
        <v>0</v>
      </c>
      <c r="F305" s="32" t="s">
        <v>383</v>
      </c>
      <c r="G305" s="32" t="s">
        <v>5</v>
      </c>
      <c r="H305" s="33" t="s">
        <v>897</v>
      </c>
      <c r="I305" s="34" t="s">
        <v>386</v>
      </c>
      <c r="J305" t="s">
        <v>316</v>
      </c>
      <c r="K305" s="44"/>
    </row>
    <row r="306" spans="1:11" ht="15">
      <c r="A306" s="28" t="str">
        <f>F306&amp;(COUNTIFS(F$2:F306,F306,K$2:K306,"Sparse"))</f>
        <v>SD81</v>
      </c>
      <c r="B306" s="28" t="str">
        <f>J306&amp;(COUNTIF(J$2:J306,J306))</f>
        <v>Hertfordshire9</v>
      </c>
      <c r="C306" s="31" t="s">
        <v>170</v>
      </c>
      <c r="D306" s="31" t="s">
        <v>170</v>
      </c>
      <c r="E306" s="32" t="s">
        <v>371</v>
      </c>
      <c r="F306" s="32" t="s">
        <v>383</v>
      </c>
      <c r="G306" s="32" t="s">
        <v>5</v>
      </c>
      <c r="H306" s="33" t="s">
        <v>902</v>
      </c>
      <c r="I306" s="34" t="s">
        <v>386</v>
      </c>
      <c r="J306" t="s">
        <v>315</v>
      </c>
      <c r="K306" s="44"/>
    </row>
    <row r="307" spans="1:11" ht="15">
      <c r="A307" s="28" t="str">
        <f>F307&amp;(COUNTIFS(F$2:F307,F307,K$2:K307,"Sparse"))</f>
        <v>UA13</v>
      </c>
      <c r="B307" s="28" t="str">
        <f>J307&amp;(COUNTIF(J$2:J307,J307))</f>
        <v>Unitary48</v>
      </c>
      <c r="C307" s="31" t="s">
        <v>294</v>
      </c>
      <c r="D307" s="31" t="s">
        <v>294</v>
      </c>
      <c r="E307" s="32" t="s">
        <v>371</v>
      </c>
      <c r="F307" s="32" t="s">
        <v>389</v>
      </c>
      <c r="G307" s="32" t="s">
        <v>398</v>
      </c>
      <c r="H307" s="33" t="s">
        <v>902</v>
      </c>
      <c r="I307" s="34" t="s">
        <v>386</v>
      </c>
      <c r="J307" s="45" t="s">
        <v>398</v>
      </c>
      <c r="K307" s="44"/>
    </row>
    <row r="308" spans="1:11" ht="15">
      <c r="A308" s="28" t="str">
        <f>F308&amp;(COUNTIFS(F$2:F308,F308,K$2:K308,"Sparse"))</f>
        <v>SD81</v>
      </c>
      <c r="B308" s="28" t="str">
        <f>J308&amp;(COUNTIF(J$2:J308,J308))</f>
        <v>Kent12</v>
      </c>
      <c r="C308" s="31" t="s">
        <v>351</v>
      </c>
      <c r="D308" s="31" t="s">
        <v>351</v>
      </c>
      <c r="E308" s="32" t="s">
        <v>0</v>
      </c>
      <c r="F308" s="32" t="s">
        <v>383</v>
      </c>
      <c r="G308" s="32" t="s">
        <v>5</v>
      </c>
      <c r="H308" s="33" t="s">
        <v>900</v>
      </c>
      <c r="I308" s="34" t="s">
        <v>373</v>
      </c>
      <c r="J308" t="s">
        <v>316</v>
      </c>
      <c r="K308" s="44"/>
    </row>
    <row r="309" spans="1:11" ht="15">
      <c r="A309" s="28" t="str">
        <f>F309&amp;(COUNTIFS(F$2:F309,F309,K$2:K309,"Sparse"))</f>
        <v>UA13</v>
      </c>
      <c r="B309" s="28" t="str">
        <f>J309&amp;(COUNTIF(J$2:J309,J309))</f>
        <v>Unitary49</v>
      </c>
      <c r="C309" s="31" t="s">
        <v>295</v>
      </c>
      <c r="D309" s="31" t="s">
        <v>295</v>
      </c>
      <c r="E309" s="32" t="s">
        <v>1</v>
      </c>
      <c r="F309" s="32" t="s">
        <v>389</v>
      </c>
      <c r="G309" s="32" t="s">
        <v>398</v>
      </c>
      <c r="H309" s="33" t="s">
        <v>897</v>
      </c>
      <c r="I309" s="34" t="s">
        <v>386</v>
      </c>
      <c r="J309" s="45" t="s">
        <v>398</v>
      </c>
      <c r="K309" s="44"/>
    </row>
    <row r="310" spans="1:11" ht="15">
      <c r="A310" s="28" t="str">
        <f>F310&amp;(COUNTIFS(F$2:F310,F310,K$2:K310,"Sparse"))</f>
        <v>SD82</v>
      </c>
      <c r="B310" s="28" t="str">
        <f>J310&amp;(COUNTIF(J$2:J310,J310))</f>
        <v>Devon8</v>
      </c>
      <c r="C310" s="31" t="s">
        <v>171</v>
      </c>
      <c r="D310" s="31" t="s">
        <v>171</v>
      </c>
      <c r="E310" s="32" t="s">
        <v>1</v>
      </c>
      <c r="F310" s="32" t="s">
        <v>383</v>
      </c>
      <c r="G310" s="32" t="s">
        <v>5</v>
      </c>
      <c r="H310" s="33" t="s">
        <v>898</v>
      </c>
      <c r="I310" s="34" t="s">
        <v>384</v>
      </c>
      <c r="J310" t="s">
        <v>309</v>
      </c>
      <c r="K310" s="44" t="s">
        <v>336</v>
      </c>
    </row>
    <row r="311" spans="1:11" ht="15">
      <c r="A311" s="28" t="str">
        <f>F311&amp;(COUNTIFS(F$2:F311,F311,K$2:K311,"Sparse"))</f>
        <v>L0</v>
      </c>
      <c r="B311" s="28" t="str">
        <f>J311&amp;(COUNTIF(J$2:J311,J311))</f>
        <v>London30</v>
      </c>
      <c r="C311" s="31" t="s">
        <v>220</v>
      </c>
      <c r="D311" s="31" t="s">
        <v>220</v>
      </c>
      <c r="E311" s="32" t="s">
        <v>385</v>
      </c>
      <c r="F311" s="32" t="s">
        <v>360</v>
      </c>
      <c r="G311" s="32" t="s">
        <v>385</v>
      </c>
      <c r="H311" s="33" t="s">
        <v>902</v>
      </c>
      <c r="I311" s="34" t="s">
        <v>386</v>
      </c>
      <c r="J311" t="str">
        <f>G311</f>
        <v>London</v>
      </c>
      <c r="K311" s="44"/>
    </row>
    <row r="312" spans="1:11" ht="15">
      <c r="A312" s="28" t="str">
        <f>F312&amp;(COUNTIFS(F$2:F312,F312,K$2:K312,"Sparse"))</f>
        <v>MD0</v>
      </c>
      <c r="B312" s="28" t="str">
        <f>J312&amp;(COUNTIF(J$2:J312,J312))</f>
        <v>Trafford1</v>
      </c>
      <c r="C312" s="31" t="s">
        <v>253</v>
      </c>
      <c r="D312" s="31" t="s">
        <v>253</v>
      </c>
      <c r="E312" s="32" t="s">
        <v>378</v>
      </c>
      <c r="F312" s="32" t="s">
        <v>388</v>
      </c>
      <c r="G312" s="32" t="s">
        <v>399</v>
      </c>
      <c r="H312" s="33" t="s">
        <v>902</v>
      </c>
      <c r="I312" s="34" t="s">
        <v>386</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383</v>
      </c>
      <c r="G313" s="32" t="s">
        <v>5</v>
      </c>
      <c r="H313" s="35" t="s">
        <v>900</v>
      </c>
      <c r="I313" s="34" t="s">
        <v>373</v>
      </c>
      <c r="J313" t="s">
        <v>316</v>
      </c>
      <c r="K313" s="44" t="s">
        <v>336</v>
      </c>
    </row>
    <row r="314" spans="1:11" ht="15">
      <c r="A314" s="28" t="str">
        <f>F314&amp;(COUNTIFS(F$2:F314,F314,K$2:K314,"Sparse"))</f>
        <v>SD84</v>
      </c>
      <c r="B314" s="28" t="str">
        <f>J314&amp;(COUNTIF(J$2:J314,J314))</f>
        <v>Essex13</v>
      </c>
      <c r="C314" s="31" t="s">
        <v>173</v>
      </c>
      <c r="D314" s="31" t="s">
        <v>173</v>
      </c>
      <c r="E314" s="32" t="s">
        <v>371</v>
      </c>
      <c r="F314" s="32" t="s">
        <v>383</v>
      </c>
      <c r="G314" s="32" t="s">
        <v>5</v>
      </c>
      <c r="H314" s="33" t="s">
        <v>898</v>
      </c>
      <c r="I314" s="34" t="s">
        <v>384</v>
      </c>
      <c r="J314" t="s">
        <v>312</v>
      </c>
      <c r="K314" s="44" t="s">
        <v>336</v>
      </c>
    </row>
    <row r="315" spans="1:11" ht="15">
      <c r="A315" s="28" t="str">
        <f>F315&amp;(COUNTIFS(F$2:F315,F315,K$2:K315,"Sparse"))</f>
        <v>SD85</v>
      </c>
      <c r="B315" s="28" t="str">
        <f>J315&amp;(COUNTIF(J$2:J315,J315))</f>
        <v>Oxfordshire5</v>
      </c>
      <c r="C315" s="31" t="s">
        <v>174</v>
      </c>
      <c r="D315" s="31" t="s">
        <v>174</v>
      </c>
      <c r="E315" s="32" t="s">
        <v>0</v>
      </c>
      <c r="F315" s="32" t="s">
        <v>383</v>
      </c>
      <c r="G315" s="32" t="s">
        <v>5</v>
      </c>
      <c r="H315" s="33" t="s">
        <v>901</v>
      </c>
      <c r="I315" s="34" t="s">
        <v>384</v>
      </c>
      <c r="J315" t="s">
        <v>325</v>
      </c>
      <c r="K315" s="44" t="s">
        <v>336</v>
      </c>
    </row>
    <row r="316" spans="1:11" ht="15">
      <c r="A316" s="28" t="str">
        <f>F316&amp;(COUNTIFS(F$2:F316,F316,K$2:K316,"Sparse"))</f>
        <v>MD0</v>
      </c>
      <c r="B316" s="28" t="str">
        <f>J316&amp;(COUNTIF(J$2:J316,J316))</f>
        <v>Wakefield1</v>
      </c>
      <c r="C316" s="31" t="s">
        <v>254</v>
      </c>
      <c r="D316" s="31" t="s">
        <v>254</v>
      </c>
      <c r="E316" s="32" t="s">
        <v>387</v>
      </c>
      <c r="F316" s="32" t="s">
        <v>388</v>
      </c>
      <c r="G316" s="32" t="s">
        <v>399</v>
      </c>
      <c r="H316" s="35" t="s">
        <v>897</v>
      </c>
      <c r="I316" s="34" t="s">
        <v>386</v>
      </c>
      <c r="J316" t="str">
        <f>C316</f>
        <v>Wakefield</v>
      </c>
      <c r="K316" s="44"/>
    </row>
    <row r="317" spans="1:11" ht="15">
      <c r="A317" s="28" t="str">
        <f>F317&amp;(COUNTIFS(F$2:F317,F317,K$2:K317,"Sparse"))</f>
        <v>MD0</v>
      </c>
      <c r="B317" s="28" t="str">
        <f>J317&amp;(COUNTIF(J$2:J317,J317))</f>
        <v>Walsall1</v>
      </c>
      <c r="C317" s="31" t="s">
        <v>255</v>
      </c>
      <c r="D317" s="31" t="s">
        <v>255</v>
      </c>
      <c r="E317" s="32" t="s">
        <v>370</v>
      </c>
      <c r="F317" s="32" t="s">
        <v>388</v>
      </c>
      <c r="G317" s="32" t="s">
        <v>399</v>
      </c>
      <c r="H317" s="33" t="s">
        <v>902</v>
      </c>
      <c r="I317" s="34" t="s">
        <v>386</v>
      </c>
      <c r="J317" t="str">
        <f>C317</f>
        <v>Walsall</v>
      </c>
      <c r="K317" s="44"/>
    </row>
    <row r="318" spans="1:11" ht="15">
      <c r="A318" s="28" t="str">
        <f>F318&amp;(COUNTIFS(F$2:F318,F318,K$2:K318,"Sparse"))</f>
        <v>L0</v>
      </c>
      <c r="B318" s="28" t="str">
        <f>J318&amp;(COUNTIF(J$2:J318,J318))</f>
        <v>London31</v>
      </c>
      <c r="C318" s="31" t="s">
        <v>221</v>
      </c>
      <c r="D318" s="31" t="s">
        <v>221</v>
      </c>
      <c r="E318" s="32" t="s">
        <v>385</v>
      </c>
      <c r="F318" s="32" t="s">
        <v>360</v>
      </c>
      <c r="G318" s="32" t="s">
        <v>385</v>
      </c>
      <c r="H318" s="33" t="s">
        <v>902</v>
      </c>
      <c r="I318" s="34" t="s">
        <v>386</v>
      </c>
      <c r="J318" t="str">
        <f>G318</f>
        <v>London</v>
      </c>
      <c r="K318" s="44"/>
    </row>
    <row r="319" spans="1:11" ht="15">
      <c r="A319" s="28" t="str">
        <f>F319&amp;(COUNTIFS(F$2:F319,F319,K$2:K319,"Sparse"))</f>
        <v>L0</v>
      </c>
      <c r="B319" s="28" t="str">
        <f>J319&amp;(COUNTIF(J$2:J319,J319))</f>
        <v>London32</v>
      </c>
      <c r="C319" s="31" t="s">
        <v>222</v>
      </c>
      <c r="D319" s="31" t="s">
        <v>222</v>
      </c>
      <c r="E319" s="32" t="s">
        <v>385</v>
      </c>
      <c r="F319" s="32" t="s">
        <v>360</v>
      </c>
      <c r="G319" s="32" t="s">
        <v>385</v>
      </c>
      <c r="H319" s="33" t="s">
        <v>902</v>
      </c>
      <c r="I319" s="34" t="s">
        <v>386</v>
      </c>
      <c r="J319" t="str">
        <f>G319</f>
        <v>London</v>
      </c>
      <c r="K319" s="44"/>
    </row>
    <row r="320" spans="1:11" ht="15">
      <c r="A320" s="28" t="str">
        <f>F320&amp;(COUNTIFS(F$2:F320,F320,K$2:K320,"Sparse"))</f>
        <v>UA13</v>
      </c>
      <c r="B320" s="28" t="str">
        <f>J320&amp;(COUNTIF(J$2:J320,J320))</f>
        <v>Unitary50</v>
      </c>
      <c r="C320" s="31" t="s">
        <v>296</v>
      </c>
      <c r="D320" s="31" t="s">
        <v>296</v>
      </c>
      <c r="E320" s="32" t="s">
        <v>378</v>
      </c>
      <c r="F320" s="32" t="s">
        <v>389</v>
      </c>
      <c r="G320" s="32" t="s">
        <v>398</v>
      </c>
      <c r="H320" s="33" t="s">
        <v>897</v>
      </c>
      <c r="I320" s="34" t="s">
        <v>386</v>
      </c>
      <c r="J320" s="45" t="s">
        <v>398</v>
      </c>
      <c r="K320" s="44"/>
    </row>
    <row r="321" spans="1:11" ht="15">
      <c r="A321" s="28" t="str">
        <f>F321&amp;(COUNTIFS(F$2:F321,F321,K$2:K321,"Sparse"))</f>
        <v>SD85</v>
      </c>
      <c r="B321" s="28" t="str">
        <f>J321&amp;(COUNTIF(J$2:J321,J321))</f>
        <v>Warwickshire5</v>
      </c>
      <c r="C321" s="31" t="s">
        <v>175</v>
      </c>
      <c r="D321" s="31" t="s">
        <v>175</v>
      </c>
      <c r="E321" s="32" t="s">
        <v>370</v>
      </c>
      <c r="F321" s="32" t="s">
        <v>383</v>
      </c>
      <c r="G321" s="32" t="s">
        <v>5</v>
      </c>
      <c r="H321" s="35" t="s">
        <v>897</v>
      </c>
      <c r="I321" s="34" t="s">
        <v>386</v>
      </c>
      <c r="J321" t="s">
        <v>331</v>
      </c>
      <c r="K321" s="44"/>
    </row>
    <row r="322" spans="1:11" ht="15">
      <c r="A322" s="28" t="str">
        <f>F322&amp;(COUNTIFS(F$2:F322,F322,K$2:K322,"Sparse"))</f>
        <v>SC14</v>
      </c>
      <c r="B322" s="28" t="str">
        <f>J322&amp;(COUNTIF(J$2:J322,J322))</f>
        <v>Warwickshire6</v>
      </c>
      <c r="C322" s="34" t="s">
        <v>331</v>
      </c>
      <c r="D322" s="34" t="s">
        <v>331</v>
      </c>
      <c r="E322" s="32" t="s">
        <v>370</v>
      </c>
      <c r="F322" s="32" t="s">
        <v>391</v>
      </c>
      <c r="G322" s="32" t="s">
        <v>302</v>
      </c>
      <c r="H322" s="34" t="s">
        <v>373</v>
      </c>
      <c r="I322" s="34" t="s">
        <v>373</v>
      </c>
      <c r="J322" t="str">
        <f>C322</f>
        <v>Warwickshire</v>
      </c>
      <c r="K322" s="44"/>
    </row>
    <row r="323" spans="1:11" ht="15">
      <c r="A323" s="28" t="str">
        <f>F323&amp;(COUNTIFS(F$2:F323,F323,K$2:K323,"Sparse"))</f>
        <v>SD85</v>
      </c>
      <c r="B323" s="28" t="str">
        <f>J323&amp;(COUNTIF(J$2:J323,J323))</f>
        <v>Hertfordshire10</v>
      </c>
      <c r="C323" s="31" t="s">
        <v>176</v>
      </c>
      <c r="D323" s="31" t="s">
        <v>176</v>
      </c>
      <c r="E323" s="32" t="s">
        <v>371</v>
      </c>
      <c r="F323" s="32" t="s">
        <v>383</v>
      </c>
      <c r="G323" s="32" t="s">
        <v>5</v>
      </c>
      <c r="H323" s="33" t="s">
        <v>902</v>
      </c>
      <c r="I323" s="34" t="s">
        <v>386</v>
      </c>
      <c r="J323" t="s">
        <v>315</v>
      </c>
      <c r="K323" s="44"/>
    </row>
    <row r="324" spans="1:11" ht="15">
      <c r="A324" s="28" t="str">
        <f>F324&amp;(COUNTIFS(F$2:F324,F324,K$2:K324,"Sparse"))</f>
        <v>SD86</v>
      </c>
      <c r="B324" s="28" t="str">
        <f>J324&amp;(COUNTIF(J$2:J324,J324))</f>
        <v>Suffolk8</v>
      </c>
      <c r="C324" s="31" t="s">
        <v>177</v>
      </c>
      <c r="D324" s="31" t="s">
        <v>177</v>
      </c>
      <c r="E324" s="32" t="s">
        <v>371</v>
      </c>
      <c r="F324" s="32" t="s">
        <v>383</v>
      </c>
      <c r="G324" s="32" t="s">
        <v>5</v>
      </c>
      <c r="H324" s="35" t="s">
        <v>900</v>
      </c>
      <c r="I324" s="34" t="s">
        <v>373</v>
      </c>
      <c r="J324" t="s">
        <v>329</v>
      </c>
      <c r="K324" s="44" t="s">
        <v>336</v>
      </c>
    </row>
    <row r="325" spans="1:11" ht="15">
      <c r="A325" s="28" t="str">
        <f>F325&amp;(COUNTIFS(F$2:F325,F325,K$2:K325,"Sparse"))</f>
        <v>SD86</v>
      </c>
      <c r="B325" s="28" t="str">
        <f>J325&amp;(COUNTIF(J$2:J325,J325))</f>
        <v>Surrey11</v>
      </c>
      <c r="C325" s="31" t="s">
        <v>178</v>
      </c>
      <c r="D325" s="31" t="s">
        <v>178</v>
      </c>
      <c r="E325" s="32" t="s">
        <v>0</v>
      </c>
      <c r="F325" s="32" t="s">
        <v>383</v>
      </c>
      <c r="G325" s="32" t="s">
        <v>5</v>
      </c>
      <c r="H325" s="33" t="s">
        <v>901</v>
      </c>
      <c r="I325" s="34" t="s">
        <v>384</v>
      </c>
      <c r="J325" t="s">
        <v>330</v>
      </c>
      <c r="K325" s="44"/>
    </row>
    <row r="326" spans="1:11" ht="15">
      <c r="A326" s="28" t="str">
        <f>F326&amp;(COUNTIFS(F$2:F326,F326,K$2:K326,"Sparse"))</f>
        <v>SD87</v>
      </c>
      <c r="B326" s="28" t="str">
        <f>J326&amp;(COUNTIF(J$2:J326,J326))</f>
        <v>East Sussex6</v>
      </c>
      <c r="C326" s="31" t="s">
        <v>179</v>
      </c>
      <c r="D326" s="31" t="s">
        <v>179</v>
      </c>
      <c r="E326" s="32" t="s">
        <v>0</v>
      </c>
      <c r="F326" s="32" t="s">
        <v>383</v>
      </c>
      <c r="G326" s="32" t="s">
        <v>5</v>
      </c>
      <c r="H326" s="33" t="s">
        <v>898</v>
      </c>
      <c r="I326" s="34" t="s">
        <v>384</v>
      </c>
      <c r="J326" t="s">
        <v>311</v>
      </c>
      <c r="K326" s="44" t="s">
        <v>336</v>
      </c>
    </row>
    <row r="327" spans="1:11" ht="15">
      <c r="A327" s="28" t="str">
        <f>F327&amp;(COUNTIFS(F$2:F327,F327,K$2:K327,"Sparse"))</f>
        <v>SD87</v>
      </c>
      <c r="B327" s="28" t="str">
        <f>J327&amp;(COUNTIF(J$2:J327,J327))</f>
        <v>Northamptonshire8</v>
      </c>
      <c r="C327" s="31" t="s">
        <v>180</v>
      </c>
      <c r="D327" s="31" t="s">
        <v>180</v>
      </c>
      <c r="E327" s="32" t="s">
        <v>369</v>
      </c>
      <c r="F327" s="32" t="s">
        <v>383</v>
      </c>
      <c r="G327" s="32" t="s">
        <v>5</v>
      </c>
      <c r="H327" s="35" t="s">
        <v>900</v>
      </c>
      <c r="I327" s="34" t="s">
        <v>373</v>
      </c>
      <c r="J327" t="s">
        <v>322</v>
      </c>
      <c r="K327" s="44"/>
    </row>
    <row r="328" spans="1:11" ht="15">
      <c r="A328" s="28" t="str">
        <f>F328&amp;(COUNTIFS(F$2:F328,F328,K$2:K328,"Sparse"))</f>
        <v>SD87</v>
      </c>
      <c r="B328" s="28" t="str">
        <f>J328&amp;(COUNTIF(J$2:J328,J328))</f>
        <v>Hertfordshire11</v>
      </c>
      <c r="C328" s="31" t="s">
        <v>181</v>
      </c>
      <c r="D328" s="31" t="s">
        <v>181</v>
      </c>
      <c r="E328" s="32" t="s">
        <v>371</v>
      </c>
      <c r="F328" s="32" t="s">
        <v>383</v>
      </c>
      <c r="G328" s="32" t="s">
        <v>5</v>
      </c>
      <c r="H328" s="33" t="s">
        <v>897</v>
      </c>
      <c r="I328" s="34" t="s">
        <v>386</v>
      </c>
      <c r="J328" t="s">
        <v>315</v>
      </c>
      <c r="K328" s="44"/>
    </row>
    <row r="329" spans="1:11" ht="15">
      <c r="A329" s="28" t="str">
        <f>F329&amp;(COUNTIFS(F$2:F329,F329,K$2:K329,"Sparse"))</f>
        <v>UA13</v>
      </c>
      <c r="B329" s="28" t="str">
        <f>J329&amp;(COUNTIF(J$2:J329,J329))</f>
        <v>Unitary51</v>
      </c>
      <c r="C329" s="31" t="s">
        <v>297</v>
      </c>
      <c r="D329" s="31" t="s">
        <v>297</v>
      </c>
      <c r="E329" s="32" t="s">
        <v>0</v>
      </c>
      <c r="F329" s="32" t="s">
        <v>389</v>
      </c>
      <c r="G329" s="32" t="s">
        <v>398</v>
      </c>
      <c r="H329" s="35" t="s">
        <v>900</v>
      </c>
      <c r="I329" s="34" t="s">
        <v>373</v>
      </c>
      <c r="J329" s="45" t="s">
        <v>398</v>
      </c>
      <c r="K329" s="44"/>
    </row>
    <row r="330" spans="1:11" ht="15">
      <c r="A330" s="28" t="str">
        <f>F330&amp;(COUNTIFS(F$2:F330,F330,K$2:K330,"Sparse"))</f>
        <v>SD88</v>
      </c>
      <c r="B330" s="28" t="str">
        <f>J330&amp;(COUNTIF(J$2:J330,J330))</f>
        <v>Devon9</v>
      </c>
      <c r="C330" s="31" t="s">
        <v>182</v>
      </c>
      <c r="D330" s="31" t="s">
        <v>182</v>
      </c>
      <c r="E330" s="32" t="s">
        <v>1</v>
      </c>
      <c r="F330" s="32" t="s">
        <v>383</v>
      </c>
      <c r="G330" s="32" t="s">
        <v>5</v>
      </c>
      <c r="H330" s="33" t="s">
        <v>898</v>
      </c>
      <c r="I330" s="34" t="s">
        <v>384</v>
      </c>
      <c r="J330" t="s">
        <v>309</v>
      </c>
      <c r="K330" s="44" t="s">
        <v>336</v>
      </c>
    </row>
    <row r="331" spans="1:11" ht="15">
      <c r="A331" s="28" t="str">
        <f>F331&amp;(COUNTIFS(F$2:F331,F331,K$2:K331,"Sparse"))</f>
        <v>SD89</v>
      </c>
      <c r="B331" s="28" t="str">
        <f>J331&amp;(COUNTIF(J$2:J331,J331))</f>
        <v>Dorset6</v>
      </c>
      <c r="C331" s="31" t="s">
        <v>183</v>
      </c>
      <c r="D331" s="31" t="s">
        <v>183</v>
      </c>
      <c r="E331" s="32" t="s">
        <v>1</v>
      </c>
      <c r="F331" s="32" t="s">
        <v>383</v>
      </c>
      <c r="G331" s="32" t="s">
        <v>5</v>
      </c>
      <c r="H331" s="33" t="s">
        <v>898</v>
      </c>
      <c r="I331" s="34" t="s">
        <v>384</v>
      </c>
      <c r="J331" t="s">
        <v>310</v>
      </c>
      <c r="K331" s="44" t="s">
        <v>336</v>
      </c>
    </row>
    <row r="332" spans="1:11" ht="15">
      <c r="A332" s="28" t="str">
        <f>F332&amp;(COUNTIFS(F$2:F332,F332,K$2:K332,"Sparse"))</f>
        <v>SD89</v>
      </c>
      <c r="B332" s="28" t="str">
        <f>J332&amp;(COUNTIF(J$2:J332,J332))</f>
        <v>Lancashire12</v>
      </c>
      <c r="C332" s="31" t="s">
        <v>184</v>
      </c>
      <c r="D332" s="31" t="s">
        <v>184</v>
      </c>
      <c r="E332" s="32" t="s">
        <v>378</v>
      </c>
      <c r="F332" s="32" t="s">
        <v>383</v>
      </c>
      <c r="G332" s="32" t="s">
        <v>5</v>
      </c>
      <c r="H332" s="33" t="s">
        <v>900</v>
      </c>
      <c r="I332" s="34" t="s">
        <v>373</v>
      </c>
      <c r="J332" t="s">
        <v>317</v>
      </c>
      <c r="K332" s="44"/>
    </row>
    <row r="333" spans="1:11" ht="15">
      <c r="A333" s="28" t="str">
        <f>F333&amp;(COUNTIFS(F$2:F333,F333,K$2:K333,"Sparse"))</f>
        <v>SD90</v>
      </c>
      <c r="B333" s="28" t="str">
        <f>J333&amp;(COUNTIF(J$2:J333,J333))</f>
        <v>Lincolnshire8</v>
      </c>
      <c r="C333" s="31" t="s">
        <v>185</v>
      </c>
      <c r="D333" s="31" t="s">
        <v>185</v>
      </c>
      <c r="E333" s="32" t="s">
        <v>369</v>
      </c>
      <c r="F333" s="32" t="s">
        <v>383</v>
      </c>
      <c r="G333" s="32" t="s">
        <v>5</v>
      </c>
      <c r="H333" s="33" t="s">
        <v>898</v>
      </c>
      <c r="I333" s="34" t="s">
        <v>384</v>
      </c>
      <c r="J333" t="s">
        <v>319</v>
      </c>
      <c r="K333" s="44" t="s">
        <v>336</v>
      </c>
    </row>
    <row r="334" spans="1:11" ht="15">
      <c r="A334" s="28" t="str">
        <f>F334&amp;(COUNTIFS(F$2:F334,F334,K$2:K334,"Sparse"))</f>
        <v>SD91</v>
      </c>
      <c r="B334" s="28" t="str">
        <f>J334&amp;(COUNTIF(J$2:J334,J334))</f>
        <v>Oxfordshire6</v>
      </c>
      <c r="C334" s="31" t="s">
        <v>186</v>
      </c>
      <c r="D334" s="31" t="s">
        <v>186</v>
      </c>
      <c r="E334" s="32" t="s">
        <v>0</v>
      </c>
      <c r="F334" s="32" t="s">
        <v>383</v>
      </c>
      <c r="G334" s="32" t="s">
        <v>5</v>
      </c>
      <c r="H334" s="33" t="s">
        <v>898</v>
      </c>
      <c r="I334" s="34" t="s">
        <v>384</v>
      </c>
      <c r="J334" t="s">
        <v>325</v>
      </c>
      <c r="K334" s="44" t="s">
        <v>336</v>
      </c>
    </row>
    <row r="335" spans="1:11" ht="15">
      <c r="A335" s="28" t="str">
        <f>F335&amp;(COUNTIFS(F$2:F335,F335,K$2:K335,"Sparse"))</f>
        <v>SD92</v>
      </c>
      <c r="B335" s="28" t="str">
        <f>J335&amp;(COUNTIF(J$2:J335,J335))</f>
        <v>Somerset6</v>
      </c>
      <c r="C335" s="31" t="s">
        <v>187</v>
      </c>
      <c r="D335" s="31" t="s">
        <v>187</v>
      </c>
      <c r="E335" s="32" t="s">
        <v>1</v>
      </c>
      <c r="F335" s="32" t="s">
        <v>383</v>
      </c>
      <c r="G335" s="32" t="s">
        <v>5</v>
      </c>
      <c r="H335" s="33" t="s">
        <v>898</v>
      </c>
      <c r="I335" s="34" t="s">
        <v>384</v>
      </c>
      <c r="J335" t="s">
        <v>327</v>
      </c>
      <c r="K335" s="44" t="s">
        <v>336</v>
      </c>
    </row>
    <row r="336" spans="1:11" ht="15">
      <c r="A336" s="28" t="str">
        <f>F336&amp;(COUNTIFS(F$2:F336,F336,K$2:K336,"Sparse"))</f>
        <v>SC15</v>
      </c>
      <c r="B336" s="28" t="str">
        <f>J336&amp;(COUNTIF(J$2:J336,J336))</f>
        <v>West Sussex7</v>
      </c>
      <c r="C336" s="34" t="s">
        <v>332</v>
      </c>
      <c r="D336" s="34" t="s">
        <v>332</v>
      </c>
      <c r="E336" s="32" t="s">
        <v>0</v>
      </c>
      <c r="F336" s="32" t="s">
        <v>391</v>
      </c>
      <c r="G336" s="32" t="s">
        <v>302</v>
      </c>
      <c r="H336" s="34" t="s">
        <v>373</v>
      </c>
      <c r="I336" s="34" t="s">
        <v>373</v>
      </c>
      <c r="J336" t="str">
        <f>C336</f>
        <v>West Sussex</v>
      </c>
      <c r="K336" s="44" t="s">
        <v>336</v>
      </c>
    </row>
    <row r="337" spans="1:11" ht="15">
      <c r="A337" s="28" t="str">
        <f>F337&amp;(COUNTIFS(F$2:F337,F337,K$2:K337,"Sparse"))</f>
        <v>L0</v>
      </c>
      <c r="B337" s="28" t="str">
        <f>J337&amp;(COUNTIF(J$2:J337,J337))</f>
        <v>London33</v>
      </c>
      <c r="C337" s="31" t="s">
        <v>188</v>
      </c>
      <c r="D337" s="31" t="s">
        <v>188</v>
      </c>
      <c r="E337" s="32" t="s">
        <v>385</v>
      </c>
      <c r="F337" s="32" t="s">
        <v>360</v>
      </c>
      <c r="G337" s="32" t="s">
        <v>385</v>
      </c>
      <c r="H337" s="33" t="s">
        <v>902</v>
      </c>
      <c r="I337" s="34" t="s">
        <v>386</v>
      </c>
      <c r="J337" t="str">
        <f>G337</f>
        <v>London</v>
      </c>
      <c r="K337" s="44"/>
    </row>
    <row r="338" spans="1:11" ht="15">
      <c r="A338" s="28" t="str">
        <f>F338&amp;(COUNTIFS(F$2:F338,F338,K$2:K338,"Sparse"))</f>
        <v>SD92</v>
      </c>
      <c r="B338" s="28" t="str">
        <f>J338&amp;(COUNTIF(J$2:J338,J338))</f>
        <v>Dorset7</v>
      </c>
      <c r="C338" s="31" t="s">
        <v>352</v>
      </c>
      <c r="D338" s="31" t="s">
        <v>352</v>
      </c>
      <c r="E338" s="32" t="s">
        <v>1</v>
      </c>
      <c r="F338" s="32" t="s">
        <v>383</v>
      </c>
      <c r="G338" s="32" t="s">
        <v>5</v>
      </c>
      <c r="H338" s="33" t="s">
        <v>897</v>
      </c>
      <c r="I338" s="34" t="s">
        <v>386</v>
      </c>
      <c r="J338" t="s">
        <v>310</v>
      </c>
      <c r="K338" s="44"/>
    </row>
    <row r="339" spans="1:11" ht="15">
      <c r="A339" s="28" t="str">
        <f>F339&amp;(COUNTIFS(F$2:F339,F339,K$2:K339,"Sparse"))</f>
        <v>MD0</v>
      </c>
      <c r="B339" s="28" t="str">
        <f>J339&amp;(COUNTIF(J$2:J339,J339))</f>
        <v>Wigan1</v>
      </c>
      <c r="C339" s="31" t="s">
        <v>256</v>
      </c>
      <c r="D339" s="31" t="s">
        <v>256</v>
      </c>
      <c r="E339" s="32" t="s">
        <v>378</v>
      </c>
      <c r="F339" s="32" t="s">
        <v>388</v>
      </c>
      <c r="G339" s="32" t="s">
        <v>399</v>
      </c>
      <c r="H339" s="33" t="s">
        <v>902</v>
      </c>
      <c r="I339" s="34" t="s">
        <v>386</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389</v>
      </c>
      <c r="G340" s="32" t="s">
        <v>398</v>
      </c>
      <c r="H340" s="35" t="s">
        <v>901</v>
      </c>
      <c r="I340" s="34" t="s">
        <v>384</v>
      </c>
      <c r="J340" s="45" t="s">
        <v>398</v>
      </c>
      <c r="K340" s="44"/>
    </row>
    <row r="341" spans="1:11" ht="15">
      <c r="A341" s="28" t="str">
        <f>F341&amp;(COUNTIFS(F$2:F341,F341,K$2:K341,"Sparse"))</f>
        <v>SD93</v>
      </c>
      <c r="B341" s="28" t="str">
        <f>J341&amp;(COUNTIF(J$2:J341,J341))</f>
        <v>Hampshire12</v>
      </c>
      <c r="C341" s="31" t="s">
        <v>189</v>
      </c>
      <c r="D341" s="31" t="s">
        <v>189</v>
      </c>
      <c r="E341" s="32" t="s">
        <v>0</v>
      </c>
      <c r="F341" s="32" t="s">
        <v>383</v>
      </c>
      <c r="G341" s="32" t="s">
        <v>5</v>
      </c>
      <c r="H341" s="33" t="s">
        <v>901</v>
      </c>
      <c r="I341" s="34" t="s">
        <v>384</v>
      </c>
      <c r="J341" t="s">
        <v>314</v>
      </c>
      <c r="K341" s="44" t="s">
        <v>336</v>
      </c>
    </row>
    <row r="342" spans="1:11" ht="15">
      <c r="A342" s="28" t="str">
        <f>F342&amp;(COUNTIFS(F$2:F342,F342,K$2:K342,"Sparse"))</f>
        <v>UA13</v>
      </c>
      <c r="B342" s="28" t="str">
        <f>J342&amp;(COUNTIF(J$2:J342,J342))</f>
        <v>Unitary53</v>
      </c>
      <c r="C342" s="31" t="s">
        <v>819</v>
      </c>
      <c r="D342" s="31" t="s">
        <v>819</v>
      </c>
      <c r="E342" s="32" t="s">
        <v>0</v>
      </c>
      <c r="F342" s="32" t="s">
        <v>389</v>
      </c>
      <c r="G342" s="32" t="s">
        <v>398</v>
      </c>
      <c r="H342" s="33" t="s">
        <v>897</v>
      </c>
      <c r="I342" s="34" t="s">
        <v>386</v>
      </c>
      <c r="J342" s="45" t="s">
        <v>398</v>
      </c>
      <c r="K342" s="44"/>
    </row>
    <row r="343" spans="1:11" ht="15">
      <c r="A343" s="28" t="str">
        <f>F343&amp;(COUNTIFS(F$2:F343,F343,K$2:K343,"Sparse"))</f>
        <v>MD0</v>
      </c>
      <c r="B343" s="28" t="str">
        <f>J343&amp;(COUNTIF(J$2:J343,J343))</f>
        <v>Wirral1</v>
      </c>
      <c r="C343" s="31" t="s">
        <v>257</v>
      </c>
      <c r="D343" s="31" t="s">
        <v>257</v>
      </c>
      <c r="E343" s="32" t="s">
        <v>378</v>
      </c>
      <c r="F343" s="32" t="s">
        <v>388</v>
      </c>
      <c r="G343" s="32" t="s">
        <v>399</v>
      </c>
      <c r="H343" s="33" t="s">
        <v>902</v>
      </c>
      <c r="I343" s="34" t="s">
        <v>386</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383</v>
      </c>
      <c r="G344" s="32" t="s">
        <v>5</v>
      </c>
      <c r="H344" s="33" t="s">
        <v>902</v>
      </c>
      <c r="I344" s="34" t="s">
        <v>386</v>
      </c>
      <c r="J344" t="s">
        <v>330</v>
      </c>
      <c r="K344" s="44"/>
    </row>
    <row r="345" spans="1:11" ht="15">
      <c r="A345" s="28" t="str">
        <f>F345&amp;(COUNTIFS(F$2:F345,F345,K$2:K345,"Sparse"))</f>
        <v>UA13</v>
      </c>
      <c r="B345" s="28" t="str">
        <f>J345&amp;(COUNTIF(J$2:J345,J345))</f>
        <v>Unitary54</v>
      </c>
      <c r="C345" s="31" t="s">
        <v>299</v>
      </c>
      <c r="D345" s="31" t="s">
        <v>299</v>
      </c>
      <c r="E345" s="32" t="s">
        <v>0</v>
      </c>
      <c r="F345" s="32" t="s">
        <v>389</v>
      </c>
      <c r="G345" s="32" t="s">
        <v>398</v>
      </c>
      <c r="H345" s="33" t="s">
        <v>897</v>
      </c>
      <c r="I345" s="34" t="s">
        <v>386</v>
      </c>
      <c r="J345" s="45" t="s">
        <v>398</v>
      </c>
      <c r="K345" s="44"/>
    </row>
    <row r="346" spans="1:11" ht="15">
      <c r="A346" s="28" t="str">
        <f>F346&amp;(COUNTIFS(F$2:F346,F346,K$2:K346,"Sparse"))</f>
        <v>MD0</v>
      </c>
      <c r="B346" s="28" t="str">
        <f>J346&amp;(COUNTIF(J$2:J346,J346))</f>
        <v>Wolverhampton1</v>
      </c>
      <c r="C346" s="31" t="s">
        <v>258</v>
      </c>
      <c r="D346" s="31" t="s">
        <v>258</v>
      </c>
      <c r="E346" s="32" t="s">
        <v>370</v>
      </c>
      <c r="F346" s="32" t="s">
        <v>388</v>
      </c>
      <c r="G346" s="32" t="s">
        <v>399</v>
      </c>
      <c r="H346" s="33" t="s">
        <v>902</v>
      </c>
      <c r="I346" s="34" t="s">
        <v>386</v>
      </c>
      <c r="J346" t="str">
        <f>C346</f>
        <v>Wolverhampton</v>
      </c>
      <c r="K346" s="44"/>
    </row>
    <row r="347" spans="1:11" ht="15">
      <c r="A347" s="28" t="str">
        <f>F347&amp;(COUNTIFS(F$2:F347,F347,K$2:K347,"Sparse"))</f>
        <v>SD93</v>
      </c>
      <c r="B347" s="28" t="str">
        <f>J347&amp;(COUNTIF(J$2:J347,J347))</f>
        <v>Worcestershire4</v>
      </c>
      <c r="C347" s="31" t="s">
        <v>191</v>
      </c>
      <c r="D347" s="31" t="s">
        <v>191</v>
      </c>
      <c r="E347" s="32" t="s">
        <v>370</v>
      </c>
      <c r="F347" s="32" t="s">
        <v>383</v>
      </c>
      <c r="G347" s="32" t="s">
        <v>5</v>
      </c>
      <c r="H347" s="33" t="s">
        <v>897</v>
      </c>
      <c r="I347" s="34" t="s">
        <v>386</v>
      </c>
      <c r="J347" t="s">
        <v>333</v>
      </c>
      <c r="K347" s="44"/>
    </row>
    <row r="348" spans="1:11" ht="15">
      <c r="A348" s="28" t="str">
        <f>F348&amp;(COUNTIFS(F$2:F348,F348,K$2:K348,"Sparse"))</f>
        <v>SC16</v>
      </c>
      <c r="B348" s="28" t="str">
        <f>J348&amp;(COUNTIF(J$2:J348,J348))</f>
        <v>Worcestershire5</v>
      </c>
      <c r="C348" s="34" t="s">
        <v>333</v>
      </c>
      <c r="D348" s="34" t="s">
        <v>333</v>
      </c>
      <c r="E348" s="32" t="s">
        <v>370</v>
      </c>
      <c r="F348" s="32" t="s">
        <v>391</v>
      </c>
      <c r="G348" s="32" t="s">
        <v>302</v>
      </c>
      <c r="H348" s="34" t="s">
        <v>373</v>
      </c>
      <c r="I348" s="34" t="s">
        <v>373</v>
      </c>
      <c r="J348" t="str">
        <f>C348</f>
        <v>Worcestershire</v>
      </c>
      <c r="K348" s="44" t="s">
        <v>336</v>
      </c>
    </row>
    <row r="349" spans="1:11" ht="15">
      <c r="A349" s="28" t="str">
        <f>F349&amp;(COUNTIFS(F$2:F349,F349,K$2:K349,"Sparse"))</f>
        <v>SD93</v>
      </c>
      <c r="B349" s="28" t="str">
        <f>J349&amp;(COUNTIF(J$2:J349,J349))</f>
        <v>West Sussex8</v>
      </c>
      <c r="C349" s="31" t="s">
        <v>192</v>
      </c>
      <c r="D349" s="31" t="s">
        <v>192</v>
      </c>
      <c r="E349" s="32" t="s">
        <v>0</v>
      </c>
      <c r="F349" s="32" t="s">
        <v>383</v>
      </c>
      <c r="G349" s="32" t="s">
        <v>5</v>
      </c>
      <c r="H349" s="33" t="s">
        <v>897</v>
      </c>
      <c r="I349" s="34" t="s">
        <v>386</v>
      </c>
      <c r="J349" t="s">
        <v>332</v>
      </c>
      <c r="K349" s="44"/>
    </row>
    <row r="350" spans="1:11" ht="15">
      <c r="A350" s="28" t="str">
        <f>F350&amp;(COUNTIFS(F$2:F350,F350,K$2:K350,"Sparse"))</f>
        <v>SD94</v>
      </c>
      <c r="B350" s="28" t="str">
        <f>J350&amp;(COUNTIF(J$2:J350,J350))</f>
        <v>Worcestershire6</v>
      </c>
      <c r="C350" s="31" t="s">
        <v>193</v>
      </c>
      <c r="D350" s="31" t="s">
        <v>193</v>
      </c>
      <c r="E350" s="32" t="s">
        <v>370</v>
      </c>
      <c r="F350" s="32" t="s">
        <v>383</v>
      </c>
      <c r="G350" s="32" t="s">
        <v>5</v>
      </c>
      <c r="H350" s="33" t="s">
        <v>898</v>
      </c>
      <c r="I350" s="34" t="s">
        <v>384</v>
      </c>
      <c r="J350" t="s">
        <v>333</v>
      </c>
      <c r="K350" s="44" t="s">
        <v>336</v>
      </c>
    </row>
    <row r="351" spans="1:11" ht="15">
      <c r="A351" s="28" t="str">
        <f>F351&amp;(COUNTIFS(F$2:F351,F351,K$2:K351,"Sparse"))</f>
        <v>SD94</v>
      </c>
      <c r="B351" s="28" t="str">
        <f>J351&amp;(COUNTIF(J$2:J351,J351))</f>
        <v>Buckinghamshire5</v>
      </c>
      <c r="C351" s="31" t="s">
        <v>194</v>
      </c>
      <c r="D351" s="31" t="s">
        <v>194</v>
      </c>
      <c r="E351" s="32" t="s">
        <v>0</v>
      </c>
      <c r="F351" s="32" t="s">
        <v>383</v>
      </c>
      <c r="G351" s="32" t="s">
        <v>5</v>
      </c>
      <c r="H351" s="35" t="s">
        <v>900</v>
      </c>
      <c r="I351" s="34" t="s">
        <v>373</v>
      </c>
      <c r="J351" t="s">
        <v>301</v>
      </c>
      <c r="K351" s="44"/>
    </row>
    <row r="352" spans="1:11" ht="15">
      <c r="A352" s="28" t="str">
        <f>F352&amp;(COUNTIFS(F$2:F352,F352,K$2:K352,"Sparse"))</f>
        <v>SD94</v>
      </c>
      <c r="B352" s="28" t="str">
        <f>J352&amp;(COUNTIF(J$2:J352,J352))</f>
        <v>Lancashire13</v>
      </c>
      <c r="C352" s="31" t="s">
        <v>195</v>
      </c>
      <c r="D352" s="31" t="s">
        <v>195</v>
      </c>
      <c r="E352" s="32" t="s">
        <v>378</v>
      </c>
      <c r="F352" s="32" t="s">
        <v>383</v>
      </c>
      <c r="G352" s="32" t="s">
        <v>5</v>
      </c>
      <c r="H352" s="35" t="s">
        <v>901</v>
      </c>
      <c r="I352" s="34" t="s">
        <v>384</v>
      </c>
      <c r="J352" t="s">
        <v>317</v>
      </c>
      <c r="K352" s="44"/>
    </row>
    <row r="353" spans="1:12" ht="15">
      <c r="A353" s="28" t="str">
        <f>F353&amp;(COUNTIFS(F$2:F353,F353,K$2:K353,"Sparse"))</f>
        <v>SD95</v>
      </c>
      <c r="B353" s="28" t="str">
        <f>J353&amp;(COUNTIF(J$2:J353,J353))</f>
        <v>Worcestershire7</v>
      </c>
      <c r="C353" s="31" t="s">
        <v>196</v>
      </c>
      <c r="D353" s="31" t="s">
        <v>196</v>
      </c>
      <c r="E353" s="32" t="s">
        <v>370</v>
      </c>
      <c r="F353" s="32" t="s">
        <v>383</v>
      </c>
      <c r="G353" s="32" t="s">
        <v>5</v>
      </c>
      <c r="H353" s="35" t="s">
        <v>900</v>
      </c>
      <c r="I353" s="34" t="s">
        <v>373</v>
      </c>
      <c r="J353" t="s">
        <v>333</v>
      </c>
      <c r="K353" s="44" t="s">
        <v>336</v>
      </c>
    </row>
    <row r="354" spans="1:12" ht="15">
      <c r="A354" s="28" t="str">
        <f>F354&amp;(COUNTIFS(F$2:F354,F354,K$2:K354,"Sparse"))</f>
        <v>UA13</v>
      </c>
      <c r="B354" s="28" t="str">
        <f>J354&amp;(COUNTIF(J$2:J354,J354))</f>
        <v>Unitary55</v>
      </c>
      <c r="C354" s="31" t="s">
        <v>300</v>
      </c>
      <c r="D354" s="31" t="s">
        <v>300</v>
      </c>
      <c r="E354" s="32" t="s">
        <v>387</v>
      </c>
      <c r="F354" s="32" t="s">
        <v>389</v>
      </c>
      <c r="G354" s="32" t="s">
        <v>398</v>
      </c>
      <c r="H354" s="33" t="s">
        <v>897</v>
      </c>
      <c r="I354" s="34" t="s">
        <v>386</v>
      </c>
      <c r="J354" s="45" t="s">
        <v>398</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424</v>
      </c>
      <c r="C1" s="99"/>
    </row>
    <row r="2" spans="1:18">
      <c r="A2" s="99"/>
      <c r="B2" s="99"/>
      <c r="C2" s="99"/>
    </row>
    <row r="3" spans="1:18">
      <c r="A3" s="99"/>
      <c r="B3" s="99" t="s">
        <v>425</v>
      </c>
      <c r="C3" s="99" t="s">
        <v>334</v>
      </c>
      <c r="D3" s="100" t="s">
        <v>426</v>
      </c>
      <c r="E3" s="100" t="s">
        <v>427</v>
      </c>
      <c r="F3" s="100" t="s">
        <v>428</v>
      </c>
      <c r="G3" s="100" t="s">
        <v>429</v>
      </c>
      <c r="H3" s="100" t="s">
        <v>430</v>
      </c>
      <c r="I3" s="100" t="s">
        <v>431</v>
      </c>
      <c r="J3" s="100" t="s">
        <v>432</v>
      </c>
      <c r="K3" s="100" t="s">
        <v>433</v>
      </c>
      <c r="L3" s="100" t="s">
        <v>434</v>
      </c>
      <c r="M3" s="100" t="s">
        <v>435</v>
      </c>
      <c r="N3" s="100" t="s">
        <v>436</v>
      </c>
      <c r="O3" s="100" t="s">
        <v>437</v>
      </c>
      <c r="P3" s="100" t="s">
        <v>438</v>
      </c>
      <c r="Q3" s="100" t="s">
        <v>439</v>
      </c>
      <c r="R3" s="100" t="s">
        <v>440</v>
      </c>
    </row>
    <row r="4" spans="1:18">
      <c r="A4" s="99"/>
      <c r="C4" s="99"/>
    </row>
    <row r="5" spans="1:18">
      <c r="A5" s="99"/>
      <c r="B5" s="99" t="s">
        <v>441</v>
      </c>
      <c r="C5" s="99"/>
    </row>
    <row r="6" spans="1:18">
      <c r="A6" s="100" t="str">
        <f>VLOOKUP(C6,classifications!C:F,4,FALSE)</f>
        <v>L</v>
      </c>
      <c r="B6" s="100" t="s">
        <v>442</v>
      </c>
      <c r="C6" s="100" t="s">
        <v>201</v>
      </c>
      <c r="D6" s="100" t="s">
        <v>212</v>
      </c>
      <c r="E6" s="100" t="s">
        <v>222</v>
      </c>
      <c r="F6" s="100" t="s">
        <v>337</v>
      </c>
      <c r="G6" s="100" t="s">
        <v>213</v>
      </c>
      <c r="H6" s="100" t="s">
        <v>338</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443</v>
      </c>
      <c r="C7" s="100" t="s">
        <v>205</v>
      </c>
      <c r="D7" s="100" t="s">
        <v>214</v>
      </c>
      <c r="E7" s="100" t="s">
        <v>213</v>
      </c>
      <c r="F7" s="100" t="s">
        <v>211</v>
      </c>
      <c r="G7" s="100" t="s">
        <v>221</v>
      </c>
      <c r="H7" s="100" t="s">
        <v>218</v>
      </c>
      <c r="I7" s="100" t="s">
        <v>215</v>
      </c>
      <c r="J7" s="100" t="s">
        <v>206</v>
      </c>
      <c r="K7" s="100" t="s">
        <v>339</v>
      </c>
      <c r="L7" s="100" t="s">
        <v>204</v>
      </c>
      <c r="M7" s="100" t="s">
        <v>199</v>
      </c>
      <c r="N7" s="100" t="s">
        <v>203</v>
      </c>
      <c r="O7" s="100" t="s">
        <v>207</v>
      </c>
      <c r="P7" s="100" t="s">
        <v>219</v>
      </c>
      <c r="Q7" s="100" t="s">
        <v>217</v>
      </c>
      <c r="R7" s="100" t="s">
        <v>198</v>
      </c>
    </row>
    <row r="8" spans="1:18">
      <c r="A8" s="100" t="str">
        <f>VLOOKUP(C8,classifications!C:F,4,FALSE)</f>
        <v>L</v>
      </c>
      <c r="B8" s="100" t="s">
        <v>444</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339</v>
      </c>
      <c r="Q8" s="100" t="s">
        <v>201</v>
      </c>
      <c r="R8" s="100" t="s">
        <v>215</v>
      </c>
    </row>
    <row r="9" spans="1:18">
      <c r="A9" s="100" t="str">
        <f>VLOOKUP(C9,classifications!C:F,4,FALSE)</f>
        <v>L</v>
      </c>
      <c r="B9" s="100" t="s">
        <v>445</v>
      </c>
      <c r="C9" s="100" t="s">
        <v>337</v>
      </c>
      <c r="D9" s="100" t="s">
        <v>212</v>
      </c>
      <c r="E9" s="100" t="s">
        <v>201</v>
      </c>
      <c r="F9" s="100" t="s">
        <v>222</v>
      </c>
      <c r="G9" s="100" t="s">
        <v>213</v>
      </c>
      <c r="H9" s="100" t="s">
        <v>211</v>
      </c>
      <c r="I9" s="100" t="s">
        <v>215</v>
      </c>
      <c r="J9" s="100" t="s">
        <v>338</v>
      </c>
      <c r="K9" s="100" t="s">
        <v>208</v>
      </c>
      <c r="L9" s="100" t="s">
        <v>395</v>
      </c>
      <c r="M9" s="100" t="s">
        <v>207</v>
      </c>
      <c r="N9" s="100" t="s">
        <v>203</v>
      </c>
      <c r="O9" s="100" t="s">
        <v>396</v>
      </c>
      <c r="P9" s="100" t="s">
        <v>205</v>
      </c>
      <c r="Q9" s="100" t="s">
        <v>217</v>
      </c>
      <c r="R9" s="100" t="s">
        <v>221</v>
      </c>
    </row>
    <row r="10" spans="1:18">
      <c r="A10" s="100" t="str">
        <f>VLOOKUP(C10,classifications!C:F,4,FALSE)</f>
        <v>L</v>
      </c>
      <c r="B10" s="100" t="s">
        <v>446</v>
      </c>
      <c r="C10" s="100" t="s">
        <v>212</v>
      </c>
      <c r="D10" s="100" t="s">
        <v>337</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447</v>
      </c>
      <c r="C11" s="100" t="s">
        <v>338</v>
      </c>
      <c r="D11" s="100" t="s">
        <v>201</v>
      </c>
      <c r="E11" s="100" t="s">
        <v>337</v>
      </c>
      <c r="F11" s="100" t="s">
        <v>222</v>
      </c>
      <c r="G11" s="100" t="s">
        <v>212</v>
      </c>
      <c r="H11" s="100" t="s">
        <v>395</v>
      </c>
      <c r="I11" s="100" t="s">
        <v>396</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448</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337</v>
      </c>
    </row>
    <row r="13" spans="1:18">
      <c r="A13" s="100" t="str">
        <f>VLOOKUP(C13,classifications!C:F,4,FALSE)</f>
        <v>L</v>
      </c>
      <c r="B13" s="100" t="s">
        <v>449</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339</v>
      </c>
      <c r="R13" s="100" t="s">
        <v>202</v>
      </c>
    </row>
    <row r="14" spans="1:18">
      <c r="A14" s="100" t="str">
        <f>VLOOKUP(C14,classifications!C:F,4,FALSE)</f>
        <v>L</v>
      </c>
      <c r="B14" s="100" t="s">
        <v>450</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451</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339</v>
      </c>
    </row>
    <row r="16" spans="1:18">
      <c r="A16" s="100" t="str">
        <f>VLOOKUP(C16,classifications!C:F,4,FALSE)</f>
        <v>L</v>
      </c>
      <c r="B16" s="100" t="s">
        <v>452</v>
      </c>
      <c r="C16" s="100" t="s">
        <v>222</v>
      </c>
      <c r="D16" s="100" t="s">
        <v>203</v>
      </c>
      <c r="E16" s="100" t="s">
        <v>213</v>
      </c>
      <c r="F16" s="100" t="s">
        <v>215</v>
      </c>
      <c r="G16" s="100" t="s">
        <v>201</v>
      </c>
      <c r="H16" s="100" t="s">
        <v>199</v>
      </c>
      <c r="I16" s="100" t="s">
        <v>211</v>
      </c>
      <c r="J16" s="100" t="s">
        <v>214</v>
      </c>
      <c r="K16" s="100" t="s">
        <v>337</v>
      </c>
      <c r="L16" s="100" t="s">
        <v>212</v>
      </c>
      <c r="M16" s="100" t="s">
        <v>218</v>
      </c>
      <c r="N16" s="100" t="s">
        <v>395</v>
      </c>
      <c r="O16" s="100" t="s">
        <v>205</v>
      </c>
      <c r="P16" s="100" t="s">
        <v>207</v>
      </c>
      <c r="Q16" s="100" t="s">
        <v>208</v>
      </c>
      <c r="R16" s="100" t="s">
        <v>202</v>
      </c>
    </row>
    <row r="17" spans="1:18">
      <c r="A17" s="100" t="str">
        <f>VLOOKUP(C17,classifications!C:F,4,FALSE)</f>
        <v>L</v>
      </c>
      <c r="B17" s="100" t="s">
        <v>453</v>
      </c>
      <c r="C17" s="100" t="s">
        <v>188</v>
      </c>
      <c r="D17" s="100" t="s">
        <v>201</v>
      </c>
      <c r="E17" s="100" t="s">
        <v>338</v>
      </c>
      <c r="F17" s="100" t="s">
        <v>212</v>
      </c>
      <c r="G17" s="100" t="s">
        <v>337</v>
      </c>
      <c r="H17" s="100" t="s">
        <v>222</v>
      </c>
      <c r="I17" s="100" t="s">
        <v>220</v>
      </c>
      <c r="J17" s="100" t="s">
        <v>218</v>
      </c>
      <c r="K17" s="100" t="s">
        <v>213</v>
      </c>
      <c r="L17" s="100" t="s">
        <v>203</v>
      </c>
      <c r="M17" s="100" t="s">
        <v>396</v>
      </c>
      <c r="N17" s="100" t="s">
        <v>199</v>
      </c>
      <c r="O17" s="100" t="s">
        <v>211</v>
      </c>
      <c r="P17" s="100" t="s">
        <v>215</v>
      </c>
      <c r="Q17" s="100" t="s">
        <v>395</v>
      </c>
      <c r="R17" s="100" t="s">
        <v>207</v>
      </c>
    </row>
    <row r="18" spans="1:18">
      <c r="A18" s="100" t="str">
        <f>VLOOKUP(C18,classifications!C:F,4,FALSE)</f>
        <v>L</v>
      </c>
      <c r="B18" s="100" t="s">
        <v>454</v>
      </c>
      <c r="C18" s="100" t="s">
        <v>339</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455</v>
      </c>
      <c r="C19" s="100" t="s">
        <v>197</v>
      </c>
      <c r="D19" s="100" t="s">
        <v>208</v>
      </c>
      <c r="E19" s="100" t="s">
        <v>202</v>
      </c>
      <c r="F19" s="100" t="s">
        <v>204</v>
      </c>
      <c r="G19" s="100" t="s">
        <v>217</v>
      </c>
      <c r="H19" s="100" t="s">
        <v>200</v>
      </c>
      <c r="I19" s="100" t="s">
        <v>203</v>
      </c>
      <c r="J19" s="100" t="s">
        <v>210</v>
      </c>
      <c r="K19" s="100" t="s">
        <v>396</v>
      </c>
      <c r="L19" s="100" t="s">
        <v>215</v>
      </c>
      <c r="M19" s="100" t="s">
        <v>198</v>
      </c>
      <c r="N19" s="100" t="s">
        <v>211</v>
      </c>
      <c r="O19" s="100" t="s">
        <v>219</v>
      </c>
      <c r="P19" s="100" t="s">
        <v>222</v>
      </c>
      <c r="Q19" s="100" t="s">
        <v>209</v>
      </c>
      <c r="R19" s="100" t="s">
        <v>199</v>
      </c>
    </row>
    <row r="20" spans="1:18">
      <c r="A20" s="100" t="str">
        <f>VLOOKUP(C20,classifications!C:F,4,FALSE)</f>
        <v>L</v>
      </c>
      <c r="B20" s="100" t="s">
        <v>456</v>
      </c>
      <c r="C20" s="100" t="s">
        <v>198</v>
      </c>
      <c r="D20" s="100" t="s">
        <v>219</v>
      </c>
      <c r="E20" s="100" t="s">
        <v>209</v>
      </c>
      <c r="F20" s="100" t="s">
        <v>217</v>
      </c>
      <c r="G20" s="100" t="s">
        <v>215</v>
      </c>
      <c r="H20" s="100" t="s">
        <v>204</v>
      </c>
      <c r="I20" s="100" t="s">
        <v>210</v>
      </c>
      <c r="J20" s="100" t="s">
        <v>208</v>
      </c>
      <c r="K20" s="100" t="s">
        <v>211</v>
      </c>
      <c r="L20" s="100" t="s">
        <v>202</v>
      </c>
      <c r="M20" s="100" t="s">
        <v>395</v>
      </c>
      <c r="N20" s="100" t="s">
        <v>200</v>
      </c>
      <c r="O20" s="100" t="s">
        <v>205</v>
      </c>
      <c r="P20" s="100" t="s">
        <v>221</v>
      </c>
      <c r="Q20" s="100" t="s">
        <v>197</v>
      </c>
      <c r="R20" s="100" t="s">
        <v>339</v>
      </c>
    </row>
    <row r="21" spans="1:18">
      <c r="A21" s="100" t="str">
        <f>VLOOKUP(C21,classifications!C:F,4,FALSE)</f>
        <v>L</v>
      </c>
      <c r="B21" s="100" t="s">
        <v>457</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458</v>
      </c>
      <c r="C22" s="100" t="s">
        <v>200</v>
      </c>
      <c r="D22" s="100" t="s">
        <v>209</v>
      </c>
      <c r="E22" s="100" t="s">
        <v>197</v>
      </c>
      <c r="F22" s="100" t="s">
        <v>210</v>
      </c>
      <c r="G22" s="100" t="s">
        <v>198</v>
      </c>
      <c r="H22" s="100" t="s">
        <v>204</v>
      </c>
      <c r="I22" s="100" t="s">
        <v>396</v>
      </c>
      <c r="J22" s="100" t="s">
        <v>202</v>
      </c>
      <c r="K22" s="100" t="s">
        <v>208</v>
      </c>
      <c r="L22" s="100" t="s">
        <v>219</v>
      </c>
      <c r="M22" s="100" t="s">
        <v>217</v>
      </c>
      <c r="N22" s="100" t="s">
        <v>215</v>
      </c>
      <c r="O22" s="100" t="s">
        <v>211</v>
      </c>
      <c r="P22" s="100" t="s">
        <v>203</v>
      </c>
      <c r="Q22" s="100" t="s">
        <v>395</v>
      </c>
      <c r="R22" s="100" t="s">
        <v>222</v>
      </c>
    </row>
    <row r="23" spans="1:18">
      <c r="A23" s="100" t="str">
        <f>VLOOKUP(C23,classifications!C:F,4,FALSE)</f>
        <v>L</v>
      </c>
      <c r="B23" s="100" t="s">
        <v>459</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460</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461</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462</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463</v>
      </c>
      <c r="C27" s="100" t="s">
        <v>208</v>
      </c>
      <c r="D27" s="100" t="s">
        <v>217</v>
      </c>
      <c r="E27" s="100" t="s">
        <v>215</v>
      </c>
      <c r="F27" s="100" t="s">
        <v>197</v>
      </c>
      <c r="G27" s="100" t="s">
        <v>204</v>
      </c>
      <c r="H27" s="100" t="s">
        <v>219</v>
      </c>
      <c r="I27" s="100" t="s">
        <v>211</v>
      </c>
      <c r="J27" s="100" t="s">
        <v>203</v>
      </c>
      <c r="K27" s="100" t="s">
        <v>198</v>
      </c>
      <c r="L27" s="100" t="s">
        <v>396</v>
      </c>
      <c r="M27" s="100" t="s">
        <v>202</v>
      </c>
      <c r="N27" s="100" t="s">
        <v>210</v>
      </c>
      <c r="O27" s="100" t="s">
        <v>395</v>
      </c>
      <c r="P27" s="100" t="s">
        <v>221</v>
      </c>
      <c r="Q27" s="100" t="s">
        <v>199</v>
      </c>
      <c r="R27" s="100" t="s">
        <v>209</v>
      </c>
    </row>
    <row r="28" spans="1:18">
      <c r="A28" s="100" t="str">
        <f>VLOOKUP(C28,classifications!C:F,4,FALSE)</f>
        <v>L</v>
      </c>
      <c r="B28" s="100" t="s">
        <v>464</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396</v>
      </c>
      <c r="P28" s="100" t="s">
        <v>221</v>
      </c>
      <c r="Q28" s="100" t="s">
        <v>395</v>
      </c>
      <c r="R28" s="100" t="s">
        <v>205</v>
      </c>
    </row>
    <row r="29" spans="1:18">
      <c r="A29" s="100" t="str">
        <f>VLOOKUP(C29,classifications!C:F,4,FALSE)</f>
        <v>L</v>
      </c>
      <c r="B29" s="100" t="s">
        <v>465</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396</v>
      </c>
      <c r="R29" s="100" t="s">
        <v>205</v>
      </c>
    </row>
    <row r="30" spans="1:18">
      <c r="A30" s="100" t="str">
        <f>VLOOKUP(C30,classifications!C:F,4,FALSE)</f>
        <v>L</v>
      </c>
      <c r="B30" s="100" t="s">
        <v>466</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395</v>
      </c>
    </row>
    <row r="31" spans="1:18">
      <c r="A31" s="100" t="str">
        <f>VLOOKUP(C31,classifications!C:F,4,FALSE)</f>
        <v>L</v>
      </c>
      <c r="B31" s="100" t="s">
        <v>467</v>
      </c>
      <c r="C31" s="102" t="s">
        <v>395</v>
      </c>
      <c r="D31" s="100" t="s">
        <v>215</v>
      </c>
      <c r="E31" s="100" t="s">
        <v>219</v>
      </c>
      <c r="F31" s="100" t="s">
        <v>396</v>
      </c>
      <c r="G31" s="100" t="s">
        <v>198</v>
      </c>
      <c r="H31" s="100" t="s">
        <v>208</v>
      </c>
      <c r="I31" s="100" t="s">
        <v>211</v>
      </c>
      <c r="J31" s="100" t="s">
        <v>217</v>
      </c>
      <c r="K31" s="100" t="s">
        <v>222</v>
      </c>
      <c r="L31" s="100" t="s">
        <v>204</v>
      </c>
      <c r="M31" s="100" t="s">
        <v>205</v>
      </c>
      <c r="N31" s="100" t="s">
        <v>210</v>
      </c>
      <c r="O31" s="100" t="s">
        <v>197</v>
      </c>
      <c r="P31" s="100" t="s">
        <v>203</v>
      </c>
      <c r="Q31" s="100" t="s">
        <v>209</v>
      </c>
      <c r="R31" s="100" t="s">
        <v>337</v>
      </c>
    </row>
    <row r="32" spans="1:18">
      <c r="A32" s="100" t="str">
        <f>VLOOKUP(C32,classifications!C:F,4,FALSE)</f>
        <v>L</v>
      </c>
      <c r="B32" s="100" t="s">
        <v>468</v>
      </c>
      <c r="C32" s="100" t="s">
        <v>215</v>
      </c>
      <c r="D32" s="100" t="s">
        <v>219</v>
      </c>
      <c r="E32" s="100" t="s">
        <v>395</v>
      </c>
      <c r="F32" s="100" t="s">
        <v>211</v>
      </c>
      <c r="G32" s="100" t="s">
        <v>217</v>
      </c>
      <c r="H32" s="100" t="s">
        <v>208</v>
      </c>
      <c r="I32" s="100" t="s">
        <v>198</v>
      </c>
      <c r="J32" s="100" t="s">
        <v>203</v>
      </c>
      <c r="K32" s="100" t="s">
        <v>204</v>
      </c>
      <c r="L32" s="100" t="s">
        <v>222</v>
      </c>
      <c r="M32" s="100" t="s">
        <v>205</v>
      </c>
      <c r="N32" s="100" t="s">
        <v>199</v>
      </c>
      <c r="O32" s="100" t="s">
        <v>221</v>
      </c>
      <c r="P32" s="100" t="s">
        <v>202</v>
      </c>
      <c r="Q32" s="100" t="s">
        <v>396</v>
      </c>
      <c r="R32" s="100" t="s">
        <v>214</v>
      </c>
    </row>
    <row r="33" spans="1:18">
      <c r="A33" s="100" t="str">
        <f>VLOOKUP(C33,classifications!C:F,4,FALSE)</f>
        <v>L</v>
      </c>
      <c r="B33" s="100" t="s">
        <v>469</v>
      </c>
      <c r="C33" s="100" t="s">
        <v>216</v>
      </c>
      <c r="D33" s="100" t="s">
        <v>206</v>
      </c>
      <c r="E33" s="100" t="s">
        <v>207</v>
      </c>
      <c r="F33" s="100" t="s">
        <v>214</v>
      </c>
      <c r="G33" s="100" t="s">
        <v>199</v>
      </c>
      <c r="H33" s="100" t="s">
        <v>220</v>
      </c>
      <c r="I33" s="100" t="s">
        <v>218</v>
      </c>
      <c r="J33" s="100" t="s">
        <v>339</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470</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395</v>
      </c>
    </row>
    <row r="35" spans="1:18">
      <c r="A35" s="100" t="str">
        <f>VLOOKUP(C35,classifications!C:F,4,FALSE)</f>
        <v>L</v>
      </c>
      <c r="B35" s="100" t="s">
        <v>471</v>
      </c>
      <c r="C35" s="102" t="s">
        <v>396</v>
      </c>
      <c r="D35" s="100" t="s">
        <v>395</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472</v>
      </c>
      <c r="C36" s="100" t="s">
        <v>219</v>
      </c>
      <c r="D36" s="100" t="s">
        <v>198</v>
      </c>
      <c r="E36" s="100" t="s">
        <v>215</v>
      </c>
      <c r="F36" s="100" t="s">
        <v>208</v>
      </c>
      <c r="G36" s="100" t="s">
        <v>395</v>
      </c>
      <c r="H36" s="100" t="s">
        <v>217</v>
      </c>
      <c r="I36" s="100" t="s">
        <v>211</v>
      </c>
      <c r="J36" s="100" t="s">
        <v>204</v>
      </c>
      <c r="K36" s="100" t="s">
        <v>209</v>
      </c>
      <c r="L36" s="100" t="s">
        <v>396</v>
      </c>
      <c r="M36" s="100" t="s">
        <v>210</v>
      </c>
      <c r="N36" s="100" t="s">
        <v>205</v>
      </c>
      <c r="O36" s="100" t="s">
        <v>202</v>
      </c>
      <c r="P36" s="100" t="s">
        <v>203</v>
      </c>
      <c r="Q36" s="100" t="s">
        <v>197</v>
      </c>
      <c r="R36" s="100" t="s">
        <v>200</v>
      </c>
    </row>
    <row r="37" spans="1:18">
      <c r="A37" s="100" t="str">
        <f>VLOOKUP(C37,classifications!C:F,4,FALSE)</f>
        <v>L</v>
      </c>
      <c r="B37" s="100" t="s">
        <v>473</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339</v>
      </c>
    </row>
    <row r="39" spans="1:18">
      <c r="B39" s="99" t="s">
        <v>416</v>
      </c>
    </row>
    <row r="40" spans="1:18">
      <c r="A40" s="100" t="str">
        <f>VLOOKUP(C40,classifications!C:F,4,FALSE)</f>
        <v>MD</v>
      </c>
      <c r="B40" s="100" t="s">
        <v>474</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475</v>
      </c>
      <c r="C41" s="100" t="s">
        <v>227</v>
      </c>
      <c r="D41" s="100" t="s">
        <v>274</v>
      </c>
      <c r="E41" s="100" t="s">
        <v>291</v>
      </c>
      <c r="F41" s="100" t="s">
        <v>228</v>
      </c>
      <c r="G41" s="100" t="s">
        <v>252</v>
      </c>
      <c r="H41" s="100" t="s">
        <v>225</v>
      </c>
      <c r="I41" s="100" t="s">
        <v>249</v>
      </c>
      <c r="J41" s="100" t="s">
        <v>256</v>
      </c>
      <c r="K41" s="100" t="s">
        <v>265</v>
      </c>
      <c r="L41" s="100" t="s">
        <v>818</v>
      </c>
      <c r="M41" s="100" t="s">
        <v>250</v>
      </c>
      <c r="N41" s="100" t="s">
        <v>242</v>
      </c>
      <c r="O41" s="100" t="s">
        <v>296</v>
      </c>
      <c r="P41" s="100" t="s">
        <v>233</v>
      </c>
      <c r="Q41" s="100" t="s">
        <v>241</v>
      </c>
      <c r="R41" s="100" t="s">
        <v>231</v>
      </c>
    </row>
    <row r="42" spans="1:18">
      <c r="A42" s="100" t="str">
        <f>VLOOKUP(C42,classifications!C:F,4,FALSE)</f>
        <v>MD</v>
      </c>
      <c r="B42" s="100" t="s">
        <v>476</v>
      </c>
      <c r="C42" s="100" t="s">
        <v>237</v>
      </c>
      <c r="D42" s="100" t="s">
        <v>280</v>
      </c>
      <c r="E42" s="100" t="s">
        <v>238</v>
      </c>
      <c r="F42" s="100" t="s">
        <v>236</v>
      </c>
      <c r="G42" s="100" t="s">
        <v>272</v>
      </c>
      <c r="H42" s="100" t="s">
        <v>235</v>
      </c>
      <c r="I42" s="100" t="s">
        <v>243</v>
      </c>
      <c r="J42" s="100" t="s">
        <v>820</v>
      </c>
      <c r="K42" s="100" t="s">
        <v>246</v>
      </c>
      <c r="L42" s="100" t="s">
        <v>822</v>
      </c>
      <c r="M42" s="100" t="s">
        <v>224</v>
      </c>
      <c r="N42" s="100" t="s">
        <v>281</v>
      </c>
      <c r="O42" s="100" t="s">
        <v>289</v>
      </c>
      <c r="P42" s="100" t="s">
        <v>285</v>
      </c>
      <c r="Q42" s="100" t="s">
        <v>229</v>
      </c>
      <c r="R42" s="100" t="s">
        <v>258</v>
      </c>
    </row>
    <row r="43" spans="1:18">
      <c r="A43" s="100" t="str">
        <f>VLOOKUP(C43,classifications!C:F,4,FALSE)</f>
        <v>MD</v>
      </c>
      <c r="B43" s="100" t="s">
        <v>477</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818</v>
      </c>
      <c r="Q43" s="100" t="s">
        <v>244</v>
      </c>
      <c r="R43" s="100" t="s">
        <v>227</v>
      </c>
    </row>
    <row r="44" spans="1:18">
      <c r="A44" s="100" t="str">
        <f>VLOOKUP(C44,classifications!C:F,4,FALSE)</f>
        <v>MD</v>
      </c>
      <c r="B44" s="100" t="s">
        <v>478</v>
      </c>
      <c r="C44" s="100" t="s">
        <v>241</v>
      </c>
      <c r="D44" s="100" t="s">
        <v>240</v>
      </c>
      <c r="E44" s="100" t="s">
        <v>225</v>
      </c>
      <c r="F44" s="100" t="s">
        <v>252</v>
      </c>
      <c r="G44" s="100" t="s">
        <v>291</v>
      </c>
      <c r="H44" s="100" t="s">
        <v>269</v>
      </c>
      <c r="I44" s="100" t="s">
        <v>242</v>
      </c>
      <c r="J44" s="100" t="s">
        <v>255</v>
      </c>
      <c r="K44" s="100" t="s">
        <v>249</v>
      </c>
      <c r="L44" s="100" t="s">
        <v>256</v>
      </c>
      <c r="M44" s="100" t="s">
        <v>223</v>
      </c>
      <c r="N44" s="100" t="s">
        <v>818</v>
      </c>
      <c r="O44" s="100" t="s">
        <v>244</v>
      </c>
      <c r="P44" s="100" t="s">
        <v>292</v>
      </c>
      <c r="Q44" s="100" t="s">
        <v>254</v>
      </c>
      <c r="R44" s="100" t="s">
        <v>230</v>
      </c>
    </row>
    <row r="45" spans="1:18">
      <c r="A45" s="100" t="str">
        <f>VLOOKUP(C45,classifications!C:F,4,FALSE)</f>
        <v>MD</v>
      </c>
      <c r="B45" s="100" t="s">
        <v>479</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822</v>
      </c>
      <c r="R45" s="100" t="s">
        <v>291</v>
      </c>
    </row>
    <row r="46" spans="1:18">
      <c r="A46" s="100" t="str">
        <f>VLOOKUP(C46,classifications!C:F,4,FALSE)</f>
        <v>MD</v>
      </c>
      <c r="B46" s="100" t="s">
        <v>480</v>
      </c>
      <c r="C46" s="100" t="s">
        <v>250</v>
      </c>
      <c r="D46" s="100" t="s">
        <v>817</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481</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482</v>
      </c>
      <c r="C48" s="100" t="s">
        <v>253</v>
      </c>
      <c r="D48" s="100" t="s">
        <v>250</v>
      </c>
      <c r="E48" s="100" t="s">
        <v>296</v>
      </c>
      <c r="F48" s="100" t="s">
        <v>293</v>
      </c>
      <c r="G48" s="100" t="s">
        <v>300</v>
      </c>
      <c r="H48" s="100" t="s">
        <v>247</v>
      </c>
      <c r="I48" s="100" t="s">
        <v>817</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483</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818</v>
      </c>
      <c r="P49" s="100" t="s">
        <v>241</v>
      </c>
      <c r="Q49" s="100" t="s">
        <v>274</v>
      </c>
      <c r="R49" s="100" t="s">
        <v>292</v>
      </c>
    </row>
    <row r="50" spans="1:18">
      <c r="A50" s="100" t="str">
        <f>VLOOKUP(C50,classifications!C:F,4,FALSE)</f>
        <v>MD</v>
      </c>
      <c r="B50" s="100" t="s">
        <v>484</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822</v>
      </c>
      <c r="P50" s="100" t="s">
        <v>223</v>
      </c>
      <c r="Q50" s="100" t="s">
        <v>225</v>
      </c>
      <c r="R50" s="100" t="s">
        <v>292</v>
      </c>
    </row>
    <row r="51" spans="1:18">
      <c r="A51" s="100" t="str">
        <f>VLOOKUP(C51,classifications!C:F,4,FALSE)</f>
        <v>MD</v>
      </c>
      <c r="B51" s="100" t="s">
        <v>485</v>
      </c>
      <c r="C51" s="100" t="s">
        <v>236</v>
      </c>
      <c r="D51" s="100" t="s">
        <v>822</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820</v>
      </c>
      <c r="R51" s="100" t="s">
        <v>225</v>
      </c>
    </row>
    <row r="52" spans="1:18">
      <c r="A52" s="100" t="str">
        <f>VLOOKUP(C52,classifications!C:F,4,FALSE)</f>
        <v>MD</v>
      </c>
      <c r="B52" s="100" t="s">
        <v>486</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818</v>
      </c>
    </row>
    <row r="53" spans="1:18">
      <c r="A53" s="100" t="str">
        <f>VLOOKUP(C53,classifications!C:F,4,FALSE)</f>
        <v>MD</v>
      </c>
      <c r="B53" s="100" t="s">
        <v>487</v>
      </c>
      <c r="C53" s="100" t="s">
        <v>245</v>
      </c>
      <c r="D53" s="100" t="s">
        <v>257</v>
      </c>
      <c r="E53" s="100" t="s">
        <v>239</v>
      </c>
      <c r="F53" s="100" t="s">
        <v>812</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488</v>
      </c>
      <c r="C54" s="100" t="s">
        <v>257</v>
      </c>
      <c r="D54" s="100" t="s">
        <v>245</v>
      </c>
      <c r="E54" s="100" t="s">
        <v>239</v>
      </c>
      <c r="F54" s="100" t="s">
        <v>812</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489</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490</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491</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818</v>
      </c>
      <c r="R57" s="100" t="s">
        <v>232</v>
      </c>
    </row>
    <row r="58" spans="1:18">
      <c r="A58" s="100" t="str">
        <f>VLOOKUP(C58,classifications!C:F,4,FALSE)</f>
        <v>MD</v>
      </c>
      <c r="B58" s="100" t="s">
        <v>492</v>
      </c>
      <c r="C58" s="100" t="s">
        <v>246</v>
      </c>
      <c r="D58" s="100" t="s">
        <v>229</v>
      </c>
      <c r="E58" s="100" t="s">
        <v>235</v>
      </c>
      <c r="F58" s="100" t="s">
        <v>254</v>
      </c>
      <c r="G58" s="100" t="s">
        <v>231</v>
      </c>
      <c r="H58" s="100" t="s">
        <v>266</v>
      </c>
      <c r="I58" s="100" t="s">
        <v>243</v>
      </c>
      <c r="J58" s="100" t="s">
        <v>232</v>
      </c>
      <c r="K58" s="100" t="s">
        <v>820</v>
      </c>
      <c r="L58" s="100" t="s">
        <v>233</v>
      </c>
      <c r="M58" s="100" t="s">
        <v>292</v>
      </c>
      <c r="N58" s="100" t="s">
        <v>225</v>
      </c>
      <c r="O58" s="100" t="s">
        <v>282</v>
      </c>
      <c r="P58" s="100" t="s">
        <v>242</v>
      </c>
      <c r="Q58" s="100" t="s">
        <v>258</v>
      </c>
      <c r="R58" s="100" t="s">
        <v>251</v>
      </c>
    </row>
    <row r="59" spans="1:18">
      <c r="A59" s="100" t="str">
        <f>VLOOKUP(C59,classifications!C:F,4,FALSE)</f>
        <v>MD</v>
      </c>
      <c r="B59" s="100" t="s">
        <v>493</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494</v>
      </c>
      <c r="C60" s="102" t="s">
        <v>238</v>
      </c>
      <c r="D60" s="100" t="s">
        <v>280</v>
      </c>
      <c r="E60" s="100" t="s">
        <v>243</v>
      </c>
      <c r="F60" s="100" t="s">
        <v>236</v>
      </c>
      <c r="G60" s="100" t="s">
        <v>820</v>
      </c>
      <c r="H60" s="100" t="s">
        <v>246</v>
      </c>
      <c r="I60" s="100" t="s">
        <v>232</v>
      </c>
      <c r="J60" s="100" t="s">
        <v>266</v>
      </c>
      <c r="K60" s="100" t="s">
        <v>229</v>
      </c>
      <c r="L60" s="100" t="s">
        <v>289</v>
      </c>
      <c r="M60" s="100" t="s">
        <v>281</v>
      </c>
      <c r="N60" s="100" t="s">
        <v>822</v>
      </c>
      <c r="O60" s="100" t="s">
        <v>258</v>
      </c>
      <c r="P60" s="100" t="s">
        <v>292</v>
      </c>
      <c r="Q60" s="100" t="s">
        <v>275</v>
      </c>
      <c r="R60" s="100" t="s">
        <v>237</v>
      </c>
    </row>
    <row r="61" spans="1:18">
      <c r="A61" s="100" t="str">
        <f>VLOOKUP(C61,classifications!C:F,4,FALSE)</f>
        <v>MD</v>
      </c>
      <c r="B61" s="100" t="s">
        <v>495</v>
      </c>
      <c r="C61" s="100" t="s">
        <v>239</v>
      </c>
      <c r="D61" s="100" t="s">
        <v>812</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496</v>
      </c>
      <c r="C62" s="100" t="s">
        <v>248</v>
      </c>
      <c r="D62" s="100" t="s">
        <v>251</v>
      </c>
      <c r="E62" s="100" t="s">
        <v>270</v>
      </c>
      <c r="F62" s="100" t="s">
        <v>812</v>
      </c>
      <c r="G62" s="100" t="s">
        <v>239</v>
      </c>
      <c r="H62" s="100" t="s">
        <v>232</v>
      </c>
      <c r="I62" s="100" t="s">
        <v>234</v>
      </c>
      <c r="J62" s="100" t="s">
        <v>244</v>
      </c>
      <c r="K62" s="100" t="s">
        <v>275</v>
      </c>
      <c r="L62" s="100" t="s">
        <v>258</v>
      </c>
      <c r="M62" s="100" t="s">
        <v>822</v>
      </c>
      <c r="N62" s="100" t="s">
        <v>292</v>
      </c>
      <c r="O62" s="100" t="s">
        <v>255</v>
      </c>
      <c r="P62" s="100" t="s">
        <v>282</v>
      </c>
      <c r="Q62" s="100" t="s">
        <v>277</v>
      </c>
      <c r="R62" s="100" t="s">
        <v>243</v>
      </c>
    </row>
    <row r="63" spans="1:18">
      <c r="A63" s="100" t="str">
        <f>VLOOKUP(C63,classifications!C:F,4,FALSE)</f>
        <v>MD</v>
      </c>
      <c r="B63" s="100" t="s">
        <v>497</v>
      </c>
      <c r="C63" s="100" t="s">
        <v>251</v>
      </c>
      <c r="D63" s="100" t="s">
        <v>232</v>
      </c>
      <c r="E63" s="100" t="s">
        <v>248</v>
      </c>
      <c r="F63" s="100" t="s">
        <v>812</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498</v>
      </c>
      <c r="C64" s="100" t="s">
        <v>224</v>
      </c>
      <c r="D64" s="100" t="s">
        <v>235</v>
      </c>
      <c r="E64" s="100" t="s">
        <v>226</v>
      </c>
      <c r="F64" s="100" t="s">
        <v>246</v>
      </c>
      <c r="G64" s="100" t="s">
        <v>236</v>
      </c>
      <c r="H64" s="100" t="s">
        <v>272</v>
      </c>
      <c r="I64" s="100" t="s">
        <v>229</v>
      </c>
      <c r="J64" s="100" t="s">
        <v>244</v>
      </c>
      <c r="K64" s="100" t="s">
        <v>820</v>
      </c>
      <c r="L64" s="100" t="s">
        <v>233</v>
      </c>
      <c r="M64" s="100" t="s">
        <v>237</v>
      </c>
      <c r="N64" s="100" t="s">
        <v>258</v>
      </c>
      <c r="O64" s="100" t="s">
        <v>280</v>
      </c>
      <c r="P64" s="100" t="s">
        <v>231</v>
      </c>
      <c r="Q64" s="100" t="s">
        <v>822</v>
      </c>
      <c r="R64" s="100" t="s">
        <v>266</v>
      </c>
    </row>
    <row r="65" spans="1:18">
      <c r="A65" s="100" t="str">
        <f>VLOOKUP(C65,classifications!C:F,4,FALSE)</f>
        <v>MD</v>
      </c>
      <c r="B65" s="100" t="s">
        <v>499</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500</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501</v>
      </c>
      <c r="C67" s="100" t="s">
        <v>244</v>
      </c>
      <c r="D67" s="100" t="s">
        <v>258</v>
      </c>
      <c r="E67" s="100" t="s">
        <v>255</v>
      </c>
      <c r="F67" s="100" t="s">
        <v>275</v>
      </c>
      <c r="G67" s="100" t="s">
        <v>292</v>
      </c>
      <c r="H67" s="100" t="s">
        <v>822</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502</v>
      </c>
      <c r="C68" s="100" t="s">
        <v>247</v>
      </c>
      <c r="D68" s="100" t="s">
        <v>250</v>
      </c>
      <c r="E68" s="100" t="s">
        <v>305</v>
      </c>
      <c r="F68" s="100" t="s">
        <v>817</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503</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504</v>
      </c>
      <c r="C70" s="100" t="s">
        <v>258</v>
      </c>
      <c r="D70" s="100" t="s">
        <v>244</v>
      </c>
      <c r="E70" s="100" t="s">
        <v>255</v>
      </c>
      <c r="F70" s="100" t="s">
        <v>229</v>
      </c>
      <c r="G70" s="100" t="s">
        <v>266</v>
      </c>
      <c r="H70" s="100" t="s">
        <v>275</v>
      </c>
      <c r="I70" s="100" t="s">
        <v>292</v>
      </c>
      <c r="J70" s="100" t="s">
        <v>232</v>
      </c>
      <c r="K70" s="100" t="s">
        <v>241</v>
      </c>
      <c r="L70" s="100" t="s">
        <v>231</v>
      </c>
      <c r="M70" s="100" t="s">
        <v>225</v>
      </c>
      <c r="N70" s="100" t="s">
        <v>822</v>
      </c>
      <c r="O70" s="100" t="s">
        <v>243</v>
      </c>
      <c r="P70" s="100" t="s">
        <v>240</v>
      </c>
      <c r="Q70" s="100" t="s">
        <v>281</v>
      </c>
      <c r="R70" s="100" t="s">
        <v>242</v>
      </c>
    </row>
    <row r="71" spans="1:18">
      <c r="A71" s="100" t="str">
        <f>VLOOKUP(C71,classifications!C:F,4,FALSE)</f>
        <v>MD</v>
      </c>
      <c r="B71" s="100" t="s">
        <v>505</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506</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818</v>
      </c>
      <c r="P72" s="100" t="s">
        <v>249</v>
      </c>
      <c r="Q72" s="100" t="s">
        <v>241</v>
      </c>
      <c r="R72" s="100" t="s">
        <v>242</v>
      </c>
    </row>
    <row r="73" spans="1:18">
      <c r="A73" s="100" t="str">
        <f>VLOOKUP(C73,classifications!C:F,4,FALSE)</f>
        <v>MD</v>
      </c>
      <c r="B73" s="100" t="s">
        <v>507</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818</v>
      </c>
    </row>
    <row r="74" spans="1:18">
      <c r="A74" s="100" t="str">
        <f>VLOOKUP(C74,classifications!C:F,4,FALSE)</f>
        <v>MD</v>
      </c>
      <c r="B74" s="100" t="s">
        <v>508</v>
      </c>
      <c r="C74" s="100" t="s">
        <v>235</v>
      </c>
      <c r="D74" s="100" t="s">
        <v>246</v>
      </c>
      <c r="E74" s="100" t="s">
        <v>820</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509</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818</v>
      </c>
      <c r="R75" s="100" t="s">
        <v>241</v>
      </c>
    </row>
    <row r="77" spans="1:18">
      <c r="B77" s="99" t="s">
        <v>510</v>
      </c>
    </row>
    <row r="78" spans="1:18">
      <c r="A78" s="100" t="str">
        <f>VLOOKUP(C78,classifications!C:F,4,FALSE)</f>
        <v>UA</v>
      </c>
      <c r="B78" s="100" t="s">
        <v>511</v>
      </c>
      <c r="C78" s="102" t="s">
        <v>259</v>
      </c>
      <c r="D78" s="100" t="s">
        <v>300</v>
      </c>
      <c r="E78" s="100" t="s">
        <v>305</v>
      </c>
      <c r="F78" s="100" t="s">
        <v>247</v>
      </c>
      <c r="G78" s="100" t="s">
        <v>250</v>
      </c>
      <c r="H78" s="100" t="s">
        <v>817</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512</v>
      </c>
      <c r="C79" s="102" t="s">
        <v>260</v>
      </c>
      <c r="D79" s="100" t="s">
        <v>304</v>
      </c>
      <c r="E79" s="100" t="s">
        <v>293</v>
      </c>
      <c r="F79" s="100" t="s">
        <v>228</v>
      </c>
      <c r="G79" s="100" t="s">
        <v>250</v>
      </c>
      <c r="H79" s="100" t="s">
        <v>259</v>
      </c>
      <c r="I79" s="100" t="s">
        <v>247</v>
      </c>
      <c r="J79" s="100" t="s">
        <v>817</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513</v>
      </c>
      <c r="C80" s="102" t="s">
        <v>261</v>
      </c>
      <c r="D80" s="100" t="s">
        <v>240</v>
      </c>
      <c r="E80" s="100" t="s">
        <v>241</v>
      </c>
      <c r="F80" s="100" t="s">
        <v>273</v>
      </c>
      <c r="G80" s="100" t="s">
        <v>225</v>
      </c>
      <c r="H80" s="100" t="s">
        <v>226</v>
      </c>
      <c r="I80" s="100" t="s">
        <v>275</v>
      </c>
      <c r="J80" s="100" t="s">
        <v>818</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514</v>
      </c>
      <c r="C81" s="102" t="s">
        <v>262</v>
      </c>
      <c r="D81" s="100" t="s">
        <v>245</v>
      </c>
      <c r="E81" s="100" t="s">
        <v>282</v>
      </c>
      <c r="F81" s="100" t="s">
        <v>239</v>
      </c>
      <c r="G81" s="100" t="s">
        <v>290</v>
      </c>
      <c r="H81" s="100" t="s">
        <v>257</v>
      </c>
      <c r="I81" s="100" t="s">
        <v>812</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515</v>
      </c>
      <c r="C82" s="102" t="s">
        <v>263</v>
      </c>
      <c r="D82" s="100" t="s">
        <v>295</v>
      </c>
      <c r="E82" s="100" t="s">
        <v>290</v>
      </c>
      <c r="F82" s="100" t="s">
        <v>283</v>
      </c>
      <c r="G82" s="100" t="s">
        <v>271</v>
      </c>
      <c r="H82" s="100" t="s">
        <v>279</v>
      </c>
      <c r="I82" s="100" t="s">
        <v>259</v>
      </c>
      <c r="J82" s="100" t="s">
        <v>816</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516</v>
      </c>
      <c r="C83" s="102" t="s">
        <v>264</v>
      </c>
      <c r="D83" s="100" t="s">
        <v>297</v>
      </c>
      <c r="E83" s="100" t="s">
        <v>276</v>
      </c>
      <c r="F83" s="100" t="s">
        <v>260</v>
      </c>
      <c r="G83" s="100" t="s">
        <v>304</v>
      </c>
      <c r="H83" s="100" t="s">
        <v>299</v>
      </c>
      <c r="I83" s="100" t="s">
        <v>285</v>
      </c>
      <c r="J83" s="100" t="s">
        <v>819</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517</v>
      </c>
      <c r="C84" s="102" t="s">
        <v>816</v>
      </c>
      <c r="D84" s="100" t="s">
        <v>289</v>
      </c>
      <c r="E84" s="100" t="s">
        <v>284</v>
      </c>
      <c r="F84" s="100" t="s">
        <v>290</v>
      </c>
      <c r="G84" s="100" t="s">
        <v>263</v>
      </c>
      <c r="H84" s="100" t="s">
        <v>820</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518</v>
      </c>
      <c r="C85" s="102" t="s">
        <v>820</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519</v>
      </c>
      <c r="C86" s="102" t="s">
        <v>304</v>
      </c>
      <c r="D86" s="100" t="s">
        <v>817</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520</v>
      </c>
      <c r="C87" s="102" t="s">
        <v>306</v>
      </c>
      <c r="D87" s="100" t="s">
        <v>268</v>
      </c>
      <c r="E87" s="100" t="s">
        <v>323</v>
      </c>
      <c r="F87" s="100" t="s">
        <v>326</v>
      </c>
      <c r="G87" s="100" t="s">
        <v>271</v>
      </c>
      <c r="H87" s="100" t="s">
        <v>279</v>
      </c>
      <c r="I87" s="100" t="s">
        <v>298</v>
      </c>
      <c r="J87" s="100" t="s">
        <v>821</v>
      </c>
      <c r="K87" s="100" t="s">
        <v>817</v>
      </c>
      <c r="L87" s="100" t="s">
        <v>305</v>
      </c>
      <c r="M87" s="100" t="s">
        <v>257</v>
      </c>
      <c r="N87" s="100" t="s">
        <v>283</v>
      </c>
      <c r="O87" s="100" t="s">
        <v>245</v>
      </c>
      <c r="P87" s="100" t="s">
        <v>259</v>
      </c>
      <c r="Q87" s="100" t="s">
        <v>278</v>
      </c>
      <c r="R87" s="100" t="s">
        <v>300</v>
      </c>
    </row>
    <row r="88" spans="1:18">
      <c r="A88" s="100" t="str">
        <f>VLOOKUP(C88,classifications!C:F,4,FALSE)</f>
        <v>UA</v>
      </c>
      <c r="B88" s="100" t="s">
        <v>521</v>
      </c>
      <c r="C88" s="102" t="s">
        <v>265</v>
      </c>
      <c r="D88" s="100" t="s">
        <v>228</v>
      </c>
      <c r="E88" s="100" t="s">
        <v>249</v>
      </c>
      <c r="F88" s="100" t="s">
        <v>291</v>
      </c>
      <c r="G88" s="100" t="s">
        <v>231</v>
      </c>
      <c r="H88" s="100" t="s">
        <v>266</v>
      </c>
      <c r="I88" s="100" t="s">
        <v>227</v>
      </c>
      <c r="J88" s="100" t="s">
        <v>278</v>
      </c>
      <c r="K88" s="100" t="s">
        <v>242</v>
      </c>
      <c r="L88" s="100" t="s">
        <v>252</v>
      </c>
      <c r="M88" s="100" t="s">
        <v>230</v>
      </c>
      <c r="N88" s="100" t="s">
        <v>812</v>
      </c>
      <c r="O88" s="100" t="s">
        <v>225</v>
      </c>
      <c r="P88" s="100" t="s">
        <v>223</v>
      </c>
      <c r="Q88" s="100" t="s">
        <v>292</v>
      </c>
      <c r="R88" s="100" t="s">
        <v>255</v>
      </c>
    </row>
    <row r="89" spans="1:18">
      <c r="A89" s="100" t="str">
        <f>VLOOKUP(C89,classifications!C:F,4,FALSE)</f>
        <v>UA</v>
      </c>
      <c r="B89" s="100" t="s">
        <v>522</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523</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523</v>
      </c>
      <c r="C91" s="31" t="s">
        <v>811</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524</v>
      </c>
      <c r="C92" s="102" t="s">
        <v>305</v>
      </c>
      <c r="D92" s="100" t="s">
        <v>817</v>
      </c>
      <c r="E92" s="100" t="s">
        <v>298</v>
      </c>
      <c r="F92" s="100" t="s">
        <v>247</v>
      </c>
      <c r="G92" s="100" t="s">
        <v>259</v>
      </c>
      <c r="H92" s="100" t="s">
        <v>250</v>
      </c>
      <c r="I92" s="100" t="s">
        <v>304</v>
      </c>
      <c r="J92" s="100" t="s">
        <v>326</v>
      </c>
      <c r="K92" s="100" t="s">
        <v>279</v>
      </c>
      <c r="L92" s="100" t="s">
        <v>300</v>
      </c>
      <c r="M92" s="100" t="s">
        <v>253</v>
      </c>
      <c r="N92" s="100" t="s">
        <v>296</v>
      </c>
      <c r="O92" s="100" t="s">
        <v>268</v>
      </c>
      <c r="P92" s="100" t="s">
        <v>821</v>
      </c>
      <c r="Q92" s="100" t="s">
        <v>288</v>
      </c>
      <c r="R92" s="100" t="s">
        <v>260</v>
      </c>
    </row>
    <row r="93" spans="1:18">
      <c r="A93" s="100" t="str">
        <f>VLOOKUP(C93,classifications!C:F,4,FALSE)</f>
        <v>UA</v>
      </c>
      <c r="B93" s="100" t="s">
        <v>525</v>
      </c>
      <c r="C93" s="102" t="s">
        <v>268</v>
      </c>
      <c r="D93" s="100" t="s">
        <v>323</v>
      </c>
      <c r="E93" s="100" t="s">
        <v>306</v>
      </c>
      <c r="F93" s="100" t="s">
        <v>326</v>
      </c>
      <c r="G93" s="100" t="s">
        <v>279</v>
      </c>
      <c r="H93" s="100" t="s">
        <v>817</v>
      </c>
      <c r="I93" s="100" t="s">
        <v>288</v>
      </c>
      <c r="J93" s="100" t="s">
        <v>271</v>
      </c>
      <c r="K93" s="100" t="s">
        <v>298</v>
      </c>
      <c r="L93" s="100" t="s">
        <v>821</v>
      </c>
      <c r="M93" s="100" t="s">
        <v>305</v>
      </c>
      <c r="N93" s="100" t="s">
        <v>278</v>
      </c>
      <c r="O93" s="100" t="s">
        <v>257</v>
      </c>
      <c r="P93" s="100" t="s">
        <v>300</v>
      </c>
      <c r="Q93" s="100" t="s">
        <v>245</v>
      </c>
      <c r="R93" s="100" t="s">
        <v>250</v>
      </c>
    </row>
    <row r="94" spans="1:18">
      <c r="A94" s="100" t="str">
        <f>VLOOKUP(C94,classifications!C:F,4,FALSE)</f>
        <v>UA</v>
      </c>
      <c r="B94" s="100" t="s">
        <v>526</v>
      </c>
      <c r="C94" s="102" t="s">
        <v>269</v>
      </c>
      <c r="D94" s="100" t="s">
        <v>291</v>
      </c>
      <c r="E94" s="100" t="s">
        <v>241</v>
      </c>
      <c r="F94" s="100" t="s">
        <v>252</v>
      </c>
      <c r="G94" s="100" t="s">
        <v>249</v>
      </c>
      <c r="H94" s="100" t="s">
        <v>223</v>
      </c>
      <c r="I94" s="100" t="s">
        <v>242</v>
      </c>
      <c r="J94" s="100" t="s">
        <v>234</v>
      </c>
      <c r="K94" s="100" t="s">
        <v>256</v>
      </c>
      <c r="L94" s="100" t="s">
        <v>225</v>
      </c>
      <c r="M94" s="100" t="s">
        <v>240</v>
      </c>
      <c r="N94" s="100" t="s">
        <v>818</v>
      </c>
      <c r="O94" s="100" t="s">
        <v>275</v>
      </c>
      <c r="P94" s="100" t="s">
        <v>254</v>
      </c>
      <c r="Q94" s="100" t="s">
        <v>292</v>
      </c>
      <c r="R94" s="100" t="s">
        <v>230</v>
      </c>
    </row>
    <row r="95" spans="1:18">
      <c r="A95" s="100" t="str">
        <f>VLOOKUP(C95,classifications!C:F,4,FALSE)</f>
        <v>UA</v>
      </c>
      <c r="B95" s="100" t="s">
        <v>527</v>
      </c>
      <c r="C95" s="102" t="s">
        <v>270</v>
      </c>
      <c r="D95" s="100" t="s">
        <v>234</v>
      </c>
      <c r="E95" s="100" t="s">
        <v>812</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528</v>
      </c>
      <c r="C96" s="102" t="s">
        <v>821</v>
      </c>
      <c r="D96" s="100" t="s">
        <v>326</v>
      </c>
      <c r="E96" s="100" t="s">
        <v>298</v>
      </c>
      <c r="F96" s="100" t="s">
        <v>286</v>
      </c>
      <c r="G96" s="100" t="s">
        <v>268</v>
      </c>
      <c r="H96" s="100" t="s">
        <v>305</v>
      </c>
      <c r="I96" s="100" t="s">
        <v>817</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529</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821</v>
      </c>
      <c r="Q97" s="100" t="s">
        <v>245</v>
      </c>
      <c r="R97" s="100" t="s">
        <v>817</v>
      </c>
    </row>
    <row r="98" spans="1:18">
      <c r="A98" s="100" t="str">
        <f>VLOOKUP(C98,classifications!C:F,4,FALSE)</f>
        <v>UA</v>
      </c>
      <c r="B98" s="100" t="s">
        <v>530</v>
      </c>
      <c r="C98" s="102" t="s">
        <v>822</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531</v>
      </c>
      <c r="C99" s="102" t="s">
        <v>272</v>
      </c>
      <c r="D99" s="100" t="s">
        <v>273</v>
      </c>
      <c r="E99" s="100" t="s">
        <v>258</v>
      </c>
      <c r="F99" s="100" t="s">
        <v>280</v>
      </c>
      <c r="G99" s="100" t="s">
        <v>229</v>
      </c>
      <c r="H99" s="100" t="s">
        <v>244</v>
      </c>
      <c r="I99" s="100" t="s">
        <v>226</v>
      </c>
      <c r="J99" s="100" t="s">
        <v>281</v>
      </c>
      <c r="K99" s="100" t="s">
        <v>261</v>
      </c>
      <c r="L99" s="100" t="s">
        <v>822</v>
      </c>
      <c r="M99" s="100" t="s">
        <v>266</v>
      </c>
      <c r="N99" s="100" t="s">
        <v>275</v>
      </c>
      <c r="O99" s="100" t="s">
        <v>236</v>
      </c>
      <c r="P99" s="100" t="s">
        <v>240</v>
      </c>
      <c r="Q99" s="100" t="s">
        <v>238</v>
      </c>
      <c r="R99" s="100" t="s">
        <v>287</v>
      </c>
    </row>
    <row r="100" spans="1:18">
      <c r="A100" s="100" t="str">
        <f>VLOOKUP(C100,classifications!C:F,4,FALSE)</f>
        <v>UA</v>
      </c>
      <c r="B100" s="100" t="s">
        <v>532</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533</v>
      </c>
      <c r="C101" s="102" t="s">
        <v>274</v>
      </c>
      <c r="D101" s="100" t="s">
        <v>227</v>
      </c>
      <c r="E101" s="100" t="s">
        <v>291</v>
      </c>
      <c r="F101" s="100" t="s">
        <v>225</v>
      </c>
      <c r="G101" s="100" t="s">
        <v>818</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534</v>
      </c>
      <c r="C102" s="102" t="s">
        <v>275</v>
      </c>
      <c r="D102" s="100" t="s">
        <v>822</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535</v>
      </c>
      <c r="C103" s="102" t="s">
        <v>276</v>
      </c>
      <c r="D103" s="100" t="s">
        <v>293</v>
      </c>
      <c r="E103" s="100" t="s">
        <v>281</v>
      </c>
      <c r="F103" s="100" t="s">
        <v>296</v>
      </c>
      <c r="G103" s="100" t="s">
        <v>294</v>
      </c>
      <c r="H103" s="100" t="s">
        <v>260</v>
      </c>
      <c r="I103" s="100" t="s">
        <v>304</v>
      </c>
      <c r="J103" s="100" t="s">
        <v>264</v>
      </c>
      <c r="K103" s="100" t="s">
        <v>274</v>
      </c>
      <c r="L103" s="100" t="s">
        <v>233</v>
      </c>
      <c r="M103" s="100" t="s">
        <v>818</v>
      </c>
      <c r="N103" s="100" t="s">
        <v>253</v>
      </c>
      <c r="O103" s="100" t="s">
        <v>273</v>
      </c>
      <c r="P103" s="100" t="s">
        <v>228</v>
      </c>
      <c r="Q103" s="100" t="s">
        <v>285</v>
      </c>
      <c r="R103" s="100" t="s">
        <v>225</v>
      </c>
    </row>
    <row r="104" spans="1:18">
      <c r="A104" s="100" t="str">
        <f>VLOOKUP(C104,classifications!C:F,4,FALSE)</f>
        <v>UA</v>
      </c>
      <c r="B104" s="100" t="s">
        <v>536</v>
      </c>
      <c r="C104" s="102" t="s">
        <v>277</v>
      </c>
      <c r="D104" s="100" t="s">
        <v>812</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537</v>
      </c>
      <c r="C105" s="102" t="s">
        <v>278</v>
      </c>
      <c r="D105" s="100" t="s">
        <v>230</v>
      </c>
      <c r="E105" s="100" t="s">
        <v>223</v>
      </c>
      <c r="F105" s="100" t="s">
        <v>242</v>
      </c>
      <c r="G105" s="100" t="s">
        <v>265</v>
      </c>
      <c r="H105" s="100" t="s">
        <v>254</v>
      </c>
      <c r="I105" s="100" t="s">
        <v>249</v>
      </c>
      <c r="J105" s="100" t="s">
        <v>291</v>
      </c>
      <c r="K105" s="100" t="s">
        <v>228</v>
      </c>
      <c r="L105" s="100" t="s">
        <v>818</v>
      </c>
      <c r="M105" s="100" t="s">
        <v>231</v>
      </c>
      <c r="N105" s="100" t="s">
        <v>256</v>
      </c>
      <c r="O105" s="100" t="s">
        <v>292</v>
      </c>
      <c r="P105" s="100" t="s">
        <v>252</v>
      </c>
      <c r="Q105" s="100" t="s">
        <v>812</v>
      </c>
      <c r="R105" s="100" t="s">
        <v>227</v>
      </c>
    </row>
    <row r="106" spans="1:18">
      <c r="A106" s="100" t="str">
        <f>VLOOKUP(C106,classifications!C:F,4,FALSE)</f>
        <v>UA</v>
      </c>
      <c r="B106" s="100" t="s">
        <v>538</v>
      </c>
      <c r="C106" s="102" t="s">
        <v>279</v>
      </c>
      <c r="D106" s="100" t="s">
        <v>283</v>
      </c>
      <c r="E106" s="100" t="s">
        <v>271</v>
      </c>
      <c r="F106" s="100" t="s">
        <v>259</v>
      </c>
      <c r="G106" s="100" t="s">
        <v>268</v>
      </c>
      <c r="H106" s="100" t="s">
        <v>305</v>
      </c>
      <c r="I106" s="100" t="s">
        <v>288</v>
      </c>
      <c r="J106" s="100" t="s">
        <v>247</v>
      </c>
      <c r="K106" s="100" t="s">
        <v>817</v>
      </c>
      <c r="L106" s="100" t="s">
        <v>290</v>
      </c>
      <c r="M106" s="100" t="s">
        <v>250</v>
      </c>
      <c r="N106" s="100" t="s">
        <v>306</v>
      </c>
      <c r="O106" s="100" t="s">
        <v>295</v>
      </c>
      <c r="P106" s="100" t="s">
        <v>323</v>
      </c>
      <c r="Q106" s="100" t="s">
        <v>300</v>
      </c>
      <c r="R106" s="100" t="s">
        <v>298</v>
      </c>
    </row>
    <row r="107" spans="1:18">
      <c r="A107" s="100" t="str">
        <f>VLOOKUP(C107,classifications!C:F,4,FALSE)</f>
        <v>UA</v>
      </c>
      <c r="B107" s="100" t="s">
        <v>539</v>
      </c>
      <c r="C107" s="102" t="s">
        <v>323</v>
      </c>
      <c r="D107" s="101" t="s">
        <v>268</v>
      </c>
      <c r="E107" s="100" t="s">
        <v>306</v>
      </c>
      <c r="F107" s="100" t="s">
        <v>817</v>
      </c>
      <c r="G107" s="100" t="s">
        <v>326</v>
      </c>
      <c r="H107" s="100" t="s">
        <v>278</v>
      </c>
      <c r="I107" s="100" t="s">
        <v>257</v>
      </c>
      <c r="J107" s="100" t="s">
        <v>239</v>
      </c>
      <c r="K107" s="100" t="s">
        <v>245</v>
      </c>
      <c r="L107" s="100" t="s">
        <v>812</v>
      </c>
      <c r="M107" s="100" t="s">
        <v>267</v>
      </c>
      <c r="N107" s="100" t="s">
        <v>265</v>
      </c>
      <c r="O107" s="100" t="s">
        <v>279</v>
      </c>
      <c r="P107" s="100" t="s">
        <v>228</v>
      </c>
      <c r="Q107" s="100" t="s">
        <v>282</v>
      </c>
      <c r="R107" s="100" t="s">
        <v>230</v>
      </c>
    </row>
    <row r="108" spans="1:18">
      <c r="A108" s="100" t="str">
        <f>VLOOKUP(C108,classifications!C:F,4,FALSE)</f>
        <v>UA</v>
      </c>
      <c r="B108" s="100" t="s">
        <v>540</v>
      </c>
      <c r="C108" s="102" t="s">
        <v>280</v>
      </c>
      <c r="D108" s="100" t="s">
        <v>238</v>
      </c>
      <c r="E108" s="100" t="s">
        <v>236</v>
      </c>
      <c r="F108" s="100" t="s">
        <v>243</v>
      </c>
      <c r="G108" s="100" t="s">
        <v>272</v>
      </c>
      <c r="H108" s="100" t="s">
        <v>822</v>
      </c>
      <c r="I108" s="100" t="s">
        <v>237</v>
      </c>
      <c r="J108" s="100" t="s">
        <v>820</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541</v>
      </c>
      <c r="C109" s="102" t="s">
        <v>281</v>
      </c>
      <c r="D109" s="100" t="s">
        <v>293</v>
      </c>
      <c r="E109" s="100" t="s">
        <v>266</v>
      </c>
      <c r="F109" s="100" t="s">
        <v>228</v>
      </c>
      <c r="G109" s="100" t="s">
        <v>229</v>
      </c>
      <c r="H109" s="100" t="s">
        <v>225</v>
      </c>
      <c r="I109" s="100" t="s">
        <v>241</v>
      </c>
      <c r="J109" s="100" t="s">
        <v>818</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542</v>
      </c>
      <c r="C110" s="102" t="s">
        <v>282</v>
      </c>
      <c r="D110" s="100" t="s">
        <v>239</v>
      </c>
      <c r="E110" s="100" t="s">
        <v>812</v>
      </c>
      <c r="F110" s="100" t="s">
        <v>289</v>
      </c>
      <c r="G110" s="100" t="s">
        <v>251</v>
      </c>
      <c r="H110" s="100" t="s">
        <v>257</v>
      </c>
      <c r="I110" s="100" t="s">
        <v>266</v>
      </c>
      <c r="J110" s="100" t="s">
        <v>245</v>
      </c>
      <c r="K110" s="100" t="s">
        <v>231</v>
      </c>
      <c r="L110" s="100" t="s">
        <v>228</v>
      </c>
      <c r="M110" s="100" t="s">
        <v>262</v>
      </c>
      <c r="N110" s="100" t="s">
        <v>265</v>
      </c>
      <c r="O110" s="100" t="s">
        <v>820</v>
      </c>
      <c r="P110" s="100" t="s">
        <v>229</v>
      </c>
      <c r="Q110" s="100" t="s">
        <v>277</v>
      </c>
      <c r="R110" s="100" t="s">
        <v>232</v>
      </c>
    </row>
    <row r="111" spans="1:18">
      <c r="A111" s="100" t="str">
        <f>VLOOKUP(C111,classifications!C:F,4,FALSE)</f>
        <v>UA</v>
      </c>
      <c r="B111" s="100" t="s">
        <v>543</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817</v>
      </c>
      <c r="P111" s="100" t="s">
        <v>306</v>
      </c>
      <c r="Q111" s="100" t="s">
        <v>245</v>
      </c>
      <c r="R111" s="100" t="s">
        <v>257</v>
      </c>
    </row>
    <row r="112" spans="1:18">
      <c r="A112" s="100" t="str">
        <f>VLOOKUP(C112,classifications!C:F,4,FALSE)</f>
        <v>UA</v>
      </c>
      <c r="B112" s="100" t="s">
        <v>544</v>
      </c>
      <c r="C112" s="102" t="s">
        <v>284</v>
      </c>
      <c r="D112" s="100" t="s">
        <v>289</v>
      </c>
      <c r="E112" s="100" t="s">
        <v>282</v>
      </c>
      <c r="F112" s="100" t="s">
        <v>820</v>
      </c>
      <c r="G112" s="100" t="s">
        <v>229</v>
      </c>
      <c r="H112" s="100" t="s">
        <v>239</v>
      </c>
      <c r="I112" s="100" t="s">
        <v>262</v>
      </c>
      <c r="J112" s="100" t="s">
        <v>266</v>
      </c>
      <c r="K112" s="100" t="s">
        <v>816</v>
      </c>
      <c r="L112" s="100" t="s">
        <v>290</v>
      </c>
      <c r="M112" s="100" t="s">
        <v>257</v>
      </c>
      <c r="N112" s="100" t="s">
        <v>245</v>
      </c>
      <c r="O112" s="100" t="s">
        <v>243</v>
      </c>
      <c r="P112" s="100" t="s">
        <v>251</v>
      </c>
      <c r="Q112" s="100" t="s">
        <v>265</v>
      </c>
      <c r="R112" s="100" t="s">
        <v>812</v>
      </c>
    </row>
    <row r="113" spans="1:18">
      <c r="A113" s="100" t="str">
        <f>VLOOKUP(C113,classifications!C:F,4,FALSE)</f>
        <v>UA</v>
      </c>
      <c r="B113" s="100" t="s">
        <v>545</v>
      </c>
      <c r="C113" s="102" t="s">
        <v>285</v>
      </c>
      <c r="D113" s="100" t="s">
        <v>287</v>
      </c>
      <c r="E113" s="100" t="s">
        <v>276</v>
      </c>
      <c r="F113" s="100" t="s">
        <v>264</v>
      </c>
      <c r="G113" s="100" t="s">
        <v>253</v>
      </c>
      <c r="H113" s="100" t="s">
        <v>293</v>
      </c>
      <c r="I113" s="100" t="s">
        <v>820</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546</v>
      </c>
      <c r="C114" s="102" t="s">
        <v>812</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547</v>
      </c>
      <c r="C115" s="102" t="s">
        <v>286</v>
      </c>
      <c r="D115" s="100" t="s">
        <v>821</v>
      </c>
      <c r="E115" s="100" t="s">
        <v>326</v>
      </c>
      <c r="F115" s="100" t="s">
        <v>298</v>
      </c>
      <c r="G115" s="100" t="s">
        <v>305</v>
      </c>
      <c r="H115" s="100" t="s">
        <v>304</v>
      </c>
      <c r="I115" s="100" t="s">
        <v>817</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548</v>
      </c>
      <c r="C116" s="102" t="s">
        <v>326</v>
      </c>
      <c r="D116" s="100" t="s">
        <v>821</v>
      </c>
      <c r="E116" s="100" t="s">
        <v>298</v>
      </c>
      <c r="F116" s="100" t="s">
        <v>817</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549</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820</v>
      </c>
      <c r="Q117" s="100" t="s">
        <v>266</v>
      </c>
      <c r="R117" s="100" t="s">
        <v>258</v>
      </c>
    </row>
    <row r="118" spans="1:18">
      <c r="A118" s="100" t="str">
        <f>VLOOKUP(C118,classifications!C:F,4,FALSE)</f>
        <v>UA</v>
      </c>
      <c r="B118" s="100" t="s">
        <v>550</v>
      </c>
      <c r="C118" s="102" t="s">
        <v>288</v>
      </c>
      <c r="D118" s="100" t="s">
        <v>304</v>
      </c>
      <c r="E118" s="100" t="s">
        <v>250</v>
      </c>
      <c r="F118" s="100" t="s">
        <v>268</v>
      </c>
      <c r="G118" s="100" t="s">
        <v>817</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551</v>
      </c>
      <c r="C119" s="102" t="s">
        <v>289</v>
      </c>
      <c r="D119" s="100" t="s">
        <v>820</v>
      </c>
      <c r="E119" s="100" t="s">
        <v>282</v>
      </c>
      <c r="F119" s="100" t="s">
        <v>284</v>
      </c>
      <c r="G119" s="100" t="s">
        <v>816</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552</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553</v>
      </c>
      <c r="C121" s="102" t="s">
        <v>291</v>
      </c>
      <c r="D121" s="100" t="s">
        <v>249</v>
      </c>
      <c r="E121" s="100" t="s">
        <v>242</v>
      </c>
      <c r="F121" s="100" t="s">
        <v>256</v>
      </c>
      <c r="G121" s="100" t="s">
        <v>225</v>
      </c>
      <c r="H121" s="100" t="s">
        <v>252</v>
      </c>
      <c r="I121" s="100" t="s">
        <v>230</v>
      </c>
      <c r="J121" s="100" t="s">
        <v>818</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554</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555</v>
      </c>
      <c r="C123" s="102" t="s">
        <v>293</v>
      </c>
      <c r="D123" s="100" t="s">
        <v>296</v>
      </c>
      <c r="E123" s="100" t="s">
        <v>281</v>
      </c>
      <c r="F123" s="100" t="s">
        <v>228</v>
      </c>
      <c r="G123" s="100" t="s">
        <v>253</v>
      </c>
      <c r="H123" s="100" t="s">
        <v>274</v>
      </c>
      <c r="I123" s="100" t="s">
        <v>233</v>
      </c>
      <c r="J123" s="100" t="s">
        <v>276</v>
      </c>
      <c r="K123" s="100" t="s">
        <v>250</v>
      </c>
      <c r="L123" s="100" t="s">
        <v>266</v>
      </c>
      <c r="M123" s="100" t="s">
        <v>818</v>
      </c>
      <c r="N123" s="100" t="s">
        <v>265</v>
      </c>
      <c r="O123" s="100" t="s">
        <v>260</v>
      </c>
      <c r="P123" s="100" t="s">
        <v>231</v>
      </c>
      <c r="Q123" s="100" t="s">
        <v>227</v>
      </c>
      <c r="R123" s="100" t="s">
        <v>291</v>
      </c>
    </row>
    <row r="124" spans="1:18" s="101" customFormat="1">
      <c r="A124" s="100" t="str">
        <f>VLOOKUP(C124,classifications!C:F,4,FALSE)</f>
        <v>UA</v>
      </c>
      <c r="B124" s="100" t="s">
        <v>556</v>
      </c>
      <c r="C124" s="102" t="s">
        <v>294</v>
      </c>
      <c r="D124" s="100" t="s">
        <v>274</v>
      </c>
      <c r="E124" s="100" t="s">
        <v>227</v>
      </c>
      <c r="F124" s="100" t="s">
        <v>225</v>
      </c>
      <c r="G124" s="100" t="s">
        <v>293</v>
      </c>
      <c r="H124" s="100" t="s">
        <v>291</v>
      </c>
      <c r="I124" s="100" t="s">
        <v>228</v>
      </c>
      <c r="J124" s="100" t="s">
        <v>241</v>
      </c>
      <c r="K124" s="100" t="s">
        <v>281</v>
      </c>
      <c r="L124" s="100" t="s">
        <v>252</v>
      </c>
      <c r="M124" s="100" t="s">
        <v>818</v>
      </c>
      <c r="N124" s="100" t="s">
        <v>276</v>
      </c>
      <c r="O124" s="100" t="s">
        <v>255</v>
      </c>
      <c r="P124" s="100" t="s">
        <v>240</v>
      </c>
      <c r="Q124" s="100" t="s">
        <v>231</v>
      </c>
      <c r="R124" s="100" t="s">
        <v>256</v>
      </c>
    </row>
    <row r="125" spans="1:18" s="101" customFormat="1">
      <c r="A125" s="100" t="str">
        <f>VLOOKUP(C125,classifications!C:F,4,FALSE)</f>
        <v>UA</v>
      </c>
      <c r="B125" s="100" t="s">
        <v>557</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558</v>
      </c>
      <c r="C126" s="102" t="s">
        <v>296</v>
      </c>
      <c r="D126" s="100" t="s">
        <v>293</v>
      </c>
      <c r="E126" s="100" t="s">
        <v>250</v>
      </c>
      <c r="F126" s="100" t="s">
        <v>253</v>
      </c>
      <c r="G126" s="100" t="s">
        <v>228</v>
      </c>
      <c r="H126" s="100" t="s">
        <v>817</v>
      </c>
      <c r="I126" s="100" t="s">
        <v>227</v>
      </c>
      <c r="J126" s="100" t="s">
        <v>818</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559</v>
      </c>
      <c r="C127" s="102" t="s">
        <v>297</v>
      </c>
      <c r="D127" s="100" t="s">
        <v>264</v>
      </c>
      <c r="E127" s="100" t="s">
        <v>304</v>
      </c>
      <c r="F127" s="100" t="s">
        <v>819</v>
      </c>
      <c r="G127" s="100" t="s">
        <v>299</v>
      </c>
      <c r="H127" s="100" t="s">
        <v>260</v>
      </c>
      <c r="I127" s="100" t="s">
        <v>305</v>
      </c>
      <c r="J127" s="100" t="s">
        <v>247</v>
      </c>
      <c r="K127" s="100" t="s">
        <v>259</v>
      </c>
      <c r="L127" s="100" t="s">
        <v>276</v>
      </c>
      <c r="M127" s="100" t="s">
        <v>817</v>
      </c>
      <c r="N127" s="100" t="s">
        <v>298</v>
      </c>
      <c r="O127" s="100" t="s">
        <v>253</v>
      </c>
      <c r="P127" s="100" t="s">
        <v>288</v>
      </c>
      <c r="Q127" s="100" t="s">
        <v>296</v>
      </c>
      <c r="R127" s="100" t="s">
        <v>250</v>
      </c>
    </row>
    <row r="128" spans="1:18" s="101" customFormat="1">
      <c r="A128" s="100" t="str">
        <f>VLOOKUP(C128,classifications!C:F,4,FALSE)</f>
        <v>UA</v>
      </c>
      <c r="B128" s="100" t="s">
        <v>560</v>
      </c>
      <c r="C128" s="102" t="s">
        <v>817</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561</v>
      </c>
      <c r="C129" s="102" t="s">
        <v>298</v>
      </c>
      <c r="D129" s="100" t="s">
        <v>326</v>
      </c>
      <c r="E129" s="100" t="s">
        <v>305</v>
      </c>
      <c r="F129" s="100" t="s">
        <v>817</v>
      </c>
      <c r="G129" s="100" t="s">
        <v>304</v>
      </c>
      <c r="H129" s="100" t="s">
        <v>821</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562</v>
      </c>
      <c r="C130" s="102" t="s">
        <v>819</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817</v>
      </c>
      <c r="P130" s="100" t="s">
        <v>276</v>
      </c>
      <c r="Q130" s="100" t="s">
        <v>279</v>
      </c>
      <c r="R130" s="100" t="s">
        <v>250</v>
      </c>
    </row>
    <row r="131" spans="1:18" s="101" customFormat="1">
      <c r="A131" s="100" t="str">
        <f>VLOOKUP(C131,classifications!C:F,4,FALSE)</f>
        <v>UA</v>
      </c>
      <c r="B131" s="100" t="s">
        <v>563</v>
      </c>
      <c r="C131" s="102" t="s">
        <v>299</v>
      </c>
      <c r="D131" s="100" t="s">
        <v>819</v>
      </c>
      <c r="E131" s="100" t="s">
        <v>297</v>
      </c>
      <c r="F131" s="100" t="s">
        <v>264</v>
      </c>
      <c r="G131" s="100" t="s">
        <v>304</v>
      </c>
      <c r="H131" s="100" t="s">
        <v>247</v>
      </c>
      <c r="I131" s="100" t="s">
        <v>305</v>
      </c>
      <c r="J131" s="100" t="s">
        <v>260</v>
      </c>
      <c r="K131" s="100" t="s">
        <v>259</v>
      </c>
      <c r="L131" s="100" t="s">
        <v>298</v>
      </c>
      <c r="M131" s="100" t="s">
        <v>288</v>
      </c>
      <c r="N131" s="100" t="s">
        <v>817</v>
      </c>
      <c r="O131" s="100" t="s">
        <v>276</v>
      </c>
      <c r="P131" s="100" t="s">
        <v>250</v>
      </c>
      <c r="Q131" s="100" t="s">
        <v>286</v>
      </c>
      <c r="R131" s="100" t="s">
        <v>279</v>
      </c>
    </row>
    <row r="132" spans="1:18">
      <c r="A132" s="100" t="str">
        <f>VLOOKUP(C132,classifications!C:F,4,FALSE)</f>
        <v>UA</v>
      </c>
      <c r="B132" s="100" t="s">
        <v>564</v>
      </c>
      <c r="C132" s="102" t="s">
        <v>818</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565</v>
      </c>
      <c r="C133" s="102" t="s">
        <v>300</v>
      </c>
      <c r="D133" s="100" t="s">
        <v>250</v>
      </c>
      <c r="E133" s="100" t="s">
        <v>259</v>
      </c>
      <c r="F133" s="100" t="s">
        <v>817</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418</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566</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567</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568</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569</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570</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571</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572</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573</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574</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575</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576</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577</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578</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579</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580</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581</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582</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583</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584</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585</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586</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587</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588</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589</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590</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591</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592</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593</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594</v>
      </c>
      <c r="C165" s="100" t="s">
        <v>11</v>
      </c>
      <c r="D165" s="100" t="s">
        <v>88</v>
      </c>
      <c r="E165" s="100" t="s">
        <v>56</v>
      </c>
      <c r="F165" s="100" t="s">
        <v>167</v>
      </c>
      <c r="G165" s="100" t="s">
        <v>147</v>
      </c>
      <c r="H165" s="100" t="s">
        <v>35</v>
      </c>
      <c r="I165" s="100" t="s">
        <v>174</v>
      </c>
      <c r="J165" s="100" t="s">
        <v>344</v>
      </c>
      <c r="K165" s="100" t="s">
        <v>96</v>
      </c>
      <c r="L165" s="100" t="s">
        <v>55</v>
      </c>
      <c r="M165" s="100" t="s">
        <v>351</v>
      </c>
      <c r="N165" s="100" t="s">
        <v>19</v>
      </c>
      <c r="O165" s="100" t="s">
        <v>64</v>
      </c>
      <c r="P165" s="100" t="s">
        <v>10</v>
      </c>
      <c r="Q165" s="100" t="s">
        <v>33</v>
      </c>
      <c r="R165" s="100" t="s">
        <v>194</v>
      </c>
    </row>
    <row r="166" spans="1:18" s="101" customFormat="1">
      <c r="A166" s="100" t="str">
        <f>VLOOKUP(C166,classifications!C:F,4,FALSE)</f>
        <v>SD</v>
      </c>
      <c r="B166" s="100" t="s">
        <v>595</v>
      </c>
      <c r="C166" s="100" t="s">
        <v>38</v>
      </c>
      <c r="D166" s="100" t="s">
        <v>138</v>
      </c>
      <c r="E166" s="100" t="s">
        <v>163</v>
      </c>
      <c r="F166" s="100" t="s">
        <v>178</v>
      </c>
      <c r="G166" s="100" t="s">
        <v>160</v>
      </c>
      <c r="H166" s="100" t="s">
        <v>345</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596</v>
      </c>
      <c r="C167" s="100" t="s">
        <v>138</v>
      </c>
      <c r="D167" s="100" t="s">
        <v>38</v>
      </c>
      <c r="E167" s="100" t="s">
        <v>163</v>
      </c>
      <c r="F167" s="100" t="s">
        <v>105</v>
      </c>
      <c r="G167" s="100" t="s">
        <v>160</v>
      </c>
      <c r="H167" s="100" t="s">
        <v>345</v>
      </c>
      <c r="I167" s="100" t="s">
        <v>170</v>
      </c>
      <c r="J167" s="100" t="s">
        <v>178</v>
      </c>
      <c r="K167" s="100" t="s">
        <v>21</v>
      </c>
      <c r="L167" s="100" t="s">
        <v>63</v>
      </c>
      <c r="M167" s="100" t="s">
        <v>136</v>
      </c>
      <c r="N167" s="100" t="s">
        <v>85</v>
      </c>
      <c r="O167" s="100" t="s">
        <v>350</v>
      </c>
      <c r="P167" s="100" t="s">
        <v>55</v>
      </c>
      <c r="Q167" s="100" t="s">
        <v>82</v>
      </c>
      <c r="R167" s="100" t="s">
        <v>152</v>
      </c>
    </row>
    <row r="168" spans="1:18" s="101" customFormat="1">
      <c r="A168" s="100" t="str">
        <f>VLOOKUP(C168,classifications!C:F,4,FALSE)</f>
        <v>SD</v>
      </c>
      <c r="B168" s="100" t="s">
        <v>597</v>
      </c>
      <c r="C168" s="100" t="s">
        <v>194</v>
      </c>
      <c r="D168" s="100" t="s">
        <v>152</v>
      </c>
      <c r="E168" s="100" t="s">
        <v>344</v>
      </c>
      <c r="F168" s="100" t="s">
        <v>56</v>
      </c>
      <c r="G168" s="100" t="s">
        <v>174</v>
      </c>
      <c r="H168" s="100" t="s">
        <v>47</v>
      </c>
      <c r="I168" s="100" t="s">
        <v>77</v>
      </c>
      <c r="J168" s="100" t="s">
        <v>147</v>
      </c>
      <c r="K168" s="100" t="s">
        <v>35</v>
      </c>
      <c r="L168" s="100" t="s">
        <v>350</v>
      </c>
      <c r="M168" s="100" t="s">
        <v>190</v>
      </c>
      <c r="N168" s="100" t="s">
        <v>11</v>
      </c>
      <c r="O168" s="100" t="s">
        <v>33</v>
      </c>
      <c r="P168" s="100" t="s">
        <v>104</v>
      </c>
      <c r="Q168" s="100" t="s">
        <v>172</v>
      </c>
      <c r="R168" s="100" t="s">
        <v>85</v>
      </c>
    </row>
    <row r="169" spans="1:18" s="101" customFormat="1">
      <c r="A169" s="100" t="str">
        <f>VLOOKUP(C169,classifications!C:F,4,FALSE)</f>
        <v>SD</v>
      </c>
      <c r="B169" s="100" t="s">
        <v>598</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599</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600</v>
      </c>
      <c r="C171" s="100" t="s">
        <v>68</v>
      </c>
      <c r="D171" s="100" t="s">
        <v>18</v>
      </c>
      <c r="E171" s="100" t="s">
        <v>347</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601</v>
      </c>
      <c r="C172" s="100" t="s">
        <v>88</v>
      </c>
      <c r="D172" s="100" t="s">
        <v>35</v>
      </c>
      <c r="E172" s="100" t="s">
        <v>344</v>
      </c>
      <c r="F172" s="100" t="s">
        <v>41</v>
      </c>
      <c r="G172" s="100" t="s">
        <v>11</v>
      </c>
      <c r="H172" s="100" t="s">
        <v>19</v>
      </c>
      <c r="I172" s="100" t="s">
        <v>33</v>
      </c>
      <c r="J172" s="100" t="s">
        <v>96</v>
      </c>
      <c r="K172" s="100" t="s">
        <v>167</v>
      </c>
      <c r="L172" s="100" t="s">
        <v>32</v>
      </c>
      <c r="M172" s="100" t="s">
        <v>143</v>
      </c>
      <c r="N172" s="100" t="s">
        <v>10</v>
      </c>
      <c r="O172" s="100" t="s">
        <v>174</v>
      </c>
      <c r="P172" s="100" t="s">
        <v>351</v>
      </c>
      <c r="Q172" s="100" t="s">
        <v>59</v>
      </c>
      <c r="R172" s="100" t="s">
        <v>81</v>
      </c>
    </row>
    <row r="173" spans="1:18" s="101" customFormat="1">
      <c r="A173" s="100" t="str">
        <f>VLOOKUP(C173,classifications!C:F,4,FALSE)</f>
        <v>SD</v>
      </c>
      <c r="B173" s="100" t="s">
        <v>602</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603</v>
      </c>
      <c r="C174" s="100" t="s">
        <v>6</v>
      </c>
      <c r="D174" s="100" t="s">
        <v>15</v>
      </c>
      <c r="E174" s="100" t="s">
        <v>110</v>
      </c>
      <c r="F174" s="100" t="s">
        <v>51</v>
      </c>
      <c r="G174" s="100" t="s">
        <v>18</v>
      </c>
      <c r="H174" s="100" t="s">
        <v>42</v>
      </c>
      <c r="I174" s="100" t="s">
        <v>347</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604</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348</v>
      </c>
      <c r="Q175" s="100" t="s">
        <v>137</v>
      </c>
      <c r="R175" s="100" t="s">
        <v>352</v>
      </c>
    </row>
    <row r="176" spans="1:18" s="101" customFormat="1">
      <c r="A176" s="100" t="str">
        <f>VLOOKUP(C176,classifications!C:F,4,FALSE)</f>
        <v>SD</v>
      </c>
      <c r="B176" s="100" t="s">
        <v>605</v>
      </c>
      <c r="C176" s="100" t="s">
        <v>30</v>
      </c>
      <c r="D176" s="100" t="s">
        <v>196</v>
      </c>
      <c r="E176" s="100" t="s">
        <v>15</v>
      </c>
      <c r="F176" s="100" t="s">
        <v>107</v>
      </c>
      <c r="G176" s="100" t="s">
        <v>347</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606</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347</v>
      </c>
      <c r="R177" s="100" t="s">
        <v>122</v>
      </c>
    </row>
    <row r="178" spans="1:18" s="101" customFormat="1">
      <c r="A178" s="100" t="str">
        <f>VLOOKUP(C178,classifications!C:F,4,FALSE)</f>
        <v>SD</v>
      </c>
      <c r="B178" s="100" t="s">
        <v>607</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608</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609</v>
      </c>
      <c r="C180" s="100" t="s">
        <v>7</v>
      </c>
      <c r="D180" s="100" t="s">
        <v>347</v>
      </c>
      <c r="E180" s="100" t="s">
        <v>65</v>
      </c>
      <c r="F180" s="100" t="s">
        <v>86</v>
      </c>
      <c r="G180" s="100" t="s">
        <v>143</v>
      </c>
      <c r="H180" s="100" t="s">
        <v>346</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610</v>
      </c>
      <c r="C181" s="100" t="s">
        <v>17</v>
      </c>
      <c r="D181" s="100" t="s">
        <v>42</v>
      </c>
      <c r="E181" s="100" t="s">
        <v>99</v>
      </c>
      <c r="F181" s="100" t="s">
        <v>9</v>
      </c>
      <c r="G181" s="100" t="s">
        <v>110</v>
      </c>
      <c r="H181" s="100" t="s">
        <v>15</v>
      </c>
      <c r="I181" s="100" t="s">
        <v>18</v>
      </c>
      <c r="J181" s="100" t="s">
        <v>184</v>
      </c>
      <c r="K181" s="100" t="s">
        <v>68</v>
      </c>
      <c r="L181" s="100" t="s">
        <v>126</v>
      </c>
      <c r="M181" s="100" t="s">
        <v>348</v>
      </c>
      <c r="N181" s="100" t="s">
        <v>28</v>
      </c>
      <c r="O181" s="100" t="s">
        <v>6</v>
      </c>
      <c r="P181" s="100" t="s">
        <v>65</v>
      </c>
      <c r="Q181" s="100" t="s">
        <v>347</v>
      </c>
      <c r="R181" s="100" t="s">
        <v>36</v>
      </c>
    </row>
    <row r="182" spans="1:18" s="101" customFormat="1">
      <c r="A182" s="100" t="str">
        <f>VLOOKUP(C182,classifications!C:F,4,FALSE)</f>
        <v>SD</v>
      </c>
      <c r="B182" s="100" t="s">
        <v>611</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612</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613</v>
      </c>
      <c r="C184" s="100" t="s">
        <v>65</v>
      </c>
      <c r="D184" s="100" t="s">
        <v>7</v>
      </c>
      <c r="E184" s="100" t="s">
        <v>91</v>
      </c>
      <c r="F184" s="100" t="s">
        <v>348</v>
      </c>
      <c r="G184" s="100" t="s">
        <v>72</v>
      </c>
      <c r="H184" s="100" t="s">
        <v>86</v>
      </c>
      <c r="I184" s="100" t="s">
        <v>9</v>
      </c>
      <c r="J184" s="100" t="s">
        <v>148</v>
      </c>
      <c r="K184" s="100" t="s">
        <v>107</v>
      </c>
      <c r="L184" s="100" t="s">
        <v>347</v>
      </c>
      <c r="M184" s="100" t="s">
        <v>25</v>
      </c>
      <c r="N184" s="100" t="s">
        <v>196</v>
      </c>
      <c r="O184" s="100" t="s">
        <v>15</v>
      </c>
      <c r="P184" s="100" t="s">
        <v>39</v>
      </c>
      <c r="Q184" s="100" t="s">
        <v>346</v>
      </c>
      <c r="R184" s="100" t="s">
        <v>184</v>
      </c>
    </row>
    <row r="185" spans="1:18" s="101" customFormat="1">
      <c r="A185" s="100" t="str">
        <f>VLOOKUP(C185,classifications!C:F,4,FALSE)</f>
        <v>SD</v>
      </c>
      <c r="B185" s="100" t="s">
        <v>614</v>
      </c>
      <c r="C185" s="100" t="s">
        <v>86</v>
      </c>
      <c r="D185" s="100" t="s">
        <v>347</v>
      </c>
      <c r="E185" s="100" t="s">
        <v>91</v>
      </c>
      <c r="F185" s="100" t="s">
        <v>39</v>
      </c>
      <c r="G185" s="100" t="s">
        <v>7</v>
      </c>
      <c r="H185" s="100" t="s">
        <v>94</v>
      </c>
      <c r="I185" s="100" t="s">
        <v>150</v>
      </c>
      <c r="J185" s="100" t="s">
        <v>128</v>
      </c>
      <c r="K185" s="100" t="s">
        <v>346</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615</v>
      </c>
      <c r="C186" s="100" t="s">
        <v>110</v>
      </c>
      <c r="D186" s="100" t="s">
        <v>15</v>
      </c>
      <c r="E186" s="100" t="s">
        <v>107</v>
      </c>
      <c r="F186" s="100" t="s">
        <v>347</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616</v>
      </c>
      <c r="C187" s="100" t="s">
        <v>140</v>
      </c>
      <c r="D187" s="100" t="s">
        <v>58</v>
      </c>
      <c r="E187" s="100" t="s">
        <v>135</v>
      </c>
      <c r="F187" s="100" t="s">
        <v>86</v>
      </c>
      <c r="G187" s="100" t="s">
        <v>346</v>
      </c>
      <c r="H187" s="100" t="s">
        <v>148</v>
      </c>
      <c r="I187" s="100" t="s">
        <v>39</v>
      </c>
      <c r="J187" s="100" t="s">
        <v>91</v>
      </c>
      <c r="K187" s="100" t="s">
        <v>155</v>
      </c>
      <c r="L187" s="100" t="s">
        <v>150</v>
      </c>
      <c r="M187" s="100" t="s">
        <v>347</v>
      </c>
      <c r="N187" s="100" t="s">
        <v>114</v>
      </c>
      <c r="O187" s="100" t="s">
        <v>7</v>
      </c>
      <c r="P187" s="100" t="s">
        <v>49</v>
      </c>
      <c r="Q187" s="100" t="s">
        <v>94</v>
      </c>
      <c r="R187" s="100" t="s">
        <v>185</v>
      </c>
    </row>
    <row r="188" spans="1:18" s="101" customFormat="1">
      <c r="A188" s="100" t="str">
        <f>VLOOKUP(C188,classifications!C:F,4,FALSE)</f>
        <v>SD</v>
      </c>
      <c r="B188" s="100" t="s">
        <v>617</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618</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619</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620</v>
      </c>
      <c r="C191" s="100" t="s">
        <v>108</v>
      </c>
      <c r="D191" s="100" t="s">
        <v>134</v>
      </c>
      <c r="E191" s="100" t="s">
        <v>171</v>
      </c>
      <c r="F191" s="100" t="s">
        <v>133</v>
      </c>
      <c r="G191" s="100" t="s">
        <v>165</v>
      </c>
      <c r="H191" s="100" t="s">
        <v>51</v>
      </c>
      <c r="I191" s="100" t="s">
        <v>137</v>
      </c>
      <c r="J191" s="100" t="s">
        <v>352</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621</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622</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623</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624</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625</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626</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627</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628</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629</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630</v>
      </c>
      <c r="C201" s="100" t="s">
        <v>352</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631</v>
      </c>
      <c r="C202" s="100" t="s">
        <v>60</v>
      </c>
      <c r="D202" s="100" t="s">
        <v>192</v>
      </c>
      <c r="E202" s="100" t="s">
        <v>133</v>
      </c>
      <c r="F202" s="100" t="s">
        <v>137</v>
      </c>
      <c r="G202" s="100" t="s">
        <v>169</v>
      </c>
      <c r="H202" s="100" t="s">
        <v>83</v>
      </c>
      <c r="I202" s="100" t="s">
        <v>4</v>
      </c>
      <c r="J202" s="100" t="s">
        <v>8</v>
      </c>
      <c r="K202" s="100" t="s">
        <v>352</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632</v>
      </c>
      <c r="C203" s="100" t="s">
        <v>83</v>
      </c>
      <c r="D203" s="100" t="s">
        <v>169</v>
      </c>
      <c r="E203" s="100" t="s">
        <v>76</v>
      </c>
      <c r="F203" s="100" t="s">
        <v>137</v>
      </c>
      <c r="G203" s="100" t="s">
        <v>13</v>
      </c>
      <c r="H203" s="100" t="s">
        <v>133</v>
      </c>
      <c r="I203" s="100" t="s">
        <v>51</v>
      </c>
      <c r="J203" s="100" t="s">
        <v>352</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633</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352</v>
      </c>
    </row>
    <row r="205" spans="1:18" s="101" customFormat="1">
      <c r="A205" s="100" t="str">
        <f>VLOOKUP(C205,classifications!C:F,4,FALSE)</f>
        <v>SD</v>
      </c>
      <c r="B205" s="100" t="s">
        <v>634</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635</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636</v>
      </c>
      <c r="C207" s="100" t="s">
        <v>14</v>
      </c>
      <c r="D207" s="100" t="s">
        <v>47</v>
      </c>
      <c r="E207" s="100" t="s">
        <v>116</v>
      </c>
      <c r="F207" s="100" t="s">
        <v>48</v>
      </c>
      <c r="G207" s="100" t="s">
        <v>41</v>
      </c>
      <c r="H207" s="100" t="s">
        <v>156</v>
      </c>
      <c r="I207" s="100" t="s">
        <v>111</v>
      </c>
      <c r="J207" s="100" t="s">
        <v>344</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637</v>
      </c>
      <c r="C208" s="100" t="s">
        <v>19</v>
      </c>
      <c r="D208" s="100" t="s">
        <v>143</v>
      </c>
      <c r="E208" s="100" t="s">
        <v>10</v>
      </c>
      <c r="F208" s="100" t="s">
        <v>347</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638</v>
      </c>
      <c r="C209" s="100" t="s">
        <v>21</v>
      </c>
      <c r="D209" s="100" t="s">
        <v>136</v>
      </c>
      <c r="E209" s="100" t="s">
        <v>170</v>
      </c>
      <c r="F209" s="100" t="s">
        <v>163</v>
      </c>
      <c r="G209" s="100" t="s">
        <v>55</v>
      </c>
      <c r="H209" s="100" t="s">
        <v>345</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639</v>
      </c>
      <c r="C210" s="100" t="s">
        <v>31</v>
      </c>
      <c r="D210" s="100" t="s">
        <v>72</v>
      </c>
      <c r="E210" s="100" t="s">
        <v>148</v>
      </c>
      <c r="F210" s="100" t="s">
        <v>346</v>
      </c>
      <c r="G210" s="100" t="s">
        <v>25</v>
      </c>
      <c r="H210" s="100" t="s">
        <v>16</v>
      </c>
      <c r="I210" s="100" t="s">
        <v>86</v>
      </c>
      <c r="J210" s="100" t="s">
        <v>125</v>
      </c>
      <c r="K210" s="100" t="s">
        <v>130</v>
      </c>
      <c r="L210" s="100" t="s">
        <v>155</v>
      </c>
      <c r="M210" s="100" t="s">
        <v>94</v>
      </c>
      <c r="N210" s="100" t="s">
        <v>168</v>
      </c>
      <c r="O210" s="100" t="s">
        <v>150</v>
      </c>
      <c r="P210" s="100" t="s">
        <v>349</v>
      </c>
      <c r="Q210" s="100" t="s">
        <v>22</v>
      </c>
      <c r="R210" s="100" t="s">
        <v>91</v>
      </c>
    </row>
    <row r="211" spans="1:18" s="101" customFormat="1">
      <c r="A211" s="100" t="str">
        <f>VLOOKUP(C211,classifications!C:F,4,FALSE)</f>
        <v>SD</v>
      </c>
      <c r="B211" s="100" t="s">
        <v>640</v>
      </c>
      <c r="C211" s="100" t="s">
        <v>33</v>
      </c>
      <c r="D211" s="100" t="s">
        <v>96</v>
      </c>
      <c r="E211" s="100" t="s">
        <v>41</v>
      </c>
      <c r="F211" s="100" t="s">
        <v>344</v>
      </c>
      <c r="G211" s="100" t="s">
        <v>88</v>
      </c>
      <c r="H211" s="100" t="s">
        <v>35</v>
      </c>
      <c r="I211" s="100" t="s">
        <v>81</v>
      </c>
      <c r="J211" s="100" t="s">
        <v>175</v>
      </c>
      <c r="K211" s="100" t="s">
        <v>351</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641</v>
      </c>
      <c r="C212" s="100" t="s">
        <v>41</v>
      </c>
      <c r="D212" s="100" t="s">
        <v>96</v>
      </c>
      <c r="E212" s="100" t="s">
        <v>32</v>
      </c>
      <c r="F212" s="100" t="s">
        <v>33</v>
      </c>
      <c r="G212" s="100" t="s">
        <v>88</v>
      </c>
      <c r="H212" s="100" t="s">
        <v>175</v>
      </c>
      <c r="I212" s="100" t="s">
        <v>344</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642</v>
      </c>
      <c r="C213" s="100" t="s">
        <v>64</v>
      </c>
      <c r="D213" s="100" t="s">
        <v>85</v>
      </c>
      <c r="E213" s="100" t="s">
        <v>170</v>
      </c>
      <c r="F213" s="100" t="s">
        <v>151</v>
      </c>
      <c r="G213" s="100" t="s">
        <v>111</v>
      </c>
      <c r="H213" s="100" t="s">
        <v>350</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643</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644</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645</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646</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647</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648</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649</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650</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347</v>
      </c>
      <c r="P221" s="100" t="s">
        <v>185</v>
      </c>
      <c r="Q221" s="100" t="s">
        <v>168</v>
      </c>
      <c r="R221" s="100" t="s">
        <v>86</v>
      </c>
    </row>
    <row r="222" spans="1:18" s="101" customFormat="1">
      <c r="A222" s="100" t="str">
        <f>VLOOKUP(C222,classifications!C:F,4,FALSE)</f>
        <v>SD</v>
      </c>
      <c r="B222" s="100" t="s">
        <v>651</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652</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653</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654</v>
      </c>
      <c r="C225" s="100" t="s">
        <v>344</v>
      </c>
      <c r="D225" s="100" t="s">
        <v>35</v>
      </c>
      <c r="E225" s="100" t="s">
        <v>33</v>
      </c>
      <c r="F225" s="100" t="s">
        <v>88</v>
      </c>
      <c r="G225" s="100" t="s">
        <v>96</v>
      </c>
      <c r="H225" s="100" t="s">
        <v>351</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655</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351</v>
      </c>
      <c r="P226" s="100" t="s">
        <v>168</v>
      </c>
      <c r="Q226" s="100" t="s">
        <v>157</v>
      </c>
      <c r="R226" s="100" t="s">
        <v>21</v>
      </c>
    </row>
    <row r="227" spans="1:18" s="101" customFormat="1">
      <c r="A227" s="100" t="str">
        <f>VLOOKUP(C227,classifications!C:F,4,FALSE)</f>
        <v>SD</v>
      </c>
      <c r="B227" s="100" t="s">
        <v>656</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351</v>
      </c>
      <c r="R227" s="100" t="s">
        <v>10</v>
      </c>
    </row>
    <row r="228" spans="1:18" s="101" customFormat="1">
      <c r="A228" s="100" t="str">
        <f>VLOOKUP(C228,classifications!C:F,4,FALSE)</f>
        <v>SD</v>
      </c>
      <c r="B228" s="100" t="s">
        <v>657</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658</v>
      </c>
      <c r="C229" s="100" t="s">
        <v>74</v>
      </c>
      <c r="D229" s="100" t="s">
        <v>352</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348</v>
      </c>
      <c r="R229" s="100" t="s">
        <v>28</v>
      </c>
    </row>
    <row r="230" spans="1:18" s="101" customFormat="1">
      <c r="A230" s="100" t="str">
        <f>VLOOKUP(C230,classifications!C:F,4,FALSE)</f>
        <v>SD</v>
      </c>
      <c r="B230" s="100" t="s">
        <v>659</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660</v>
      </c>
      <c r="C231" s="100" t="s">
        <v>84</v>
      </c>
      <c r="D231" s="100" t="s">
        <v>134</v>
      </c>
      <c r="E231" s="100" t="s">
        <v>51</v>
      </c>
      <c r="F231" s="100" t="s">
        <v>61</v>
      </c>
      <c r="G231" s="100" t="s">
        <v>29</v>
      </c>
      <c r="H231" s="100" t="s">
        <v>4</v>
      </c>
      <c r="I231" s="100" t="s">
        <v>161</v>
      </c>
      <c r="J231" s="100" t="s">
        <v>137</v>
      </c>
      <c r="K231" s="100" t="s">
        <v>74</v>
      </c>
      <c r="L231" s="100" t="s">
        <v>92</v>
      </c>
      <c r="M231" s="100" t="s">
        <v>352</v>
      </c>
      <c r="N231" s="100" t="s">
        <v>108</v>
      </c>
      <c r="O231" s="100" t="s">
        <v>133</v>
      </c>
      <c r="P231" s="100" t="s">
        <v>125</v>
      </c>
      <c r="Q231" s="100" t="s">
        <v>72</v>
      </c>
      <c r="R231" s="100" t="s">
        <v>67</v>
      </c>
    </row>
    <row r="232" spans="1:18" s="101" customFormat="1">
      <c r="A232" s="100" t="str">
        <f>VLOOKUP(C232,classifications!C:F,4,FALSE)</f>
        <v>SD</v>
      </c>
      <c r="B232" s="100" t="s">
        <v>661</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662</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663</v>
      </c>
      <c r="C234" s="100" t="s">
        <v>167</v>
      </c>
      <c r="D234" s="100" t="s">
        <v>10</v>
      </c>
      <c r="E234" s="100" t="s">
        <v>55</v>
      </c>
      <c r="F234" s="100" t="s">
        <v>174</v>
      </c>
      <c r="G234" s="100" t="s">
        <v>351</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664</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665</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346</v>
      </c>
      <c r="P236" s="100" t="s">
        <v>12</v>
      </c>
      <c r="Q236" s="100" t="s">
        <v>135</v>
      </c>
      <c r="R236" s="100" t="s">
        <v>10</v>
      </c>
    </row>
    <row r="237" spans="1:18" s="101" customFormat="1">
      <c r="A237" s="100" t="str">
        <f>VLOOKUP(C237,classifications!C:F,4,FALSE)</f>
        <v>SD</v>
      </c>
      <c r="B237" s="100" t="s">
        <v>666</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667</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668</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669</v>
      </c>
      <c r="C240" s="100" t="s">
        <v>196</v>
      </c>
      <c r="D240" s="100" t="s">
        <v>7</v>
      </c>
      <c r="E240" s="100" t="s">
        <v>86</v>
      </c>
      <c r="F240" s="100" t="s">
        <v>107</v>
      </c>
      <c r="G240" s="100" t="s">
        <v>347</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670</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671</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351</v>
      </c>
      <c r="R242" s="100" t="s">
        <v>35</v>
      </c>
    </row>
    <row r="243" spans="1:18" s="101" customFormat="1">
      <c r="A243" s="100" t="str">
        <f>VLOOKUP(C243,classifications!C:F,4,FALSE)</f>
        <v>SD</v>
      </c>
      <c r="B243" s="100" t="s">
        <v>672</v>
      </c>
      <c r="C243" s="100" t="s">
        <v>47</v>
      </c>
      <c r="D243" s="100" t="s">
        <v>111</v>
      </c>
      <c r="E243" s="100" t="s">
        <v>344</v>
      </c>
      <c r="F243" s="100" t="s">
        <v>181</v>
      </c>
      <c r="G243" s="100" t="s">
        <v>64</v>
      </c>
      <c r="H243" s="100" t="s">
        <v>85</v>
      </c>
      <c r="I243" s="100" t="s">
        <v>194</v>
      </c>
      <c r="J243" s="100" t="s">
        <v>14</v>
      </c>
      <c r="K243" s="100" t="s">
        <v>35</v>
      </c>
      <c r="L243" s="100" t="s">
        <v>56</v>
      </c>
      <c r="M243" s="100" t="s">
        <v>172</v>
      </c>
      <c r="N243" s="100" t="s">
        <v>350</v>
      </c>
      <c r="O243" s="100" t="s">
        <v>96</v>
      </c>
      <c r="P243" s="100" t="s">
        <v>174</v>
      </c>
      <c r="Q243" s="100" t="s">
        <v>41</v>
      </c>
      <c r="R243" s="100" t="s">
        <v>351</v>
      </c>
    </row>
    <row r="244" spans="1:18" s="101" customFormat="1">
      <c r="A244" s="100" t="str">
        <f>VLOOKUP(C244,classifications!C:F,4,FALSE)</f>
        <v>SD</v>
      </c>
      <c r="B244" s="100" t="s">
        <v>673</v>
      </c>
      <c r="C244" s="100" t="s">
        <v>56</v>
      </c>
      <c r="D244" s="100" t="s">
        <v>147</v>
      </c>
      <c r="E244" s="100" t="s">
        <v>174</v>
      </c>
      <c r="F244" s="100" t="s">
        <v>136</v>
      </c>
      <c r="G244" s="100" t="s">
        <v>152</v>
      </c>
      <c r="H244" s="100" t="s">
        <v>167</v>
      </c>
      <c r="I244" s="100" t="s">
        <v>55</v>
      </c>
      <c r="J244" s="100" t="s">
        <v>350</v>
      </c>
      <c r="K244" s="100" t="s">
        <v>11</v>
      </c>
      <c r="L244" s="100" t="s">
        <v>64</v>
      </c>
      <c r="M244" s="100" t="s">
        <v>104</v>
      </c>
      <c r="N244" s="100" t="s">
        <v>351</v>
      </c>
      <c r="O244" s="100" t="s">
        <v>178</v>
      </c>
      <c r="P244" s="100" t="s">
        <v>87</v>
      </c>
      <c r="Q244" s="100" t="s">
        <v>160</v>
      </c>
      <c r="R244" s="100" t="s">
        <v>170</v>
      </c>
    </row>
    <row r="245" spans="1:18" s="101" customFormat="1">
      <c r="A245" s="100" t="str">
        <f>VLOOKUP(C245,classifications!C:F,4,FALSE)</f>
        <v>SD</v>
      </c>
      <c r="B245" s="100" t="s">
        <v>674</v>
      </c>
      <c r="C245" s="100" t="s">
        <v>85</v>
      </c>
      <c r="D245" s="100" t="s">
        <v>151</v>
      </c>
      <c r="E245" s="100" t="s">
        <v>170</v>
      </c>
      <c r="F245" s="100" t="s">
        <v>64</v>
      </c>
      <c r="G245" s="100" t="s">
        <v>350</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675</v>
      </c>
      <c r="C246" s="100" t="s">
        <v>111</v>
      </c>
      <c r="D246" s="100" t="s">
        <v>47</v>
      </c>
      <c r="E246" s="100" t="s">
        <v>172</v>
      </c>
      <c r="F246" s="100" t="s">
        <v>64</v>
      </c>
      <c r="G246" s="100" t="s">
        <v>10</v>
      </c>
      <c r="H246" s="100" t="s">
        <v>167</v>
      </c>
      <c r="I246" s="100" t="s">
        <v>19</v>
      </c>
      <c r="J246" s="100" t="s">
        <v>96</v>
      </c>
      <c r="K246" s="100" t="s">
        <v>164</v>
      </c>
      <c r="L246" s="100" t="s">
        <v>85</v>
      </c>
      <c r="M246" s="100" t="s">
        <v>351</v>
      </c>
      <c r="N246" s="100" t="s">
        <v>41</v>
      </c>
      <c r="O246" s="100" t="s">
        <v>158</v>
      </c>
      <c r="P246" s="100" t="s">
        <v>128</v>
      </c>
      <c r="Q246" s="100" t="s">
        <v>181</v>
      </c>
      <c r="R246" s="100" t="s">
        <v>174</v>
      </c>
    </row>
    <row r="247" spans="1:18" s="101" customFormat="1">
      <c r="A247" s="100" t="str">
        <f>VLOOKUP(C247,classifications!C:F,4,FALSE)</f>
        <v>SD</v>
      </c>
      <c r="B247" s="100" t="s">
        <v>676</v>
      </c>
      <c r="C247" s="100" t="s">
        <v>152</v>
      </c>
      <c r="D247" s="100" t="s">
        <v>350</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677</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678</v>
      </c>
      <c r="C249" s="100" t="s">
        <v>170</v>
      </c>
      <c r="D249" s="100" t="s">
        <v>85</v>
      </c>
      <c r="E249" s="100" t="s">
        <v>21</v>
      </c>
      <c r="F249" s="100" t="s">
        <v>163</v>
      </c>
      <c r="G249" s="100" t="s">
        <v>64</v>
      </c>
      <c r="H249" s="100" t="s">
        <v>151</v>
      </c>
      <c r="I249" s="100" t="s">
        <v>136</v>
      </c>
      <c r="J249" s="100" t="s">
        <v>345</v>
      </c>
      <c r="K249" s="100" t="s">
        <v>138</v>
      </c>
      <c r="L249" s="100" t="s">
        <v>178</v>
      </c>
      <c r="M249" s="100" t="s">
        <v>160</v>
      </c>
      <c r="N249" s="100" t="s">
        <v>350</v>
      </c>
      <c r="O249" s="100" t="s">
        <v>55</v>
      </c>
      <c r="P249" s="100" t="s">
        <v>38</v>
      </c>
      <c r="Q249" s="100" t="s">
        <v>56</v>
      </c>
      <c r="R249" s="100" t="s">
        <v>24</v>
      </c>
    </row>
    <row r="250" spans="1:18" s="101" customFormat="1">
      <c r="A250" s="100" t="str">
        <f>VLOOKUP(C250,classifications!C:F,4,FALSE)</f>
        <v>SD</v>
      </c>
      <c r="B250" s="100" t="s">
        <v>679</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680</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681</v>
      </c>
      <c r="C252" s="100" t="s">
        <v>10</v>
      </c>
      <c r="D252" s="100" t="s">
        <v>167</v>
      </c>
      <c r="E252" s="100" t="s">
        <v>351</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682</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683</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684</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347</v>
      </c>
      <c r="P255" s="100" t="s">
        <v>4</v>
      </c>
      <c r="Q255" s="100" t="s">
        <v>128</v>
      </c>
      <c r="R255" s="100" t="s">
        <v>352</v>
      </c>
    </row>
    <row r="256" spans="1:18" s="101" customFormat="1">
      <c r="A256" s="100" t="str">
        <f>VLOOKUP(C256,classifications!C:F,4,FALSE)</f>
        <v>SD</v>
      </c>
      <c r="B256" s="100" t="s">
        <v>685</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348</v>
      </c>
      <c r="O256" s="100" t="s">
        <v>65</v>
      </c>
      <c r="P256" s="100" t="s">
        <v>89</v>
      </c>
      <c r="Q256" s="100" t="s">
        <v>196</v>
      </c>
      <c r="R256" s="100" t="s">
        <v>86</v>
      </c>
    </row>
    <row r="257" spans="1:18" s="101" customFormat="1">
      <c r="A257" s="100" t="str">
        <f>VLOOKUP(C257,classifications!C:F,4,FALSE)</f>
        <v>SD</v>
      </c>
      <c r="B257" s="100" t="s">
        <v>686</v>
      </c>
      <c r="C257" s="100" t="s">
        <v>96</v>
      </c>
      <c r="D257" s="100" t="s">
        <v>41</v>
      </c>
      <c r="E257" s="100" t="s">
        <v>33</v>
      </c>
      <c r="F257" s="100" t="s">
        <v>167</v>
      </c>
      <c r="G257" s="100" t="s">
        <v>81</v>
      </c>
      <c r="H257" s="100" t="s">
        <v>10</v>
      </c>
      <c r="I257" s="100" t="s">
        <v>351</v>
      </c>
      <c r="J257" s="100" t="s">
        <v>154</v>
      </c>
      <c r="K257" s="100" t="s">
        <v>19</v>
      </c>
      <c r="L257" s="100" t="s">
        <v>193</v>
      </c>
      <c r="M257" s="100" t="s">
        <v>104</v>
      </c>
      <c r="N257" s="100" t="s">
        <v>175</v>
      </c>
      <c r="O257" s="100" t="s">
        <v>344</v>
      </c>
      <c r="P257" s="100" t="s">
        <v>94</v>
      </c>
      <c r="Q257" s="100" t="s">
        <v>88</v>
      </c>
      <c r="R257" s="100" t="s">
        <v>35</v>
      </c>
    </row>
    <row r="258" spans="1:18" s="101" customFormat="1">
      <c r="A258" s="100" t="str">
        <f>VLOOKUP(C258,classifications!C:F,4,FALSE)</f>
        <v>SD</v>
      </c>
      <c r="B258" s="100" t="s">
        <v>687</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688</v>
      </c>
      <c r="C259" s="100" t="s">
        <v>137</v>
      </c>
      <c r="D259" s="100" t="s">
        <v>51</v>
      </c>
      <c r="E259" s="100" t="s">
        <v>133</v>
      </c>
      <c r="F259" s="100" t="s">
        <v>177</v>
      </c>
      <c r="G259" s="100" t="s">
        <v>108</v>
      </c>
      <c r="H259" s="100" t="s">
        <v>4</v>
      </c>
      <c r="I259" s="100" t="s">
        <v>169</v>
      </c>
      <c r="J259" s="100" t="s">
        <v>92</v>
      </c>
      <c r="K259" s="100" t="s">
        <v>29</v>
      </c>
      <c r="L259" s="100" t="s">
        <v>352</v>
      </c>
      <c r="M259" s="100" t="s">
        <v>134</v>
      </c>
      <c r="N259" s="100" t="s">
        <v>84</v>
      </c>
      <c r="O259" s="100" t="s">
        <v>161</v>
      </c>
      <c r="P259" s="100" t="s">
        <v>93</v>
      </c>
      <c r="Q259" s="100" t="s">
        <v>76</v>
      </c>
      <c r="R259" s="100" t="s">
        <v>196</v>
      </c>
    </row>
    <row r="260" spans="1:18" s="101" customFormat="1">
      <c r="A260" s="100" t="str">
        <f>VLOOKUP(C260,classifications!C:F,4,FALSE)</f>
        <v>SD</v>
      </c>
      <c r="B260" s="100" t="s">
        <v>689</v>
      </c>
      <c r="C260" s="100" t="s">
        <v>161</v>
      </c>
      <c r="D260" s="100" t="s">
        <v>51</v>
      </c>
      <c r="E260" s="100" t="s">
        <v>134</v>
      </c>
      <c r="F260" s="100" t="s">
        <v>92</v>
      </c>
      <c r="G260" s="100" t="s">
        <v>84</v>
      </c>
      <c r="H260" s="100" t="s">
        <v>91</v>
      </c>
      <c r="I260" s="100" t="s">
        <v>184</v>
      </c>
      <c r="J260" s="100" t="s">
        <v>19</v>
      </c>
      <c r="K260" s="100" t="s">
        <v>65</v>
      </c>
      <c r="L260" s="100" t="s">
        <v>348</v>
      </c>
      <c r="M260" s="100" t="s">
        <v>128</v>
      </c>
      <c r="N260" s="100" t="s">
        <v>137</v>
      </c>
      <c r="O260" s="100" t="s">
        <v>75</v>
      </c>
      <c r="P260" s="100" t="s">
        <v>61</v>
      </c>
      <c r="Q260" s="100" t="s">
        <v>15</v>
      </c>
      <c r="R260" s="100" t="s">
        <v>86</v>
      </c>
    </row>
    <row r="261" spans="1:18" s="101" customFormat="1">
      <c r="A261" s="100" t="str">
        <f>VLOOKUP(C261,classifications!C:F,4,FALSE)</f>
        <v>SD</v>
      </c>
      <c r="B261" s="100" t="s">
        <v>690</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352</v>
      </c>
      <c r="O261" s="100" t="s">
        <v>4</v>
      </c>
      <c r="P261" s="100" t="s">
        <v>60</v>
      </c>
      <c r="Q261" s="100" t="s">
        <v>99</v>
      </c>
      <c r="R261" s="100" t="s">
        <v>75</v>
      </c>
    </row>
    <row r="262" spans="1:18" s="101" customFormat="1">
      <c r="A262" s="100" t="str">
        <f>VLOOKUP(C262,classifications!C:F,4,FALSE)</f>
        <v>SD</v>
      </c>
      <c r="B262" s="100" t="s">
        <v>691</v>
      </c>
      <c r="C262" s="100" t="s">
        <v>351</v>
      </c>
      <c r="D262" s="100" t="s">
        <v>10</v>
      </c>
      <c r="E262" s="100" t="s">
        <v>167</v>
      </c>
      <c r="F262" s="100" t="s">
        <v>174</v>
      </c>
      <c r="G262" s="100" t="s">
        <v>96</v>
      </c>
      <c r="H262" s="100" t="s">
        <v>104</v>
      </c>
      <c r="I262" s="100" t="s">
        <v>55</v>
      </c>
      <c r="J262" s="100" t="s">
        <v>172</v>
      </c>
      <c r="K262" s="100" t="s">
        <v>147</v>
      </c>
      <c r="L262" s="100" t="s">
        <v>19</v>
      </c>
      <c r="M262" s="100" t="s">
        <v>344</v>
      </c>
      <c r="N262" s="100" t="s">
        <v>35</v>
      </c>
      <c r="O262" s="100" t="s">
        <v>158</v>
      </c>
      <c r="P262" s="100" t="s">
        <v>94</v>
      </c>
      <c r="Q262" s="100" t="s">
        <v>87</v>
      </c>
      <c r="R262" s="100" t="s">
        <v>56</v>
      </c>
    </row>
    <row r="263" spans="1:18" s="101" customFormat="1">
      <c r="A263" s="100" t="str">
        <f>VLOOKUP(C263,classifications!C:F,4,FALSE)</f>
        <v>SD</v>
      </c>
      <c r="B263" s="100" t="s">
        <v>692</v>
      </c>
      <c r="C263" s="100" t="s">
        <v>172</v>
      </c>
      <c r="D263" s="100" t="s">
        <v>111</v>
      </c>
      <c r="E263" s="100" t="s">
        <v>104</v>
      </c>
      <c r="F263" s="100" t="s">
        <v>351</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693</v>
      </c>
      <c r="C264" s="100" t="s">
        <v>26</v>
      </c>
      <c r="D264" s="100" t="s">
        <v>89</v>
      </c>
      <c r="E264" s="100" t="s">
        <v>119</v>
      </c>
      <c r="F264" s="100" t="s">
        <v>99</v>
      </c>
      <c r="G264" s="100" t="s">
        <v>28</v>
      </c>
      <c r="H264" s="100" t="s">
        <v>348</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694</v>
      </c>
      <c r="C265" s="100" t="s">
        <v>39</v>
      </c>
      <c r="D265" s="100" t="s">
        <v>86</v>
      </c>
      <c r="E265" s="100" t="s">
        <v>150</v>
      </c>
      <c r="F265" s="100" t="s">
        <v>91</v>
      </c>
      <c r="G265" s="100" t="s">
        <v>94</v>
      </c>
      <c r="H265" s="100" t="s">
        <v>346</v>
      </c>
      <c r="I265" s="100" t="s">
        <v>107</v>
      </c>
      <c r="J265" s="100" t="s">
        <v>114</v>
      </c>
      <c r="K265" s="100" t="s">
        <v>347</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695</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352</v>
      </c>
      <c r="R266" s="100" t="s">
        <v>53</v>
      </c>
    </row>
    <row r="267" spans="1:18" s="101" customFormat="1">
      <c r="A267" s="100" t="str">
        <f>VLOOKUP(C267,classifications!C:F,4,FALSE)</f>
        <v>SD</v>
      </c>
      <c r="B267" s="100" t="s">
        <v>696</v>
      </c>
      <c r="C267" s="100" t="s">
        <v>89</v>
      </c>
      <c r="D267" s="100" t="s">
        <v>26</v>
      </c>
      <c r="E267" s="100" t="s">
        <v>119</v>
      </c>
      <c r="F267" s="100" t="s">
        <v>348</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697</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352</v>
      </c>
      <c r="Q268" s="100" t="s">
        <v>107</v>
      </c>
      <c r="R268" s="100" t="s">
        <v>72</v>
      </c>
    </row>
    <row r="269" spans="1:18" s="101" customFormat="1">
      <c r="A269" s="100" t="str">
        <f>VLOOKUP(C269,classifications!C:F,4,FALSE)</f>
        <v>SD</v>
      </c>
      <c r="B269" s="100" t="s">
        <v>698</v>
      </c>
      <c r="C269" s="100" t="s">
        <v>119</v>
      </c>
      <c r="D269" s="100" t="s">
        <v>89</v>
      </c>
      <c r="E269" s="100" t="s">
        <v>26</v>
      </c>
      <c r="F269" s="100" t="s">
        <v>348</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699</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700</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701</v>
      </c>
      <c r="C272" s="100" t="s">
        <v>126</v>
      </c>
      <c r="D272" s="100" t="s">
        <v>28</v>
      </c>
      <c r="E272" s="100" t="s">
        <v>184</v>
      </c>
      <c r="F272" s="100" t="s">
        <v>89</v>
      </c>
      <c r="G272" s="100" t="s">
        <v>91</v>
      </c>
      <c r="H272" s="100" t="s">
        <v>99</v>
      </c>
      <c r="I272" s="100" t="s">
        <v>348</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702</v>
      </c>
      <c r="C273" s="100" t="s">
        <v>148</v>
      </c>
      <c r="D273" s="100" t="s">
        <v>346</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703</v>
      </c>
      <c r="C274" s="100" t="s">
        <v>184</v>
      </c>
      <c r="D274" s="100" t="s">
        <v>15</v>
      </c>
      <c r="E274" s="100" t="s">
        <v>347</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348</v>
      </c>
    </row>
    <row r="275" spans="1:18" s="101" customFormat="1">
      <c r="A275" s="100" t="str">
        <f>VLOOKUP(C275,classifications!C:F,4,FALSE)</f>
        <v>SD</v>
      </c>
      <c r="B275" s="100" t="s">
        <v>704</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705</v>
      </c>
      <c r="C276" s="100" t="s">
        <v>16</v>
      </c>
      <c r="D276" s="100" t="s">
        <v>148</v>
      </c>
      <c r="E276" s="100" t="s">
        <v>346</v>
      </c>
      <c r="F276" s="100" t="s">
        <v>72</v>
      </c>
      <c r="G276" s="100" t="s">
        <v>130</v>
      </c>
      <c r="H276" s="100" t="s">
        <v>25</v>
      </c>
      <c r="I276" s="100" t="s">
        <v>31</v>
      </c>
      <c r="J276" s="100" t="s">
        <v>143</v>
      </c>
      <c r="K276" s="100" t="s">
        <v>112</v>
      </c>
      <c r="L276" s="100" t="s">
        <v>94</v>
      </c>
      <c r="M276" s="100" t="s">
        <v>155</v>
      </c>
      <c r="N276" s="100" t="s">
        <v>135</v>
      </c>
      <c r="O276" s="100" t="s">
        <v>349</v>
      </c>
      <c r="P276" s="100" t="s">
        <v>7</v>
      </c>
      <c r="Q276" s="100" t="s">
        <v>140</v>
      </c>
      <c r="R276" s="100" t="s">
        <v>168</v>
      </c>
    </row>
    <row r="277" spans="1:18" s="101" customFormat="1">
      <c r="A277" s="100" t="str">
        <f>VLOOKUP(C277,classifications!C:F,4,FALSE)</f>
        <v>SD</v>
      </c>
      <c r="B277" s="100" t="s">
        <v>706</v>
      </c>
      <c r="C277" s="100" t="s">
        <v>32</v>
      </c>
      <c r="D277" s="100" t="s">
        <v>41</v>
      </c>
      <c r="E277" s="100" t="s">
        <v>25</v>
      </c>
      <c r="F277" s="100" t="s">
        <v>154</v>
      </c>
      <c r="G277" s="100" t="s">
        <v>88</v>
      </c>
      <c r="H277" s="100" t="s">
        <v>96</v>
      </c>
      <c r="I277" s="100" t="s">
        <v>72</v>
      </c>
      <c r="J277" s="100" t="s">
        <v>107</v>
      </c>
      <c r="K277" s="100" t="s">
        <v>143</v>
      </c>
      <c r="L277" s="100" t="s">
        <v>346</v>
      </c>
      <c r="M277" s="100" t="s">
        <v>148</v>
      </c>
      <c r="N277" s="100" t="s">
        <v>175</v>
      </c>
      <c r="O277" s="100" t="s">
        <v>33</v>
      </c>
      <c r="P277" s="100" t="s">
        <v>39</v>
      </c>
      <c r="Q277" s="100" t="s">
        <v>19</v>
      </c>
      <c r="R277" s="100" t="s">
        <v>128</v>
      </c>
    </row>
    <row r="278" spans="1:18" s="101" customFormat="1">
      <c r="A278" s="100" t="str">
        <f>VLOOKUP(C278,classifications!C:F,4,FALSE)</f>
        <v>SD</v>
      </c>
      <c r="B278" s="100" t="s">
        <v>707</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708</v>
      </c>
      <c r="C279" s="100" t="s">
        <v>346</v>
      </c>
      <c r="D279" s="100" t="s">
        <v>148</v>
      </c>
      <c r="E279" s="100" t="s">
        <v>155</v>
      </c>
      <c r="F279" s="100" t="s">
        <v>7</v>
      </c>
      <c r="G279" s="100" t="s">
        <v>72</v>
      </c>
      <c r="H279" s="100" t="s">
        <v>94</v>
      </c>
      <c r="I279" s="100" t="s">
        <v>150</v>
      </c>
      <c r="J279" s="100" t="s">
        <v>86</v>
      </c>
      <c r="K279" s="100" t="s">
        <v>143</v>
      </c>
      <c r="L279" s="100" t="s">
        <v>154</v>
      </c>
      <c r="M279" s="100" t="s">
        <v>16</v>
      </c>
      <c r="N279" s="100" t="s">
        <v>347</v>
      </c>
      <c r="O279" s="100" t="s">
        <v>25</v>
      </c>
      <c r="P279" s="100" t="s">
        <v>22</v>
      </c>
      <c r="Q279" s="100" t="s">
        <v>39</v>
      </c>
      <c r="R279" s="100" t="s">
        <v>140</v>
      </c>
    </row>
    <row r="280" spans="1:18" s="101" customFormat="1">
      <c r="A280" s="100" t="str">
        <f>VLOOKUP(C280,classifications!C:F,4,FALSE)</f>
        <v>SD</v>
      </c>
      <c r="B280" s="100" t="s">
        <v>709</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710</v>
      </c>
      <c r="C281" s="100" t="s">
        <v>115</v>
      </c>
      <c r="D281" s="100" t="s">
        <v>59</v>
      </c>
      <c r="E281" s="100" t="s">
        <v>114</v>
      </c>
      <c r="F281" s="100" t="s">
        <v>347</v>
      </c>
      <c r="G281" s="100" t="s">
        <v>153</v>
      </c>
      <c r="H281" s="100" t="s">
        <v>143</v>
      </c>
      <c r="I281" s="100" t="s">
        <v>128</v>
      </c>
      <c r="J281" s="100" t="s">
        <v>86</v>
      </c>
      <c r="K281" s="100" t="s">
        <v>39</v>
      </c>
      <c r="L281" s="100" t="s">
        <v>94</v>
      </c>
      <c r="M281" s="100" t="s">
        <v>7</v>
      </c>
      <c r="N281" s="100" t="s">
        <v>91</v>
      </c>
      <c r="O281" s="100" t="s">
        <v>135</v>
      </c>
      <c r="P281" s="100" t="s">
        <v>346</v>
      </c>
      <c r="Q281" s="100" t="s">
        <v>15</v>
      </c>
      <c r="R281" s="100" t="s">
        <v>154</v>
      </c>
    </row>
    <row r="282" spans="1:18" s="101" customFormat="1">
      <c r="A282" s="100" t="str">
        <f>VLOOKUP(C282,classifications!C:F,4,FALSE)</f>
        <v>SD</v>
      </c>
      <c r="B282" s="100" t="s">
        <v>711</v>
      </c>
      <c r="C282" s="100" t="s">
        <v>349</v>
      </c>
      <c r="D282" s="100" t="s">
        <v>16</v>
      </c>
      <c r="E282" s="100" t="s">
        <v>72</v>
      </c>
      <c r="F282" s="100" t="s">
        <v>25</v>
      </c>
      <c r="G282" s="100" t="s">
        <v>31</v>
      </c>
      <c r="H282" s="100" t="s">
        <v>148</v>
      </c>
      <c r="I282" s="100" t="s">
        <v>91</v>
      </c>
      <c r="J282" s="100" t="s">
        <v>346</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712</v>
      </c>
      <c r="C283" s="100" t="s">
        <v>18</v>
      </c>
      <c r="D283" s="100" t="s">
        <v>68</v>
      </c>
      <c r="E283" s="100" t="s">
        <v>42</v>
      </c>
      <c r="F283" s="100" t="s">
        <v>110</v>
      </c>
      <c r="G283" s="100" t="s">
        <v>15</v>
      </c>
      <c r="H283" s="100" t="s">
        <v>30</v>
      </c>
      <c r="I283" s="100" t="s">
        <v>142</v>
      </c>
      <c r="J283" s="100" t="s">
        <v>347</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713</v>
      </c>
      <c r="C284" s="100" t="s">
        <v>57</v>
      </c>
      <c r="D284" s="100" t="s">
        <v>379</v>
      </c>
      <c r="E284" s="100" t="s">
        <v>20</v>
      </c>
      <c r="F284" s="100" t="s">
        <v>142</v>
      </c>
      <c r="G284" s="100" t="s">
        <v>149</v>
      </c>
      <c r="H284" s="100" t="s">
        <v>145</v>
      </c>
      <c r="I284" s="100" t="s">
        <v>22</v>
      </c>
      <c r="J284" s="100" t="s">
        <v>112</v>
      </c>
      <c r="K284" s="100" t="s">
        <v>347</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714</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715</v>
      </c>
      <c r="C286" s="100" t="s">
        <v>112</v>
      </c>
      <c r="D286" s="100" t="s">
        <v>145</v>
      </c>
      <c r="E286" s="100" t="s">
        <v>142</v>
      </c>
      <c r="F286" s="100" t="s">
        <v>70</v>
      </c>
      <c r="G286" s="100" t="s">
        <v>103</v>
      </c>
      <c r="H286" s="100" t="s">
        <v>12</v>
      </c>
      <c r="I286" s="100" t="s">
        <v>20</v>
      </c>
      <c r="J286" s="100" t="s">
        <v>155</v>
      </c>
      <c r="K286" s="100" t="s">
        <v>22</v>
      </c>
      <c r="L286" s="100" t="s">
        <v>346</v>
      </c>
      <c r="M286" s="100" t="s">
        <v>143</v>
      </c>
      <c r="N286" s="100" t="s">
        <v>185</v>
      </c>
      <c r="O286" s="100" t="s">
        <v>100</v>
      </c>
      <c r="P286" s="100" t="s">
        <v>52</v>
      </c>
      <c r="Q286" s="100" t="s">
        <v>135</v>
      </c>
      <c r="R286" s="100" t="s">
        <v>102</v>
      </c>
    </row>
    <row r="287" spans="1:18" s="101" customFormat="1">
      <c r="A287" s="100" t="str">
        <f>VLOOKUP(C287,classifications!C:F,4,FALSE)</f>
        <v>SD</v>
      </c>
      <c r="B287" s="100" t="s">
        <v>716</v>
      </c>
      <c r="C287" s="100" t="s">
        <v>142</v>
      </c>
      <c r="D287" s="100" t="s">
        <v>20</v>
      </c>
      <c r="E287" s="100" t="s">
        <v>112</v>
      </c>
      <c r="F287" s="100" t="s">
        <v>70</v>
      </c>
      <c r="G287" s="100" t="s">
        <v>185</v>
      </c>
      <c r="H287" s="100" t="s">
        <v>57</v>
      </c>
      <c r="I287" s="100" t="s">
        <v>379</v>
      </c>
      <c r="J287" s="100" t="s">
        <v>145</v>
      </c>
      <c r="K287" s="100" t="s">
        <v>12</v>
      </c>
      <c r="L287" s="100" t="s">
        <v>347</v>
      </c>
      <c r="M287" s="100" t="s">
        <v>102</v>
      </c>
      <c r="N287" s="100" t="s">
        <v>155</v>
      </c>
      <c r="O287" s="100" t="s">
        <v>18</v>
      </c>
      <c r="P287" s="100" t="s">
        <v>100</v>
      </c>
      <c r="Q287" s="100" t="s">
        <v>7</v>
      </c>
      <c r="R287" s="100" t="s">
        <v>22</v>
      </c>
    </row>
    <row r="288" spans="1:18" s="101" customFormat="1">
      <c r="A288" s="100" t="str">
        <f>VLOOKUP(C288,classifications!C:F,4,FALSE)</f>
        <v>SD</v>
      </c>
      <c r="B288" s="100" t="s">
        <v>717</v>
      </c>
      <c r="C288" s="100" t="s">
        <v>143</v>
      </c>
      <c r="D288" s="100" t="s">
        <v>347</v>
      </c>
      <c r="E288" s="100" t="s">
        <v>153</v>
      </c>
      <c r="F288" s="100" t="s">
        <v>7</v>
      </c>
      <c r="G288" s="100" t="s">
        <v>19</v>
      </c>
      <c r="H288" s="100" t="s">
        <v>346</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718</v>
      </c>
      <c r="C289" s="100" t="s">
        <v>185</v>
      </c>
      <c r="D289" s="100" t="s">
        <v>70</v>
      </c>
      <c r="E289" s="100" t="s">
        <v>347</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719</v>
      </c>
      <c r="C290" s="100" t="s">
        <v>20</v>
      </c>
      <c r="D290" s="100" t="s">
        <v>379</v>
      </c>
      <c r="E290" s="100" t="s">
        <v>57</v>
      </c>
      <c r="F290" s="100" t="s">
        <v>142</v>
      </c>
      <c r="G290" s="100" t="s">
        <v>347</v>
      </c>
      <c r="H290" s="100" t="s">
        <v>143</v>
      </c>
      <c r="I290" s="100" t="s">
        <v>112</v>
      </c>
      <c r="J290" s="100" t="s">
        <v>149</v>
      </c>
      <c r="K290" s="100" t="s">
        <v>7</v>
      </c>
      <c r="L290" s="100" t="s">
        <v>70</v>
      </c>
      <c r="M290" s="100" t="s">
        <v>145</v>
      </c>
      <c r="N290" s="100" t="s">
        <v>153</v>
      </c>
      <c r="O290" s="100" t="s">
        <v>185</v>
      </c>
      <c r="P290" s="100" t="s">
        <v>22</v>
      </c>
      <c r="Q290" s="100" t="s">
        <v>101</v>
      </c>
      <c r="R290" s="100" t="s">
        <v>346</v>
      </c>
    </row>
    <row r="291" spans="1:18" s="101" customFormat="1">
      <c r="A291" s="100" t="str">
        <f>VLOOKUP(C291,classifications!C:F,4,FALSE)</f>
        <v>SD</v>
      </c>
      <c r="B291" s="100" t="s">
        <v>720</v>
      </c>
      <c r="C291" s="100" t="s">
        <v>22</v>
      </c>
      <c r="D291" s="100" t="s">
        <v>155</v>
      </c>
      <c r="E291" s="100" t="s">
        <v>346</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721</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722</v>
      </c>
      <c r="C293" s="102" t="s">
        <v>379</v>
      </c>
      <c r="D293" s="100" t="s">
        <v>20</v>
      </c>
      <c r="E293" s="100" t="s">
        <v>57</v>
      </c>
      <c r="F293" s="100" t="s">
        <v>149</v>
      </c>
      <c r="G293" s="100" t="s">
        <v>142</v>
      </c>
      <c r="H293" s="100" t="s">
        <v>347</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723</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379</v>
      </c>
      <c r="R294" s="100" t="s">
        <v>142</v>
      </c>
    </row>
    <row r="295" spans="1:18" s="101" customFormat="1">
      <c r="A295" s="100" t="str">
        <f>VLOOKUP(C295,classifications!C:F,4,FALSE)</f>
        <v>SD</v>
      </c>
      <c r="B295" s="100" t="s">
        <v>724</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725</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726</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727</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728</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729</v>
      </c>
      <c r="C300" s="100" t="s">
        <v>133</v>
      </c>
      <c r="D300" s="100" t="s">
        <v>137</v>
      </c>
      <c r="E300" s="100" t="s">
        <v>51</v>
      </c>
      <c r="F300" s="100" t="s">
        <v>177</v>
      </c>
      <c r="G300" s="100" t="s">
        <v>108</v>
      </c>
      <c r="H300" s="100" t="s">
        <v>352</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730</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731</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732</v>
      </c>
      <c r="C303" s="100" t="s">
        <v>135</v>
      </c>
      <c r="D303" s="100" t="s">
        <v>49</v>
      </c>
      <c r="E303" s="100" t="s">
        <v>70</v>
      </c>
      <c r="F303" s="100" t="s">
        <v>100</v>
      </c>
      <c r="G303" s="100" t="s">
        <v>114</v>
      </c>
      <c r="H303" s="100" t="s">
        <v>140</v>
      </c>
      <c r="I303" s="100" t="s">
        <v>12</v>
      </c>
      <c r="J303" s="100" t="s">
        <v>58</v>
      </c>
      <c r="K303" s="100" t="s">
        <v>347</v>
      </c>
      <c r="L303" s="100" t="s">
        <v>101</v>
      </c>
      <c r="M303" s="100" t="s">
        <v>94</v>
      </c>
      <c r="N303" s="100" t="s">
        <v>86</v>
      </c>
      <c r="O303" s="100" t="s">
        <v>346</v>
      </c>
      <c r="P303" s="100" t="s">
        <v>143</v>
      </c>
      <c r="Q303" s="100" t="s">
        <v>103</v>
      </c>
      <c r="R303" s="100" t="s">
        <v>153</v>
      </c>
    </row>
    <row r="304" spans="1:18" s="101" customFormat="1">
      <c r="A304" s="100" t="str">
        <f>VLOOKUP(C304,classifications!C:F,4,FALSE)</f>
        <v>SD</v>
      </c>
      <c r="B304" s="100" t="s">
        <v>733</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734</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735</v>
      </c>
      <c r="C306" s="100" t="s">
        <v>58</v>
      </c>
      <c r="D306" s="100" t="s">
        <v>140</v>
      </c>
      <c r="E306" s="100" t="s">
        <v>91</v>
      </c>
      <c r="F306" s="100" t="s">
        <v>128</v>
      </c>
      <c r="G306" s="100" t="s">
        <v>86</v>
      </c>
      <c r="H306" s="100" t="s">
        <v>135</v>
      </c>
      <c r="I306" s="100" t="s">
        <v>347</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736</v>
      </c>
      <c r="C307" s="100" t="s">
        <v>91</v>
      </c>
      <c r="D307" s="100" t="s">
        <v>128</v>
      </c>
      <c r="E307" s="100" t="s">
        <v>86</v>
      </c>
      <c r="F307" s="100" t="s">
        <v>65</v>
      </c>
      <c r="G307" s="100" t="s">
        <v>58</v>
      </c>
      <c r="H307" s="100" t="s">
        <v>39</v>
      </c>
      <c r="I307" s="100" t="s">
        <v>59</v>
      </c>
      <c r="J307" s="100" t="s">
        <v>347</v>
      </c>
      <c r="K307" s="100" t="s">
        <v>7</v>
      </c>
      <c r="L307" s="100" t="s">
        <v>180</v>
      </c>
      <c r="M307" s="100" t="s">
        <v>348</v>
      </c>
      <c r="N307" s="100" t="s">
        <v>114</v>
      </c>
      <c r="O307" s="100" t="s">
        <v>196</v>
      </c>
      <c r="P307" s="100" t="s">
        <v>148</v>
      </c>
      <c r="Q307" s="100" t="s">
        <v>346</v>
      </c>
      <c r="R307" s="100" t="s">
        <v>72</v>
      </c>
    </row>
    <row r="308" spans="1:18" s="101" customFormat="1">
      <c r="A308" s="100" t="str">
        <f>VLOOKUP(C308,classifications!C:F,4,FALSE)</f>
        <v>SD</v>
      </c>
      <c r="B308" s="100" t="s">
        <v>737</v>
      </c>
      <c r="C308" s="100" t="s">
        <v>116</v>
      </c>
      <c r="D308" s="100" t="s">
        <v>14</v>
      </c>
      <c r="E308" s="100" t="s">
        <v>41</v>
      </c>
      <c r="F308" s="100" t="s">
        <v>73</v>
      </c>
      <c r="G308" s="100" t="s">
        <v>120</v>
      </c>
      <c r="H308" s="100" t="s">
        <v>90</v>
      </c>
      <c r="I308" s="100" t="s">
        <v>344</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738</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739</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347</v>
      </c>
      <c r="R310" s="100" t="s">
        <v>153</v>
      </c>
    </row>
    <row r="311" spans="1:18" s="101" customFormat="1">
      <c r="A311" s="100" t="str">
        <f>VLOOKUP(C311,classifications!C:F,4,FALSE)</f>
        <v>SD</v>
      </c>
      <c r="B311" s="100" t="s">
        <v>740</v>
      </c>
      <c r="C311" s="100" t="s">
        <v>9</v>
      </c>
      <c r="D311" s="100" t="s">
        <v>348</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741</v>
      </c>
      <c r="C312" s="100" t="s">
        <v>15</v>
      </c>
      <c r="D312" s="100" t="s">
        <v>347</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742</v>
      </c>
      <c r="C313" s="100" t="s">
        <v>25</v>
      </c>
      <c r="D313" s="100" t="s">
        <v>72</v>
      </c>
      <c r="E313" s="100" t="s">
        <v>148</v>
      </c>
      <c r="F313" s="100" t="s">
        <v>346</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743</v>
      </c>
      <c r="C314" s="100" t="s">
        <v>72</v>
      </c>
      <c r="D314" s="100" t="s">
        <v>25</v>
      </c>
      <c r="E314" s="100" t="s">
        <v>148</v>
      </c>
      <c r="F314" s="100" t="s">
        <v>346</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744</v>
      </c>
      <c r="C315" s="100" t="s">
        <v>99</v>
      </c>
      <c r="D315" s="100" t="s">
        <v>28</v>
      </c>
      <c r="E315" s="100" t="s">
        <v>9</v>
      </c>
      <c r="F315" s="100" t="s">
        <v>42</v>
      </c>
      <c r="G315" s="100" t="s">
        <v>36</v>
      </c>
      <c r="H315" s="100" t="s">
        <v>17</v>
      </c>
      <c r="I315" s="100" t="s">
        <v>15</v>
      </c>
      <c r="J315" s="100" t="s">
        <v>348</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745</v>
      </c>
      <c r="C316" s="100" t="s">
        <v>347</v>
      </c>
      <c r="D316" s="100" t="s">
        <v>143</v>
      </c>
      <c r="E316" s="100" t="s">
        <v>7</v>
      </c>
      <c r="F316" s="100" t="s">
        <v>86</v>
      </c>
      <c r="G316" s="100" t="s">
        <v>15</v>
      </c>
      <c r="H316" s="100" t="s">
        <v>153</v>
      </c>
      <c r="I316" s="100" t="s">
        <v>101</v>
      </c>
      <c r="J316" s="100" t="s">
        <v>115</v>
      </c>
      <c r="K316" s="100" t="s">
        <v>196</v>
      </c>
      <c r="L316" s="100" t="s">
        <v>114</v>
      </c>
      <c r="M316" s="100" t="s">
        <v>19</v>
      </c>
      <c r="N316" s="100" t="s">
        <v>346</v>
      </c>
      <c r="O316" s="100" t="s">
        <v>184</v>
      </c>
      <c r="P316" s="100" t="s">
        <v>91</v>
      </c>
      <c r="Q316" s="100" t="s">
        <v>150</v>
      </c>
      <c r="R316" s="100" t="s">
        <v>107</v>
      </c>
    </row>
    <row r="317" spans="1:18" s="101" customFormat="1">
      <c r="A317" s="100" t="str">
        <f>VLOOKUP(C317,classifications!C:F,4,FALSE)</f>
        <v>SD</v>
      </c>
      <c r="B317" s="100" t="s">
        <v>746</v>
      </c>
      <c r="C317" s="100" t="s">
        <v>130</v>
      </c>
      <c r="D317" s="100" t="s">
        <v>168</v>
      </c>
      <c r="E317" s="100" t="s">
        <v>79</v>
      </c>
      <c r="F317" s="100" t="s">
        <v>94</v>
      </c>
      <c r="G317" s="100" t="s">
        <v>158</v>
      </c>
      <c r="H317" s="100" t="s">
        <v>123</v>
      </c>
      <c r="I317" s="100" t="s">
        <v>16</v>
      </c>
      <c r="J317" s="100" t="s">
        <v>55</v>
      </c>
      <c r="K317" s="100" t="s">
        <v>167</v>
      </c>
      <c r="L317" s="100" t="s">
        <v>148</v>
      </c>
      <c r="M317" s="100" t="s">
        <v>346</v>
      </c>
      <c r="N317" s="100" t="s">
        <v>97</v>
      </c>
      <c r="O317" s="100" t="s">
        <v>12</v>
      </c>
      <c r="P317" s="100" t="s">
        <v>193</v>
      </c>
      <c r="Q317" s="100" t="s">
        <v>146</v>
      </c>
      <c r="R317" s="100" t="s">
        <v>154</v>
      </c>
    </row>
    <row r="318" spans="1:18" s="101" customFormat="1">
      <c r="A318" s="100" t="str">
        <f>VLOOKUP(C318,classifications!C:F,4,FALSE)</f>
        <v>SD</v>
      </c>
      <c r="B318" s="100" t="s">
        <v>747</v>
      </c>
      <c r="C318" s="100" t="s">
        <v>35</v>
      </c>
      <c r="D318" s="100" t="s">
        <v>88</v>
      </c>
      <c r="E318" s="100" t="s">
        <v>344</v>
      </c>
      <c r="F318" s="100" t="s">
        <v>174</v>
      </c>
      <c r="G318" s="100" t="s">
        <v>167</v>
      </c>
      <c r="H318" s="100" t="s">
        <v>10</v>
      </c>
      <c r="I318" s="100" t="s">
        <v>33</v>
      </c>
      <c r="J318" s="100" t="s">
        <v>96</v>
      </c>
      <c r="K318" s="100" t="s">
        <v>41</v>
      </c>
      <c r="L318" s="100" t="s">
        <v>351</v>
      </c>
      <c r="M318" s="100" t="s">
        <v>11</v>
      </c>
      <c r="N318" s="100" t="s">
        <v>147</v>
      </c>
      <c r="O318" s="100" t="s">
        <v>56</v>
      </c>
      <c r="P318" s="100" t="s">
        <v>19</v>
      </c>
      <c r="Q318" s="100" t="s">
        <v>61</v>
      </c>
      <c r="R318" s="100" t="s">
        <v>81</v>
      </c>
    </row>
    <row r="319" spans="1:18" s="101" customFormat="1">
      <c r="A319" s="100" t="str">
        <f>VLOOKUP(C319,classifications!C:F,4,FALSE)</f>
        <v>SD</v>
      </c>
      <c r="B319" s="100" t="s">
        <v>748</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749</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351</v>
      </c>
      <c r="P320" s="100" t="s">
        <v>10</v>
      </c>
      <c r="Q320" s="100" t="s">
        <v>350</v>
      </c>
      <c r="R320" s="100" t="s">
        <v>189</v>
      </c>
    </row>
    <row r="321" spans="1:18" s="101" customFormat="1">
      <c r="A321" s="100" t="str">
        <f>VLOOKUP(C321,classifications!C:F,4,FALSE)</f>
        <v>SD</v>
      </c>
      <c r="B321" s="100" t="s">
        <v>750</v>
      </c>
      <c r="C321" s="100" t="s">
        <v>174</v>
      </c>
      <c r="D321" s="100" t="s">
        <v>147</v>
      </c>
      <c r="E321" s="100" t="s">
        <v>167</v>
      </c>
      <c r="F321" s="100" t="s">
        <v>56</v>
      </c>
      <c r="G321" s="100" t="s">
        <v>186</v>
      </c>
      <c r="H321" s="100" t="s">
        <v>55</v>
      </c>
      <c r="I321" s="100" t="s">
        <v>104</v>
      </c>
      <c r="J321" s="100" t="s">
        <v>136</v>
      </c>
      <c r="K321" s="100" t="s">
        <v>351</v>
      </c>
      <c r="L321" s="100" t="s">
        <v>35</v>
      </c>
      <c r="M321" s="100" t="s">
        <v>10</v>
      </c>
      <c r="N321" s="100" t="s">
        <v>139</v>
      </c>
      <c r="O321" s="100" t="s">
        <v>81</v>
      </c>
      <c r="P321" s="100" t="s">
        <v>157</v>
      </c>
      <c r="Q321" s="100" t="s">
        <v>87</v>
      </c>
      <c r="R321" s="100" t="s">
        <v>344</v>
      </c>
    </row>
    <row r="322" spans="1:18" s="101" customFormat="1">
      <c r="A322" s="100" t="str">
        <f>VLOOKUP(C322,classifications!C:F,4,FALSE)</f>
        <v>SD</v>
      </c>
      <c r="B322" s="100" t="s">
        <v>751</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752</v>
      </c>
      <c r="C323" s="100" t="s">
        <v>101</v>
      </c>
      <c r="D323" s="100" t="s">
        <v>158</v>
      </c>
      <c r="E323" s="100" t="s">
        <v>12</v>
      </c>
      <c r="F323" s="100" t="s">
        <v>347</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753</v>
      </c>
      <c r="C324" s="100" t="s">
        <v>134</v>
      </c>
      <c r="D324" s="100" t="s">
        <v>108</v>
      </c>
      <c r="E324" s="100" t="s">
        <v>51</v>
      </c>
      <c r="F324" s="100" t="s">
        <v>165</v>
      </c>
      <c r="G324" s="100" t="s">
        <v>84</v>
      </c>
      <c r="H324" s="100" t="s">
        <v>101</v>
      </c>
      <c r="I324" s="100" t="s">
        <v>347</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754</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347</v>
      </c>
      <c r="Q325" s="100" t="s">
        <v>128</v>
      </c>
      <c r="R325" s="100" t="s">
        <v>86</v>
      </c>
    </row>
    <row r="326" spans="1:18" s="101" customFormat="1">
      <c r="A326" s="100" t="str">
        <f>VLOOKUP(C326,classifications!C:F,4,FALSE)</f>
        <v>SD</v>
      </c>
      <c r="B326" s="100" t="s">
        <v>755</v>
      </c>
      <c r="C326" s="100" t="s">
        <v>149</v>
      </c>
      <c r="D326" s="100" t="s">
        <v>143</v>
      </c>
      <c r="E326" s="100" t="s">
        <v>158</v>
      </c>
      <c r="F326" s="100" t="s">
        <v>379</v>
      </c>
      <c r="G326" s="100" t="s">
        <v>193</v>
      </c>
      <c r="H326" s="100" t="s">
        <v>101</v>
      </c>
      <c r="I326" s="100" t="s">
        <v>145</v>
      </c>
      <c r="J326" s="100" t="s">
        <v>20</v>
      </c>
      <c r="K326" s="100" t="s">
        <v>164</v>
      </c>
      <c r="L326" s="100" t="s">
        <v>19</v>
      </c>
      <c r="M326" s="100" t="s">
        <v>153</v>
      </c>
      <c r="N326" s="100" t="s">
        <v>347</v>
      </c>
      <c r="O326" s="100" t="s">
        <v>154</v>
      </c>
      <c r="P326" s="100" t="s">
        <v>12</v>
      </c>
      <c r="Q326" s="100" t="s">
        <v>7</v>
      </c>
      <c r="R326" s="100" t="s">
        <v>57</v>
      </c>
    </row>
    <row r="327" spans="1:18" s="101" customFormat="1">
      <c r="A327" s="100" t="str">
        <f>VLOOKUP(C327,classifications!C:F,4,FALSE)</f>
        <v>SD</v>
      </c>
      <c r="B327" s="100" t="s">
        <v>756</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757</v>
      </c>
      <c r="C328" s="100" t="s">
        <v>28</v>
      </c>
      <c r="D328" s="100" t="s">
        <v>99</v>
      </c>
      <c r="E328" s="100" t="s">
        <v>348</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758</v>
      </c>
      <c r="C329" s="100" t="s">
        <v>59</v>
      </c>
      <c r="D329" s="100" t="s">
        <v>115</v>
      </c>
      <c r="E329" s="100" t="s">
        <v>128</v>
      </c>
      <c r="F329" s="100" t="s">
        <v>91</v>
      </c>
      <c r="G329" s="100" t="s">
        <v>143</v>
      </c>
      <c r="H329" s="100" t="s">
        <v>347</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759</v>
      </c>
      <c r="C330" s="100" t="s">
        <v>94</v>
      </c>
      <c r="D330" s="100" t="s">
        <v>150</v>
      </c>
      <c r="E330" s="100" t="s">
        <v>86</v>
      </c>
      <c r="F330" s="100" t="s">
        <v>154</v>
      </c>
      <c r="G330" s="100" t="s">
        <v>346</v>
      </c>
      <c r="H330" s="100" t="s">
        <v>158</v>
      </c>
      <c r="I330" s="100" t="s">
        <v>193</v>
      </c>
      <c r="J330" s="100" t="s">
        <v>128</v>
      </c>
      <c r="K330" s="100" t="s">
        <v>168</v>
      </c>
      <c r="L330" s="100" t="s">
        <v>39</v>
      </c>
      <c r="M330" s="100" t="s">
        <v>347</v>
      </c>
      <c r="N330" s="100" t="s">
        <v>153</v>
      </c>
      <c r="O330" s="100" t="s">
        <v>97</v>
      </c>
      <c r="P330" s="100" t="s">
        <v>135</v>
      </c>
      <c r="Q330" s="100" t="s">
        <v>148</v>
      </c>
      <c r="R330" s="100" t="s">
        <v>114</v>
      </c>
    </row>
    <row r="331" spans="1:18" s="101" customFormat="1">
      <c r="A331" s="100" t="str">
        <f>VLOOKUP(C331,classifications!C:F,4,FALSE)</f>
        <v>SD</v>
      </c>
      <c r="B331" s="100" t="s">
        <v>760</v>
      </c>
      <c r="C331" s="100" t="s">
        <v>107</v>
      </c>
      <c r="D331" s="100" t="s">
        <v>196</v>
      </c>
      <c r="E331" s="100" t="s">
        <v>15</v>
      </c>
      <c r="F331" s="100" t="s">
        <v>7</v>
      </c>
      <c r="G331" s="100" t="s">
        <v>347</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761</v>
      </c>
      <c r="C332" s="100" t="s">
        <v>150</v>
      </c>
      <c r="D332" s="100" t="s">
        <v>94</v>
      </c>
      <c r="E332" s="100" t="s">
        <v>86</v>
      </c>
      <c r="F332" s="100" t="s">
        <v>346</v>
      </c>
      <c r="G332" s="100" t="s">
        <v>39</v>
      </c>
      <c r="H332" s="100" t="s">
        <v>154</v>
      </c>
      <c r="I332" s="100" t="s">
        <v>155</v>
      </c>
      <c r="J332" s="100" t="s">
        <v>347</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762</v>
      </c>
      <c r="C333" s="100" t="s">
        <v>154</v>
      </c>
      <c r="D333" s="100" t="s">
        <v>94</v>
      </c>
      <c r="E333" s="100" t="s">
        <v>153</v>
      </c>
      <c r="F333" s="100" t="s">
        <v>193</v>
      </c>
      <c r="G333" s="100" t="s">
        <v>346</v>
      </c>
      <c r="H333" s="100" t="s">
        <v>143</v>
      </c>
      <c r="I333" s="100" t="s">
        <v>150</v>
      </c>
      <c r="J333" s="100" t="s">
        <v>347</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763</v>
      </c>
      <c r="C334" s="100" t="s">
        <v>155</v>
      </c>
      <c r="D334" s="100" t="s">
        <v>346</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347</v>
      </c>
      <c r="Q334" s="100" t="s">
        <v>142</v>
      </c>
      <c r="R334" s="100" t="s">
        <v>154</v>
      </c>
    </row>
    <row r="335" spans="1:18" s="101" customFormat="1">
      <c r="A335" s="100" t="str">
        <f>VLOOKUP(C335,classifications!C:F,4,FALSE)</f>
        <v>SD</v>
      </c>
      <c r="B335" s="100" t="s">
        <v>764</v>
      </c>
      <c r="C335" s="100" t="s">
        <v>162</v>
      </c>
      <c r="D335" s="100" t="s">
        <v>122</v>
      </c>
      <c r="E335" s="100" t="s">
        <v>28</v>
      </c>
      <c r="F335" s="100" t="s">
        <v>180</v>
      </c>
      <c r="G335" s="100" t="s">
        <v>89</v>
      </c>
      <c r="H335" s="100" t="s">
        <v>99</v>
      </c>
      <c r="I335" s="100" t="s">
        <v>348</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765</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766</v>
      </c>
      <c r="C337" s="100" t="s">
        <v>69</v>
      </c>
      <c r="D337" s="100" t="s">
        <v>349</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767</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768</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769</v>
      </c>
      <c r="C340" s="100" t="s">
        <v>153</v>
      </c>
      <c r="D340" s="100" t="s">
        <v>143</v>
      </c>
      <c r="E340" s="100" t="s">
        <v>347</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770</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771</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352</v>
      </c>
      <c r="Q342" s="100" t="s">
        <v>161</v>
      </c>
      <c r="R342" s="100" t="s">
        <v>4</v>
      </c>
    </row>
    <row r="343" spans="1:18" s="101" customFormat="1">
      <c r="A343" s="100" t="str">
        <f>VLOOKUP(C343,classifications!C:F,4,FALSE)</f>
        <v>SD</v>
      </c>
      <c r="B343" s="100" t="s">
        <v>772</v>
      </c>
      <c r="C343" s="100" t="s">
        <v>63</v>
      </c>
      <c r="D343" s="100" t="s">
        <v>152</v>
      </c>
      <c r="E343" s="100" t="s">
        <v>345</v>
      </c>
      <c r="F343" s="100" t="s">
        <v>190</v>
      </c>
      <c r="G343" s="100" t="s">
        <v>178</v>
      </c>
      <c r="H343" s="100" t="s">
        <v>350</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773</v>
      </c>
      <c r="C344" s="100" t="s">
        <v>345</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350</v>
      </c>
      <c r="R344" s="100" t="s">
        <v>152</v>
      </c>
    </row>
    <row r="345" spans="1:18" s="101" customFormat="1">
      <c r="A345" s="100" t="str">
        <f>VLOOKUP(C345,classifications!C:F,4,FALSE)</f>
        <v>SD</v>
      </c>
      <c r="B345" s="100" t="s">
        <v>774</v>
      </c>
      <c r="C345" s="100" t="s">
        <v>77</v>
      </c>
      <c r="D345" s="100" t="s">
        <v>152</v>
      </c>
      <c r="E345" s="100" t="s">
        <v>190</v>
      </c>
      <c r="F345" s="100" t="s">
        <v>194</v>
      </c>
      <c r="G345" s="100" t="s">
        <v>129</v>
      </c>
      <c r="H345" s="100" t="s">
        <v>350</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775</v>
      </c>
      <c r="C346" s="100" t="s">
        <v>105</v>
      </c>
      <c r="D346" s="100" t="s">
        <v>178</v>
      </c>
      <c r="E346" s="100" t="s">
        <v>138</v>
      </c>
      <c r="F346" s="100" t="s">
        <v>163</v>
      </c>
      <c r="G346" s="100" t="s">
        <v>38</v>
      </c>
      <c r="H346" s="100" t="s">
        <v>21</v>
      </c>
      <c r="I346" s="100" t="s">
        <v>345</v>
      </c>
      <c r="J346" s="100" t="s">
        <v>136</v>
      </c>
      <c r="K346" s="100" t="s">
        <v>350</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776</v>
      </c>
      <c r="C347" s="100" t="s">
        <v>350</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777</v>
      </c>
      <c r="C348" s="100" t="s">
        <v>129</v>
      </c>
      <c r="D348" s="100" t="s">
        <v>190</v>
      </c>
      <c r="E348" s="100" t="s">
        <v>151</v>
      </c>
      <c r="F348" s="100" t="s">
        <v>77</v>
      </c>
      <c r="G348" s="100" t="s">
        <v>350</v>
      </c>
      <c r="H348" s="100" t="s">
        <v>345</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778</v>
      </c>
      <c r="C349" s="100" t="s">
        <v>151</v>
      </c>
      <c r="D349" s="100" t="s">
        <v>85</v>
      </c>
      <c r="E349" s="100" t="s">
        <v>350</v>
      </c>
      <c r="F349" s="100" t="s">
        <v>64</v>
      </c>
      <c r="G349" s="100" t="s">
        <v>170</v>
      </c>
      <c r="H349" s="100" t="s">
        <v>190</v>
      </c>
      <c r="I349" s="100" t="s">
        <v>24</v>
      </c>
      <c r="J349" s="100" t="s">
        <v>21</v>
      </c>
      <c r="K349" s="100" t="s">
        <v>129</v>
      </c>
      <c r="L349" s="100" t="s">
        <v>160</v>
      </c>
      <c r="M349" s="100" t="s">
        <v>56</v>
      </c>
      <c r="N349" s="100" t="s">
        <v>152</v>
      </c>
      <c r="O349" s="100" t="s">
        <v>345</v>
      </c>
      <c r="P349" s="100" t="s">
        <v>47</v>
      </c>
      <c r="Q349" s="100" t="s">
        <v>136</v>
      </c>
      <c r="R349" s="100" t="s">
        <v>178</v>
      </c>
    </row>
    <row r="350" spans="1:18" s="101" customFormat="1">
      <c r="A350" s="100" t="str">
        <f>VLOOKUP(C350,classifications!C:F,4,FALSE)</f>
        <v>SD</v>
      </c>
      <c r="B350" s="100" t="s">
        <v>779</v>
      </c>
      <c r="C350" s="100" t="s">
        <v>160</v>
      </c>
      <c r="D350" s="100" t="s">
        <v>345</v>
      </c>
      <c r="E350" s="100" t="s">
        <v>138</v>
      </c>
      <c r="F350" s="100" t="s">
        <v>163</v>
      </c>
      <c r="G350" s="100" t="s">
        <v>38</v>
      </c>
      <c r="H350" s="100" t="s">
        <v>170</v>
      </c>
      <c r="I350" s="100" t="s">
        <v>350</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780</v>
      </c>
      <c r="C351" s="100" t="s">
        <v>163</v>
      </c>
      <c r="D351" s="100" t="s">
        <v>38</v>
      </c>
      <c r="E351" s="100" t="s">
        <v>138</v>
      </c>
      <c r="F351" s="100" t="s">
        <v>170</v>
      </c>
      <c r="G351" s="100" t="s">
        <v>21</v>
      </c>
      <c r="H351" s="100" t="s">
        <v>178</v>
      </c>
      <c r="I351" s="100" t="s">
        <v>105</v>
      </c>
      <c r="J351" s="100" t="s">
        <v>160</v>
      </c>
      <c r="K351" s="100" t="s">
        <v>345</v>
      </c>
      <c r="L351" s="100" t="s">
        <v>136</v>
      </c>
      <c r="M351" s="100" t="s">
        <v>55</v>
      </c>
      <c r="N351" s="100" t="s">
        <v>350</v>
      </c>
      <c r="O351" s="100" t="s">
        <v>147</v>
      </c>
      <c r="P351" s="100" t="s">
        <v>56</v>
      </c>
      <c r="Q351" s="100" t="s">
        <v>82</v>
      </c>
      <c r="R351" s="100" t="s">
        <v>64</v>
      </c>
    </row>
    <row r="352" spans="1:18" s="101" customFormat="1">
      <c r="A352" s="100" t="str">
        <f>VLOOKUP(C352,classifications!C:F,4,FALSE)</f>
        <v>SD</v>
      </c>
      <c r="B352" s="100" t="s">
        <v>781</v>
      </c>
      <c r="C352" s="100" t="s">
        <v>178</v>
      </c>
      <c r="D352" s="100" t="s">
        <v>105</v>
      </c>
      <c r="E352" s="100" t="s">
        <v>136</v>
      </c>
      <c r="F352" s="100" t="s">
        <v>163</v>
      </c>
      <c r="G352" s="100" t="s">
        <v>350</v>
      </c>
      <c r="H352" s="100" t="s">
        <v>38</v>
      </c>
      <c r="I352" s="100" t="s">
        <v>170</v>
      </c>
      <c r="J352" s="100" t="s">
        <v>152</v>
      </c>
      <c r="K352" s="100" t="s">
        <v>147</v>
      </c>
      <c r="L352" s="100" t="s">
        <v>56</v>
      </c>
      <c r="M352" s="100" t="s">
        <v>21</v>
      </c>
      <c r="N352" s="100" t="s">
        <v>138</v>
      </c>
      <c r="O352" s="100" t="s">
        <v>160</v>
      </c>
      <c r="P352" s="100" t="s">
        <v>345</v>
      </c>
      <c r="Q352" s="100" t="s">
        <v>63</v>
      </c>
      <c r="R352" s="100" t="s">
        <v>174</v>
      </c>
    </row>
    <row r="353" spans="1:18" s="101" customFormat="1">
      <c r="A353" s="100" t="str">
        <f>VLOOKUP(C353,classifications!C:F,4,FALSE)</f>
        <v>SD</v>
      </c>
      <c r="B353" s="100" t="s">
        <v>782</v>
      </c>
      <c r="C353" s="100" t="s">
        <v>190</v>
      </c>
      <c r="D353" s="100" t="s">
        <v>151</v>
      </c>
      <c r="E353" s="100" t="s">
        <v>152</v>
      </c>
      <c r="F353" s="100" t="s">
        <v>129</v>
      </c>
      <c r="G353" s="100" t="s">
        <v>345</v>
      </c>
      <c r="H353" s="100" t="s">
        <v>350</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783</v>
      </c>
      <c r="C354" s="100" t="s">
        <v>114</v>
      </c>
      <c r="D354" s="100" t="s">
        <v>115</v>
      </c>
      <c r="E354" s="100" t="s">
        <v>347</v>
      </c>
      <c r="F354" s="100" t="s">
        <v>86</v>
      </c>
      <c r="G354" s="100" t="s">
        <v>135</v>
      </c>
      <c r="H354" s="100" t="s">
        <v>39</v>
      </c>
      <c r="I354" s="100" t="s">
        <v>91</v>
      </c>
      <c r="J354" s="100" t="s">
        <v>128</v>
      </c>
      <c r="K354" s="100" t="s">
        <v>94</v>
      </c>
      <c r="L354" s="100" t="s">
        <v>153</v>
      </c>
      <c r="M354" s="100" t="s">
        <v>346</v>
      </c>
      <c r="N354" s="100" t="s">
        <v>15</v>
      </c>
      <c r="O354" s="100" t="s">
        <v>7</v>
      </c>
      <c r="P354" s="100" t="s">
        <v>58</v>
      </c>
      <c r="Q354" s="100" t="s">
        <v>150</v>
      </c>
      <c r="R354" s="100" t="s">
        <v>196</v>
      </c>
    </row>
    <row r="355" spans="1:18" s="101" customFormat="1">
      <c r="A355" s="100" t="str">
        <f>VLOOKUP(C355,classifications!C:F,4,FALSE)</f>
        <v>SD</v>
      </c>
      <c r="B355" s="100" t="s">
        <v>784</v>
      </c>
      <c r="C355" s="100" t="s">
        <v>348</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785</v>
      </c>
      <c r="C356" s="100" t="s">
        <v>128</v>
      </c>
      <c r="D356" s="100" t="s">
        <v>91</v>
      </c>
      <c r="E356" s="100" t="s">
        <v>59</v>
      </c>
      <c r="F356" s="100" t="s">
        <v>86</v>
      </c>
      <c r="G356" s="100" t="s">
        <v>58</v>
      </c>
      <c r="H356" s="100" t="s">
        <v>94</v>
      </c>
      <c r="I356" s="100" t="s">
        <v>153</v>
      </c>
      <c r="J356" s="100" t="s">
        <v>347</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786</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787</v>
      </c>
      <c r="C358" s="100" t="s">
        <v>175</v>
      </c>
      <c r="D358" s="100" t="s">
        <v>41</v>
      </c>
      <c r="E358" s="100" t="s">
        <v>96</v>
      </c>
      <c r="F358" s="100" t="s">
        <v>33</v>
      </c>
      <c r="G358" s="100" t="s">
        <v>81</v>
      </c>
      <c r="H358" s="100" t="s">
        <v>32</v>
      </c>
      <c r="I358" s="100" t="s">
        <v>34</v>
      </c>
      <c r="J358" s="100" t="s">
        <v>344</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788</v>
      </c>
      <c r="C359" s="100" t="s">
        <v>4</v>
      </c>
      <c r="D359" s="100" t="s">
        <v>352</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789</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790</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791</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792</v>
      </c>
      <c r="C363" s="100" t="s">
        <v>87</v>
      </c>
      <c r="D363" s="100" t="s">
        <v>104</v>
      </c>
      <c r="E363" s="100" t="s">
        <v>55</v>
      </c>
      <c r="F363" s="100" t="s">
        <v>136</v>
      </c>
      <c r="G363" s="100" t="s">
        <v>147</v>
      </c>
      <c r="H363" s="100" t="s">
        <v>167</v>
      </c>
      <c r="I363" s="100" t="s">
        <v>174</v>
      </c>
      <c r="J363" s="100" t="s">
        <v>81</v>
      </c>
      <c r="K363" s="100" t="s">
        <v>351</v>
      </c>
      <c r="L363" s="100" t="s">
        <v>189</v>
      </c>
      <c r="M363" s="100" t="s">
        <v>172</v>
      </c>
      <c r="N363" s="100" t="s">
        <v>21</v>
      </c>
      <c r="O363" s="100" t="s">
        <v>56</v>
      </c>
      <c r="P363" s="100" t="s">
        <v>157</v>
      </c>
      <c r="Q363" s="100" t="s">
        <v>10</v>
      </c>
      <c r="R363" s="100" t="s">
        <v>139</v>
      </c>
    </row>
    <row r="364" spans="1:18">
      <c r="A364" s="100" t="str">
        <f>VLOOKUP(C364,classifications!C:F,4,FALSE)</f>
        <v>SD</v>
      </c>
      <c r="B364" s="100" t="s">
        <v>793</v>
      </c>
      <c r="C364" s="100" t="s">
        <v>104</v>
      </c>
      <c r="D364" s="100" t="s">
        <v>87</v>
      </c>
      <c r="E364" s="100" t="s">
        <v>55</v>
      </c>
      <c r="F364" s="100" t="s">
        <v>147</v>
      </c>
      <c r="G364" s="100" t="s">
        <v>81</v>
      </c>
      <c r="H364" s="100" t="s">
        <v>167</v>
      </c>
      <c r="I364" s="100" t="s">
        <v>174</v>
      </c>
      <c r="J364" s="100" t="s">
        <v>351</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794</v>
      </c>
      <c r="C365" s="100" t="s">
        <v>192</v>
      </c>
      <c r="D365" s="100" t="s">
        <v>8</v>
      </c>
      <c r="E365" s="100" t="s">
        <v>4</v>
      </c>
      <c r="F365" s="100" t="s">
        <v>93</v>
      </c>
      <c r="G365" s="100" t="s">
        <v>166</v>
      </c>
      <c r="H365" s="100" t="s">
        <v>60</v>
      </c>
      <c r="I365" s="100" t="s">
        <v>352</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881</v>
      </c>
    </row>
    <row r="2" spans="1:11">
      <c r="A2" t="s">
        <v>876</v>
      </c>
    </row>
    <row r="3" spans="1:11" ht="9" customHeight="1"/>
    <row r="4" spans="1:11">
      <c r="A4" s="44" t="s">
        <v>880</v>
      </c>
    </row>
    <row r="5" spans="1:11" ht="8.25" customHeight="1">
      <c r="A5" s="156"/>
    </row>
    <row r="6" spans="1:11">
      <c r="A6" s="44" t="s">
        <v>882</v>
      </c>
    </row>
    <row r="8" spans="1:11" ht="15">
      <c r="A8" s="267" t="s">
        <v>872</v>
      </c>
    </row>
    <row r="9" spans="1:11">
      <c r="A9" t="s">
        <v>875</v>
      </c>
    </row>
    <row r="10" spans="1:11">
      <c r="B10" t="s">
        <v>807</v>
      </c>
      <c r="C10" t="s">
        <v>866</v>
      </c>
    </row>
    <row r="11" spans="1:11">
      <c r="C11" t="s">
        <v>865</v>
      </c>
    </row>
    <row r="12" spans="1:11">
      <c r="C12" t="s">
        <v>867</v>
      </c>
    </row>
    <row r="14" spans="1:11">
      <c r="B14" t="s">
        <v>808</v>
      </c>
      <c r="C14" t="s">
        <v>863</v>
      </c>
    </row>
    <row r="15" spans="1:11">
      <c r="C15" t="s">
        <v>857</v>
      </c>
    </row>
    <row r="16" spans="1:11" ht="38.25">
      <c r="D16" t="s">
        <v>858</v>
      </c>
      <c r="E16" s="263" t="s">
        <v>861</v>
      </c>
      <c r="F16" s="263"/>
      <c r="G16" s="263"/>
      <c r="H16" s="263"/>
      <c r="I16" s="249" t="s">
        <v>860</v>
      </c>
      <c r="J16" s="250" t="s">
        <v>809</v>
      </c>
      <c r="K16" s="260" t="s">
        <v>810</v>
      </c>
    </row>
    <row r="17" spans="1:11" ht="24">
      <c r="E17" s="252" t="s">
        <v>853</v>
      </c>
      <c r="F17" s="253" t="s">
        <v>853</v>
      </c>
      <c r="G17" s="253" t="s">
        <v>859</v>
      </c>
      <c r="H17" s="254" t="s">
        <v>859</v>
      </c>
      <c r="J17" s="258" t="s">
        <v>853</v>
      </c>
      <c r="K17" s="261" t="s">
        <v>854</v>
      </c>
    </row>
    <row r="18" spans="1:11" ht="48">
      <c r="E18" s="255" t="s">
        <v>854</v>
      </c>
      <c r="F18" s="256" t="s">
        <v>855</v>
      </c>
      <c r="G18" s="256" t="s">
        <v>854</v>
      </c>
      <c r="H18" s="257" t="s">
        <v>855</v>
      </c>
      <c r="J18" s="259" t="s">
        <v>859</v>
      </c>
      <c r="K18" s="262" t="s">
        <v>855</v>
      </c>
    </row>
    <row r="19" spans="1:11" ht="18.75" customHeight="1">
      <c r="C19" s="248" t="s">
        <v>868</v>
      </c>
    </row>
    <row r="20" spans="1:11">
      <c r="C20" s="248"/>
      <c r="D20" t="s">
        <v>858</v>
      </c>
      <c r="E20" s="263" t="s">
        <v>861</v>
      </c>
      <c r="F20" s="366" t="s">
        <v>862</v>
      </c>
      <c r="G20" s="366"/>
      <c r="H20" s="250" t="s">
        <v>803</v>
      </c>
      <c r="I20" s="251" t="s">
        <v>795</v>
      </c>
    </row>
    <row r="21" spans="1:11" ht="24">
      <c r="C21" s="248"/>
      <c r="E21" s="264" t="s">
        <v>853</v>
      </c>
      <c r="F21" s="366"/>
      <c r="G21" s="366"/>
      <c r="H21" s="8" t="s">
        <v>815</v>
      </c>
      <c r="I21" s="10" t="s">
        <v>826</v>
      </c>
    </row>
    <row r="22" spans="1:11" ht="36">
      <c r="C22" s="248"/>
      <c r="E22" s="265" t="s">
        <v>854</v>
      </c>
      <c r="F22" s="366"/>
      <c r="G22" s="366"/>
    </row>
    <row r="23" spans="1:11">
      <c r="C23" s="248"/>
      <c r="E23" s="266">
        <v>87</v>
      </c>
      <c r="F23" s="366"/>
      <c r="G23" s="366"/>
    </row>
    <row r="24" spans="1:11">
      <c r="C24" s="248" t="s">
        <v>864</v>
      </c>
    </row>
    <row r="26" spans="1:11">
      <c r="A26" t="s">
        <v>877</v>
      </c>
    </row>
    <row r="28" spans="1:11">
      <c r="A28" t="s">
        <v>873</v>
      </c>
    </row>
    <row r="29" spans="1:11">
      <c r="A29" s="268" t="s">
        <v>879</v>
      </c>
    </row>
    <row r="30" spans="1:11">
      <c r="A30" s="268"/>
    </row>
    <row r="31" spans="1:11">
      <c r="A31" t="s">
        <v>874</v>
      </c>
    </row>
    <row r="32" spans="1:11">
      <c r="A32" s="268" t="s">
        <v>878</v>
      </c>
    </row>
    <row r="34" spans="1:1" ht="15">
      <c r="A34" s="267" t="s">
        <v>856</v>
      </c>
    </row>
    <row r="35" spans="1:1">
      <c r="A35" t="s">
        <v>871</v>
      </c>
    </row>
    <row r="37" spans="1:1">
      <c r="A37" t="s">
        <v>869</v>
      </c>
    </row>
    <row r="39" spans="1:1">
      <c r="A39" t="s">
        <v>870</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852</v>
      </c>
      <c r="B2" s="271"/>
      <c r="C2" s="271"/>
      <c r="D2" s="272"/>
    </row>
    <row r="4" spans="1:9">
      <c r="A4" s="271" t="s">
        <v>851</v>
      </c>
      <c r="B4" s="271"/>
      <c r="C4" s="271"/>
      <c r="D4" s="272"/>
    </row>
    <row r="6" spans="1:9">
      <c r="A6" s="271" t="s">
        <v>850</v>
      </c>
      <c r="B6" s="271"/>
      <c r="C6" s="271"/>
      <c r="D6" s="272"/>
    </row>
    <row r="7" spans="1:9">
      <c r="A7" s="6"/>
      <c r="B7" s="6"/>
      <c r="C7" s="6"/>
      <c r="D7" t="s">
        <v>383</v>
      </c>
      <c r="G7" t="s">
        <v>389</v>
      </c>
    </row>
    <row r="8" spans="1:9">
      <c r="D8" t="s">
        <v>884</v>
      </c>
      <c r="E8" t="s">
        <v>885</v>
      </c>
      <c r="F8" t="s">
        <v>886</v>
      </c>
      <c r="G8" t="s">
        <v>884</v>
      </c>
      <c r="H8" t="s">
        <v>885</v>
      </c>
      <c r="I8" t="s">
        <v>886</v>
      </c>
    </row>
    <row r="9" spans="1:9">
      <c r="A9" s="273" t="s">
        <v>795</v>
      </c>
      <c r="B9" s="271" t="s">
        <v>849</v>
      </c>
      <c r="C9" s="271"/>
      <c r="D9" s="272"/>
      <c r="E9" s="272"/>
      <c r="F9" s="272"/>
      <c r="G9" s="272"/>
      <c r="H9" s="272"/>
      <c r="I9" s="272"/>
    </row>
    <row r="10" spans="1:9">
      <c r="A10" s="6"/>
      <c r="B10" s="271" t="s">
        <v>848</v>
      </c>
      <c r="C10" s="271"/>
      <c r="D10" s="272"/>
      <c r="E10" s="272"/>
      <c r="F10" s="272"/>
      <c r="G10" s="272"/>
      <c r="H10" s="272"/>
      <c r="I10" s="272"/>
    </row>
    <row r="11" spans="1:9">
      <c r="A11" s="6"/>
      <c r="B11" s="271" t="s">
        <v>847</v>
      </c>
      <c r="C11" s="271"/>
      <c r="D11" s="272"/>
      <c r="E11" s="272"/>
      <c r="F11" s="272"/>
      <c r="G11" s="272"/>
      <c r="H11" s="272"/>
      <c r="I11" s="272"/>
    </row>
    <row r="12" spans="1:9">
      <c r="A12" s="6"/>
      <c r="B12" s="271" t="s">
        <v>846</v>
      </c>
      <c r="C12" s="271"/>
      <c r="D12" s="272"/>
      <c r="E12" s="272"/>
      <c r="F12" s="272"/>
      <c r="G12" s="272"/>
      <c r="H12" s="272"/>
      <c r="I12" s="272"/>
    </row>
    <row r="13" spans="1:9">
      <c r="A13" s="6"/>
      <c r="B13" s="271" t="s">
        <v>845</v>
      </c>
      <c r="C13" s="271"/>
      <c r="D13" s="272"/>
      <c r="E13" s="272"/>
      <c r="F13" s="272"/>
      <c r="G13" s="272"/>
      <c r="H13" s="272"/>
      <c r="I13" s="272"/>
    </row>
    <row r="14" spans="1:9">
      <c r="A14" s="6"/>
      <c r="B14" s="271" t="s">
        <v>844</v>
      </c>
      <c r="C14" s="271"/>
      <c r="D14" s="272"/>
      <c r="E14" s="272"/>
      <c r="F14" s="272"/>
      <c r="G14" s="272"/>
      <c r="H14" s="272"/>
      <c r="I14" s="272"/>
    </row>
    <row r="15" spans="1:9">
      <c r="A15" s="9"/>
      <c r="B15" s="271" t="s">
        <v>843</v>
      </c>
      <c r="C15" s="271"/>
      <c r="D15" s="272"/>
      <c r="E15" s="272"/>
      <c r="F15" s="272"/>
      <c r="G15" s="272"/>
      <c r="H15" s="272"/>
      <c r="I15" s="272"/>
    </row>
    <row r="17" spans="1:5">
      <c r="D17" t="s">
        <v>383</v>
      </c>
      <c r="E17" t="s">
        <v>389</v>
      </c>
    </row>
    <row r="18" spans="1:5">
      <c r="A18" s="271" t="s">
        <v>887</v>
      </c>
      <c r="B18" s="271"/>
      <c r="C18" s="271"/>
      <c r="D18" s="272"/>
      <c r="E18" s="272"/>
    </row>
    <row r="20" spans="1:5">
      <c r="A20" s="271" t="s">
        <v>842</v>
      </c>
      <c r="B20" s="271"/>
      <c r="C20" s="271"/>
      <c r="D20" s="272"/>
      <c r="E20" s="272"/>
    </row>
    <row r="22" spans="1:5">
      <c r="A22" s="271" t="s">
        <v>888</v>
      </c>
      <c r="B22" s="271"/>
      <c r="C22" s="271"/>
      <c r="D22" s="272"/>
      <c r="E22" s="272"/>
    </row>
    <row r="24" spans="1:5">
      <c r="A24" s="271" t="s">
        <v>889</v>
      </c>
      <c r="B24" s="271"/>
      <c r="C24" s="274"/>
      <c r="D24" s="272"/>
      <c r="E24" s="272"/>
    </row>
    <row r="26" spans="1:5">
      <c r="A26" s="273" t="s">
        <v>841</v>
      </c>
      <c r="B26" s="273" t="s">
        <v>410</v>
      </c>
      <c r="C26" s="271" t="s">
        <v>376</v>
      </c>
      <c r="D26" s="272"/>
      <c r="E26" s="272"/>
    </row>
    <row r="27" spans="1:5">
      <c r="A27" s="6"/>
      <c r="B27" s="9"/>
      <c r="C27" s="271" t="s">
        <v>840</v>
      </c>
      <c r="D27" s="272"/>
      <c r="E27" s="272"/>
    </row>
    <row r="28" spans="1:5">
      <c r="A28" s="6"/>
      <c r="B28" s="271" t="s">
        <v>839</v>
      </c>
      <c r="C28" s="271"/>
      <c r="D28" s="272"/>
      <c r="E28" s="272"/>
    </row>
    <row r="29" spans="1:5">
      <c r="A29" s="6"/>
      <c r="B29" s="271" t="s">
        <v>355</v>
      </c>
      <c r="C29" s="271"/>
      <c r="D29" s="272"/>
      <c r="E29" s="272"/>
    </row>
    <row r="30" spans="1:5">
      <c r="A30" s="6"/>
      <c r="B30" s="271" t="s">
        <v>838</v>
      </c>
      <c r="C30" s="271"/>
      <c r="D30" s="272"/>
      <c r="E30" s="272"/>
    </row>
    <row r="31" spans="1:5">
      <c r="A31" s="9"/>
      <c r="B31" s="271" t="s">
        <v>837</v>
      </c>
      <c r="C31" s="271"/>
      <c r="D31" s="272"/>
      <c r="E31" s="272"/>
    </row>
    <row r="33" spans="1:5">
      <c r="A33" s="273" t="s">
        <v>836</v>
      </c>
      <c r="B33" s="271" t="s">
        <v>835</v>
      </c>
      <c r="C33" s="271"/>
      <c r="D33" s="272"/>
      <c r="E33" s="272"/>
    </row>
    <row r="34" spans="1:5">
      <c r="A34" s="9"/>
      <c r="B34" s="271" t="s">
        <v>890</v>
      </c>
      <c r="C34" s="271"/>
      <c r="D34" s="272"/>
      <c r="E34" s="272"/>
    </row>
    <row r="36" spans="1:5">
      <c r="A36" s="273" t="s">
        <v>834</v>
      </c>
      <c r="B36" s="271" t="s">
        <v>833</v>
      </c>
      <c r="C36" s="271"/>
      <c r="D36" s="272"/>
      <c r="E36" s="272"/>
    </row>
    <row r="37" spans="1:5">
      <c r="A37" s="6"/>
      <c r="B37" s="271" t="s">
        <v>832</v>
      </c>
      <c r="C37" s="271"/>
      <c r="D37" s="272"/>
      <c r="E37" s="272"/>
    </row>
    <row r="38" spans="1:5">
      <c r="A38" s="6"/>
      <c r="B38" s="271" t="s">
        <v>800</v>
      </c>
      <c r="C38" s="271"/>
      <c r="D38" s="272"/>
      <c r="E38" s="272"/>
    </row>
    <row r="39" spans="1:5">
      <c r="A39" s="9"/>
      <c r="B39" s="271" t="s">
        <v>831</v>
      </c>
      <c r="C39" s="271"/>
      <c r="D39" s="272"/>
      <c r="E39" s="272"/>
    </row>
    <row r="41" spans="1:5">
      <c r="A41" s="273" t="s">
        <v>830</v>
      </c>
      <c r="B41" s="271" t="s">
        <v>829</v>
      </c>
      <c r="C41" s="271"/>
      <c r="D41" s="272"/>
      <c r="E41" s="272"/>
    </row>
    <row r="42" spans="1:5">
      <c r="A42" s="9"/>
      <c r="B42" s="9" t="s">
        <v>890</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8B44D5-B1A3-4546-87FC-3811789FF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3EAC2-1B2D-4C48-B8A7-1CE5EFB761B8}">
  <ds:schemaRefs>
    <ds:schemaRef ds:uri="http://schemas.microsoft.com/sharepoint/v3/contenttype/forms"/>
  </ds:schemaRefs>
</ds:datastoreItem>
</file>

<file path=customXml/itemProps3.xml><?xml version="1.0" encoding="utf-8"?>
<ds:datastoreItem xmlns:ds="http://schemas.openxmlformats.org/officeDocument/2006/customXml" ds:itemID="{4EFD4ABE-AA61-4030-9D1D-BEA39E6397FA}">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c0c43d4d-b7da-4a2b-8f97-25182fb94a41"/>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richa_000</dc:creator>
  <cp:lastModifiedBy>richa_000</cp:lastModifiedBy>
  <dcterms:created xsi:type="dcterms:W3CDTF">2015-01-27T09:38:49Z</dcterms:created>
  <dcterms:modified xsi:type="dcterms:W3CDTF">2015-04-30T13:53:24Z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ies>
</file>